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mc:AlternateContent xmlns:mc="http://schemas.openxmlformats.org/markup-compatibility/2006">
    <mc:Choice Requires="x15">
      <x15ac:absPath xmlns:x15ac="http://schemas.microsoft.com/office/spreadsheetml/2010/11/ac" url="https://usdol-my.sharepoint.com/personal/haydin_rebekah_dol_gov/Documents/HVRP work/ICR/"/>
    </mc:Choice>
  </mc:AlternateContent>
  <workbookProtection workbookAlgorithmName="SHA-512" workbookHashValue="Pd9fw7ndsMAWPy6UdGPAMKsHOfzkS+mV+3s10s+jWJCT27Kg37mKX7vuLSPLdHcKLlO+LS5UkDIo87GZKmF72w==" workbookSaltValue="Ge4vYBzcHYHV5xVI6TwVig==" workbookSpinCount="100000" lockStructure="1"/>
  <bookViews>
    <workbookView xWindow="0" yWindow="0" windowWidth="25200" windowHeight="10056" activeTab="1"/>
  </bookViews>
  <sheets>
    <sheet name="VETS-700 Planned Goals" sheetId="10" r:id="rId1"/>
    <sheet name="VETS-701 Tech Perf Report" sheetId="11" r:id="rId2"/>
    <sheet name="VETS-701A Demographics Summary" sheetId="5" r:id="rId3"/>
    <sheet name="Goals v. Actual" sheetId="12" r:id="rId4"/>
    <sheet name="VETS-701B Participant Info" sheetId="1" r:id="rId5"/>
    <sheet name="Export1" sheetId="6" r:id="rId6"/>
    <sheet name="Export2" sheetId="7" r:id="rId7"/>
    <sheet name="Export3" sheetId="13" r:id="rId8"/>
    <sheet name="AppData" sheetId="4" state="veryHidden" r:id="rId9"/>
  </sheets>
  <definedNames>
    <definedName name="_xlnm._FilterDatabase" localSheetId="4" hidden="1">'VETS-701B Participant Info'!$A$3:$CE$3</definedName>
    <definedName name="_xlcn.WorksheetConnection_Table2" hidden="1">tblStateCountyTract</definedName>
    <definedName name="_xlcn.WorksheetConnection_Table3" hidden="1">tblFipsLatLong</definedName>
    <definedName name="_xlcn.WorksheetConnection_tblFipsStateCodes" hidden="1">tblFipsStateCodes[]</definedName>
    <definedName name="_xlcn.WorksheetConnection_tblFipsStateCountyCodes" hidden="1">tblFipsStateCountyCodes[]</definedName>
    <definedName name="btnFilter" localSheetId="4" hidden="1">'VETS-701B Participant Info'!$B$1</definedName>
    <definedName name="btnFips" localSheetId="0" hidden="1">'VETS-700 Planned Goals'!$AZ$3:$BG$3</definedName>
    <definedName name="btnFormView" localSheetId="4" hidden="1">'VETS-701B Participant Info'!$A$1</definedName>
    <definedName name="btnLock" localSheetId="0" hidden="1">'VETS-700 Planned Goals'!$AQ$3:$AY$3</definedName>
    <definedName name="btnTag" localSheetId="0" hidden="1">'VETS-700 Planned Goals'!$AI$3:$AP$3</definedName>
    <definedName name="conProgYear" hidden="1">AppData!$BB$2</definedName>
    <definedName name="conVersion" hidden="1">"20.1.0"</definedName>
    <definedName name="inpAdminCosts_Q1" localSheetId="0" hidden="1">'VETS-700 Planned Goals'!$AB$54</definedName>
    <definedName name="inpAdminCosts_Q1" localSheetId="1" hidden="1">'VETS-701 Tech Perf Report'!$AC$75</definedName>
    <definedName name="inpAdminCosts_Q2" localSheetId="0" hidden="1">'VETS-700 Planned Goals'!$AJ$54</definedName>
    <definedName name="inpAdminCosts_Q2" localSheetId="1" hidden="1">'VETS-701 Tech Perf Report'!$AK$75</definedName>
    <definedName name="inpAdminCosts_Q3" localSheetId="0" hidden="1">'VETS-700 Planned Goals'!$AR$54</definedName>
    <definedName name="inpAdminCosts_Q3" localSheetId="1" hidden="1">'VETS-701 Tech Perf Report'!$AS$75</definedName>
    <definedName name="inpAdminCosts_Q4" localSheetId="0" hidden="1">'VETS-700 Planned Goals'!$AZ$54</definedName>
    <definedName name="inpAdminCosts_Q4" localSheetId="1" hidden="1">'VETS-701 Tech Perf Report'!$BA$75</definedName>
    <definedName name="inpAdminCosts_Tot" localSheetId="0" hidden="1">'VETS-700 Planned Goals'!$CN$54</definedName>
    <definedName name="inpAdminCosts_Tot" localSheetId="1" hidden="1">'VETS-701 Tech Perf Report'!$CO$75</definedName>
    <definedName name="inpAjc_Q1" localSheetId="1" hidden="1">'VETS-701 Tech Perf Report'!$AC$17</definedName>
    <definedName name="inpAjc_Q2" localSheetId="1" hidden="1">'VETS-701 Tech Perf Report'!$AK$17</definedName>
    <definedName name="inpAjc_Q3" localSheetId="1" hidden="1">'VETS-701 Tech Perf Report'!$AS$17</definedName>
    <definedName name="inpAjc_Q4" localSheetId="1" hidden="1">'VETS-701 Tech Perf Report'!$BA$17</definedName>
    <definedName name="inpAjc_Tot" localSheetId="1" hidden="1">'VETS-701 Tech Perf Report'!$CO$17</definedName>
    <definedName name="inpAssmt_Q1" localSheetId="1" hidden="1">'VETS-701 Tech Perf Report'!$AC$14</definedName>
    <definedName name="inpAssmt_Q2" localSheetId="0" hidden="1">'VETS-701 Tech Perf Report'!$AK$14</definedName>
    <definedName name="inpAssmt_Q3" localSheetId="1" hidden="1">'VETS-701 Tech Perf Report'!$AS$14</definedName>
    <definedName name="inpAssmt_Q4" localSheetId="0" hidden="1">'VETS-701 Tech Perf Report'!$BA$14</definedName>
    <definedName name="inpAssmt_Tot" localSheetId="1" hidden="1">'VETS-701 Tech Perf Report'!$CO$14</definedName>
    <definedName name="inpAvgHrlyWgPlmt_Q1" localSheetId="0" hidden="1">'VETS-700 Planned Goals'!$AB$24</definedName>
    <definedName name="inpAvgHrlyWgPlmt_Q1" localSheetId="1" hidden="1">'VETS-701 Tech Perf Report'!$AC$20</definedName>
    <definedName name="inpAvgHrlyWgPlmt_Q2" localSheetId="0" hidden="1">'VETS-700 Planned Goals'!$AJ$24</definedName>
    <definedName name="inpAvgHrlyWgPlmt_Q2" localSheetId="1" hidden="1">'VETS-701 Tech Perf Report'!$AK$20</definedName>
    <definedName name="inpAvgHrlyWgPlmt_Q3" localSheetId="0" hidden="1">'VETS-700 Planned Goals'!$AR$24</definedName>
    <definedName name="inpAvgHrlyWgPlmt_Q3" localSheetId="1" hidden="1">'VETS-701 Tech Perf Report'!$AS$20</definedName>
    <definedName name="inpAvgHrlyWgPlmt_Q4" localSheetId="0" hidden="1">'VETS-700 Planned Goals'!$AZ$24</definedName>
    <definedName name="inpAvgHrlyWgPlmt_Q4" localSheetId="1" hidden="1">'VETS-701 Tech Perf Report'!$BA$20</definedName>
    <definedName name="inpAvgHrlyWgPlmt_Tot" localSheetId="0" hidden="1">'VETS-700 Planned Goals'!$CN$24</definedName>
    <definedName name="inpAvgHrlyWgPlmt_Tot" localSheetId="1" hidden="1">'VETS-701 Tech Perf Report'!$CO$20</definedName>
    <definedName name="inpCarryOvr_Q1" localSheetId="1" hidden="1">'VETS-701 Tech Perf Report'!$AC$16</definedName>
    <definedName name="inpCarryOvr_Tot" localSheetId="1" hidden="1">'VETS-701 Tech Perf Report'!$CO$16</definedName>
    <definedName name="inpCarTech" localSheetId="0" hidden="1">'VETS-700 Planned Goals'!$CN$44</definedName>
    <definedName name="inpDirCosts_Q1" localSheetId="0" hidden="1">'VETS-700 Planned Goals'!$AB$53</definedName>
    <definedName name="inpDirCosts_Q1" localSheetId="1" hidden="1">'VETS-701 Tech Perf Report'!$AC$74</definedName>
    <definedName name="inpDirCosts_Q2" localSheetId="0" hidden="1">'VETS-700 Planned Goals'!$AJ$53</definedName>
    <definedName name="inpDirCosts_Q2" localSheetId="1" hidden="1">'VETS-701 Tech Perf Report'!$AK$74</definedName>
    <definedName name="inpDirCosts_Q3" localSheetId="0" hidden="1">'VETS-700 Planned Goals'!$AR$53</definedName>
    <definedName name="inpDirCosts_Q3" localSheetId="1" hidden="1">'VETS-701 Tech Perf Report'!$AS$74</definedName>
    <definedName name="inpDirCosts_Q4" localSheetId="0" hidden="1">'VETS-700 Planned Goals'!$AZ$53</definedName>
    <definedName name="inpDirCosts_Q4" localSheetId="1" hidden="1">'VETS-701 Tech Perf Report'!$BA$74</definedName>
    <definedName name="inpDirCosts_Tot" localSheetId="0" hidden="1">'VETS-700 Planned Goals'!$CN$53</definedName>
    <definedName name="inpDirCosts_Tot" localSheetId="1" hidden="1">'VETS-701 Tech Perf Report'!$CO$74</definedName>
    <definedName name="inpEmpRt2Qae_Q3" localSheetId="0" hidden="1">'VETS-700 Planned Goals'!$AR$28</definedName>
    <definedName name="inpEmpRt2Qae_Q3" localSheetId="1" hidden="1">'VETS-701 Tech Perf Report'!$AS$43</definedName>
    <definedName name="inpEmpRt2Qae_Q4" localSheetId="0" hidden="1">'VETS-700 Planned Goals'!$AZ$28</definedName>
    <definedName name="inpEmpRt2Qae_Q4" localSheetId="1" hidden="1">'VETS-701 Tech Perf Report'!$BA$43</definedName>
    <definedName name="inpEmpRt2Qae_Q5" localSheetId="0" hidden="1">'VETS-700 Planned Goals'!$BH$28</definedName>
    <definedName name="inpEmpRt2Qae_Q5" localSheetId="1" hidden="1">'VETS-701 Tech Perf Report'!$BI$43</definedName>
    <definedName name="inpEmpRt2Qae_Q6" localSheetId="0" hidden="1">'VETS-700 Planned Goals'!$BP$28</definedName>
    <definedName name="inpEmpRt2Qae_Q6" localSheetId="1" hidden="1">'VETS-701 Tech Perf Report'!$BQ$43</definedName>
    <definedName name="inpEmpRt2Qae_Tot" localSheetId="0" hidden="1">'VETS-700 Planned Goals'!$CN$28</definedName>
    <definedName name="inpEmpRt2Qae_Tot" localSheetId="1" hidden="1">'VETS-701 Tech Perf Report'!$CO$43</definedName>
    <definedName name="inpEmpRt4Qae_Q5" localSheetId="0" hidden="1">'VETS-700 Planned Goals'!$BH$31</definedName>
    <definedName name="inpEmpRt4Qae_Q5" localSheetId="1" hidden="1">'VETS-701 Tech Perf Report'!$BI$46</definedName>
    <definedName name="inpEmpRt4Qae_Q6" localSheetId="0" hidden="1">'VETS-700 Planned Goals'!$BP$31</definedName>
    <definedName name="inpEmpRt4Qae_Q6" localSheetId="1" hidden="1">'VETS-701 Tech Perf Report'!$BQ$46</definedName>
    <definedName name="inpEmpRt4Qae_Q7" localSheetId="0" hidden="1">'VETS-700 Planned Goals'!$BX$31</definedName>
    <definedName name="inpEmpRt4Qae_Q7" localSheetId="1" hidden="1">'VETS-701 Tech Perf Report'!$BY$46</definedName>
    <definedName name="inpEmpRt4Qae_Q8" localSheetId="0" hidden="1">'VETS-700 Planned Goals'!$CF$31</definedName>
    <definedName name="inpEmpRt4Qae_Q8" localSheetId="1" hidden="1">'VETS-701 Tech Perf Report'!$CG$46</definedName>
    <definedName name="inpEmpRt4Qae_Tot" localSheetId="0" hidden="1">'VETS-700 Planned Goals'!$CN$31</definedName>
    <definedName name="inpEmpRt4Qae_Tot" localSheetId="1" hidden="1">'VETS-701 Tech Perf Report'!$CO$46</definedName>
    <definedName name="inpEnroll_Q1" localSheetId="0" hidden="1">'VETS-700 Planned Goals'!$AB$21</definedName>
    <definedName name="inpEnroll_Q1" localSheetId="1" hidden="1">'VETS-701 Tech Perf Report'!$AC$15</definedName>
    <definedName name="inpEnroll_Q2" localSheetId="0" hidden="1">'VETS-700 Planned Goals'!$AJ$21</definedName>
    <definedName name="inpEnroll_Q2" localSheetId="1" hidden="1">'VETS-701 Tech Perf Report'!$AK$15</definedName>
    <definedName name="inpEnroll_Q3" localSheetId="0" hidden="1">'VETS-700 Planned Goals'!$AR$21</definedName>
    <definedName name="inpEnroll_Q3" localSheetId="1" hidden="1">'VETS-701 Tech Perf Report'!$AS$15</definedName>
    <definedName name="inpEnroll_Q4" localSheetId="0" hidden="1">'VETS-700 Planned Goals'!$AZ$21</definedName>
    <definedName name="inpEnroll_Q4" localSheetId="1" hidden="1">'VETS-701 Tech Perf Report'!$BA$15</definedName>
    <definedName name="inpEnroll_Tot" localSheetId="0" hidden="1">'VETS-700 Planned Goals'!$CN$21</definedName>
    <definedName name="inpEnroll_Tot" localSheetId="1" hidden="1">'VETS-701 Tech Perf Report'!$CO$15</definedName>
    <definedName name="inpEpisEnrl_Q1" localSheetId="0" hidden="1">'VETS-700 Planned Goals'!$AB$33</definedName>
    <definedName name="inpEpisEnrl_Q2" localSheetId="0" hidden="1">'VETS-700 Planned Goals'!$AJ$33</definedName>
    <definedName name="inpEpisEnrl_Q3" localSheetId="0" hidden="1">'VETS-700 Planned Goals'!$AR$33</definedName>
    <definedName name="inpEpisEnrl_Q4" localSheetId="0" hidden="1">'VETS-700 Planned Goals'!$AZ$33</definedName>
    <definedName name="inpEpisEnrl_Tot" localSheetId="0" hidden="1">'VETS-700 Planned Goals'!$CN$33</definedName>
    <definedName name="inpEpisExit_Q1" localSheetId="0" hidden="1">'VETS-700 Planned Goals'!$AB$34</definedName>
    <definedName name="inpEpisExit_Q2" localSheetId="0" hidden="1">'VETS-700 Planned Goals'!$AJ$34</definedName>
    <definedName name="inpEpisExit_Q3" localSheetId="0" hidden="1">'VETS-700 Planned Goals'!$AR$34</definedName>
    <definedName name="inpEpisExit_Q4" localSheetId="0" hidden="1">'VETS-700 Planned Goals'!$AZ$34</definedName>
    <definedName name="inpEpisExit_Tot" localSheetId="0" hidden="1">'VETS-700 Planned Goals'!$CN$34</definedName>
    <definedName name="inpEpisPlcEmp_Q1" localSheetId="0" hidden="1">'VETS-700 Planned Goals'!$AB$35</definedName>
    <definedName name="inpEpisPlcEmp_Q2" localSheetId="0" hidden="1">'VETS-700 Planned Goals'!$AJ$35</definedName>
    <definedName name="inpEpisPlcEmp_Q3" localSheetId="0" hidden="1">'VETS-700 Planned Goals'!$AR$35</definedName>
    <definedName name="inpEpisPlcEmp_Q4" localSheetId="0" hidden="1">'VETS-700 Planned Goals'!$AZ$35</definedName>
    <definedName name="inpEpisPlcEmp_Tot" localSheetId="0" hidden="1">'VETS-700 Planned Goals'!$CN$35</definedName>
    <definedName name="inpErnWg2Qae_Q3" localSheetId="0" hidden="1">'VETS-700 Planned Goals'!$AR$27</definedName>
    <definedName name="inpErnWg2Qae_Q3" localSheetId="1" hidden="1">'VETS-701 Tech Perf Report'!$AS$42</definedName>
    <definedName name="inpErnWg2Qae_Q4" localSheetId="0" hidden="1">'VETS-700 Planned Goals'!$AZ$27</definedName>
    <definedName name="inpErnWg2Qae_Q4" localSheetId="1" hidden="1">'VETS-701 Tech Perf Report'!$BA$42</definedName>
    <definedName name="inpErnWg2Qae_Q5" localSheetId="0" hidden="1">'VETS-700 Planned Goals'!$BH$27</definedName>
    <definedName name="inpErnWg2Qae_Q5" localSheetId="1" hidden="1">'VETS-701 Tech Perf Report'!$BI$42</definedName>
    <definedName name="inpErnWg2Qae_Q6" localSheetId="0" hidden="1">'VETS-700 Planned Goals'!$BP$27</definedName>
    <definedName name="inpErnWg2Qae_Q6" localSheetId="1" hidden="1">'VETS-701 Tech Perf Report'!$BQ$42</definedName>
    <definedName name="inpErnWg2Qae_Tot" localSheetId="0" hidden="1">'VETS-700 Planned Goals'!$CN$27</definedName>
    <definedName name="inpErnWg2Qae_Tot" localSheetId="1" hidden="1">'VETS-701 Tech Perf Report'!$CO$42</definedName>
    <definedName name="inpErnWg4Qae_Q5" localSheetId="0" hidden="1">'VETS-700 Planned Goals'!$BH$30</definedName>
    <definedName name="inpErnWg4Qae_Q5" localSheetId="1" hidden="1">'VETS-701 Tech Perf Report'!$BI$45</definedName>
    <definedName name="inpErnWg4Qae_Q6" localSheetId="0" hidden="1">'VETS-700 Planned Goals'!$BP$30</definedName>
    <definedName name="inpErnWg4Qae_Q6" localSheetId="1" hidden="1">'VETS-701 Tech Perf Report'!$BQ$45</definedName>
    <definedName name="inpErnWg4Qae_Q7" localSheetId="0" hidden="1">'VETS-700 Planned Goals'!$BX$30</definedName>
    <definedName name="inpErnWg4Qae_Q7" localSheetId="1" hidden="1">'VETS-701 Tech Perf Report'!$BY$45</definedName>
    <definedName name="inpErnWg4Qae_Q8" localSheetId="0" hidden="1">'VETS-700 Planned Goals'!$CF$30</definedName>
    <definedName name="inpErnWg4Qae_Q8" localSheetId="1" hidden="1">'VETS-701 Tech Perf Report'!$CG$45</definedName>
    <definedName name="inpErnWg4Qae_Tot" localSheetId="0" hidden="1">'VETS-700 Planned Goals'!$CN$30</definedName>
    <definedName name="inpErnWg4Qae_Tot" localSheetId="1" hidden="1">'VETS-701 Tech Perf Report'!$CO$45</definedName>
    <definedName name="inpExit_Q1" localSheetId="0" hidden="1">'VETS-700 Planned Goals'!$AB$26</definedName>
    <definedName name="inpExit_Q1" localSheetId="1" hidden="1">'VETS-701 Tech Perf Report'!$AC$22</definedName>
    <definedName name="inpExit_Q2" localSheetId="0" hidden="1">'VETS-700 Planned Goals'!$AJ$26</definedName>
    <definedName name="inpExit_Q2" localSheetId="1" hidden="1">'VETS-701 Tech Perf Report'!$AK$22</definedName>
    <definedName name="inpExit_Q3" localSheetId="0" hidden="1">'VETS-700 Planned Goals'!$AR$26</definedName>
    <definedName name="inpExit_Q3" localSheetId="1" hidden="1">'VETS-701 Tech Perf Report'!$AS$22</definedName>
    <definedName name="inpExit_Q4" localSheetId="0" hidden="1">'VETS-700 Planned Goals'!$AZ$26</definedName>
    <definedName name="inpExit_Q4" localSheetId="1" hidden="1">'VETS-701 Tech Perf Report'!$BA$22</definedName>
    <definedName name="inpExit_Tot" localSheetId="0" hidden="1">'VETS-700 Planned Goals'!$CN$26</definedName>
    <definedName name="inpExit_Tot" localSheetId="1" hidden="1">'VETS-701 Tech Perf Report'!$CO$22</definedName>
    <definedName name="inpFipsCovCodes" localSheetId="0" hidden="1">'VETS-700 Planned Goals'!$DA$7</definedName>
    <definedName name="inpFundingAmt" localSheetId="0" hidden="1">'VETS-700 Planned Goals'!$L$6</definedName>
    <definedName name="inpFundingAmt" localSheetId="1" hidden="1">'VETS-701 Tech Perf Report'!$AO$4</definedName>
    <definedName name="inpGeoCovArea" localSheetId="0" hidden="1">'VETS-700 Planned Goals'!$BB$11</definedName>
    <definedName name="inpGrantBeginDate" localSheetId="0" hidden="1">'VETS-700 Planned Goals'!$AI$6</definedName>
    <definedName name="inpGranteeName" localSheetId="0" hidden="1">'VETS-700 Planned Goals'!$L$9</definedName>
    <definedName name="inpGranteeName" localSheetId="1" hidden="1">'VETS-701 Tech Perf Report'!$L$7</definedName>
    <definedName name="inpGrantEndDate" localSheetId="0" hidden="1">'VETS-700 Planned Goals'!$AI$7</definedName>
    <definedName name="inpGrantNum" localSheetId="1" hidden="1">'VETS-701 Tech Perf Report'!$L$4</definedName>
    <definedName name="inpIndirCosts_Q1" localSheetId="0" hidden="1">'VETS-700 Planned Goals'!$AB$52</definedName>
    <definedName name="inpIndirCosts_Q1" localSheetId="1" hidden="1">'VETS-701 Tech Perf Report'!$AC$73</definedName>
    <definedName name="inpIndirCosts_Q2" localSheetId="0" hidden="1">'VETS-700 Planned Goals'!$AJ$52</definedName>
    <definedName name="inpIndirCosts_Q2" localSheetId="1" hidden="1">'VETS-701 Tech Perf Report'!$AK$73</definedName>
    <definedName name="inpIndirCosts_Q3" localSheetId="0" hidden="1">'VETS-700 Planned Goals'!$AR$52</definedName>
    <definedName name="inpIndirCosts_Q3" localSheetId="1" hidden="1">'VETS-701 Tech Perf Report'!$AS$73</definedName>
    <definedName name="inpIndirCosts_Q4" localSheetId="0" hidden="1">'VETS-700 Planned Goals'!$AZ$52</definedName>
    <definedName name="inpIndirCosts_Q4" localSheetId="1" hidden="1">'VETS-701 Tech Perf Report'!$BA$73</definedName>
    <definedName name="inpIndirCosts_Tot" localSheetId="0" hidden="1">'VETS-700 Planned Goals'!$CN$52</definedName>
    <definedName name="inpIndirCosts_Tot" localSheetId="1" hidden="1">'VETS-701 Tech Perf Report'!$CO$73</definedName>
    <definedName name="inpJobSrchAsst" localSheetId="0" hidden="1">'VETS-700 Planned Goals'!$CN$48</definedName>
    <definedName name="inpLocked" localSheetId="0" hidden="1">'VETS-700 Planned Goals'!$BK$6</definedName>
    <definedName name="inpMedErn2Qae_Q3" localSheetId="0" hidden="1">'VETS-700 Planned Goals'!$AR$29</definedName>
    <definedName name="inpMedErn2Qae_Q3" localSheetId="1" hidden="1">'VETS-701 Tech Perf Report'!$AS$44</definedName>
    <definedName name="inpMedErn2Qae_Q4" localSheetId="0" hidden="1">'VETS-700 Planned Goals'!$AZ$29</definedName>
    <definedName name="inpMedErn2Qae_Q4" localSheetId="1" hidden="1">'VETS-701 Tech Perf Report'!$BA$44</definedName>
    <definedName name="inpMedErn2Qae_Q5" localSheetId="0" hidden="1">'VETS-700 Planned Goals'!$BH$29</definedName>
    <definedName name="inpMedErn2Qae_Q5" localSheetId="1" hidden="1">'VETS-701 Tech Perf Report'!$BI$44</definedName>
    <definedName name="inpMedErn2Qae_Q6" localSheetId="0" hidden="1">'VETS-700 Planned Goals'!$BP$29</definedName>
    <definedName name="inpMedErn2Qae_Q6" localSheetId="1" hidden="1">'VETS-701 Tech Perf Report'!$BQ$44</definedName>
    <definedName name="inpMedErn2Qae_Tot" localSheetId="0" hidden="1">'VETS-700 Planned Goals'!$CN$29</definedName>
    <definedName name="inpMedErn2Qae_Tot" localSheetId="1" hidden="1">'VETS-701 Tech Perf Report'!$CO$44</definedName>
    <definedName name="inpOjt_App" localSheetId="0" hidden="1">'VETS-700 Planned Goals'!$CN$46</definedName>
    <definedName name="inpOjt_NotApp" localSheetId="0" hidden="1">'VETS-700 Planned Goals'!$CN$45</definedName>
    <definedName name="inpOptYear" localSheetId="1" hidden="1">'VETS-701 Tech Perf Report'!$BK$4</definedName>
    <definedName name="inpPartSvcCosts_Q1" localSheetId="0" hidden="1">'VETS-700 Planned Goals'!$AB$51</definedName>
    <definedName name="inpPartSvcCosts_Q1" localSheetId="1" hidden="1">'VETS-701 Tech Perf Report'!$AC$72</definedName>
    <definedName name="inpPartSvcCosts_Q2" localSheetId="0" hidden="1">'VETS-700 Planned Goals'!$AJ$51</definedName>
    <definedName name="inpPartSvcCosts_Q2" localSheetId="1" hidden="1">'VETS-701 Tech Perf Report'!$AK$72</definedName>
    <definedName name="inpPartSvcCosts_Q3" localSheetId="0" hidden="1">'VETS-700 Planned Goals'!$AR$51</definedName>
    <definedName name="inpPartSvcCosts_Q3" localSheetId="1" hidden="1">'VETS-701 Tech Perf Report'!$AS$72</definedName>
    <definedName name="inpPartSvcCosts_Q4" localSheetId="0" hidden="1">'VETS-700 Planned Goals'!$AZ$51</definedName>
    <definedName name="inpPartSvcCosts_Q4" localSheetId="1" hidden="1">'VETS-701 Tech Perf Report'!$BA$72</definedName>
    <definedName name="inpPartSvcCosts_Tot" localSheetId="0" hidden="1">'VETS-700 Planned Goals'!$CN$51</definedName>
    <definedName name="inpPartSvcCosts_Tot" localSheetId="1" hidden="1">'VETS-701 Tech Perf Report'!$CO$72</definedName>
    <definedName name="inpPctPlnEnrl_AtRisk" localSheetId="0" hidden="1">'VETS-700 Planned Goals'!$CN$38</definedName>
    <definedName name="inpPctPlnEnrl_Fem" localSheetId="0" hidden="1">'VETS-700 Planned Goals'!$CN$40</definedName>
    <definedName name="inpPctPlnEnrl_Fmy" localSheetId="0" hidden="1">'VETS-700 Planned Goals'!$CN$39</definedName>
    <definedName name="inpPctPlnEnrl_Ivtp" localSheetId="0" hidden="1">'VETS-700 Planned Goals'!$CN$37</definedName>
    <definedName name="inpPlcEmp_Q1" localSheetId="0" hidden="1">'VETS-700 Planned Goals'!$AB$23</definedName>
    <definedName name="inpPlcEmp_Q1" localSheetId="1" hidden="1">'VETS-701 Tech Perf Report'!$AC$19</definedName>
    <definedName name="inpPlcEmp_Q2" localSheetId="0" hidden="1">'VETS-700 Planned Goals'!$AJ$23</definedName>
    <definedName name="inpPlcEmp_Q2" localSheetId="1" hidden="1">'VETS-701 Tech Perf Report'!$AK$19</definedName>
    <definedName name="inpPlcEmp_Q3" localSheetId="0" hidden="1">'VETS-700 Planned Goals'!$AR$23</definedName>
    <definedName name="inpPlcEmp_Q3" localSheetId="1" hidden="1">'VETS-701 Tech Perf Report'!$AS$19</definedName>
    <definedName name="inpPlcEmp_Q4" localSheetId="0" hidden="1">'VETS-700 Planned Goals'!$AZ$23</definedName>
    <definedName name="inpPlcEmp_Q4" localSheetId="1" hidden="1">'VETS-701 Tech Perf Report'!$BA$19</definedName>
    <definedName name="inpPlcEmp_Tot" localSheetId="0" hidden="1">'VETS-700 Planned Goals'!$CN$23</definedName>
    <definedName name="inpPlcEmp_Tot" localSheetId="1" hidden="1">'VETS-701 Tech Perf Report'!$CO$19</definedName>
    <definedName name="inpPlcHous_Q1" localSheetId="0" hidden="1">'VETS-700 Planned Goals'!$AB$22</definedName>
    <definedName name="inpPlcHous_Q1" localSheetId="1" hidden="1">'VETS-701 Tech Perf Report'!$AC$18</definedName>
    <definedName name="inpPlcHous_Q2" localSheetId="0" hidden="1">'VETS-700 Planned Goals'!$AJ$22</definedName>
    <definedName name="inpPlcHous_Q2" localSheetId="1" hidden="1">'VETS-701 Tech Perf Report'!$AK$18</definedName>
    <definedName name="inpPlcHous_Q3" localSheetId="0" hidden="1">'VETS-700 Planned Goals'!$AR$22</definedName>
    <definedName name="inpPlcHous_Q3" localSheetId="1" hidden="1">'VETS-701 Tech Perf Report'!$AS$18</definedName>
    <definedName name="inpPlcHous_Q4" localSheetId="0" hidden="1">'VETS-700 Planned Goals'!$AZ$22</definedName>
    <definedName name="inpPlcHous_Q4" localSheetId="1" hidden="1">'VETS-701 Tech Perf Report'!$BA$18</definedName>
    <definedName name="inpPlcHous_Tot" localSheetId="0" hidden="1">'VETS-700 Planned Goals'!$CN$22</definedName>
    <definedName name="inpPlcHous_Tot" localSheetId="1" hidden="1">'VETS-701 Tech Perf Report'!$CO$18</definedName>
    <definedName name="inpPlmtRate_Enrl" localSheetId="1" hidden="1">'VETS-701 Tech Perf Report'!$BY$21</definedName>
    <definedName name="inpPlmtRate_Exit" localSheetId="1" hidden="1">'VETS-701 Tech Perf Report'!$CO$21</definedName>
    <definedName name="inpPlmtRate_Q1" localSheetId="0" hidden="1">'VETS-700 Planned Goals'!$AB$25</definedName>
    <definedName name="inpPlmtRate_Q1" localSheetId="1" hidden="1">'VETS-701 Tech Perf Report'!$AC$21</definedName>
    <definedName name="inpPlmtRate_Q2" localSheetId="0" hidden="1">'VETS-700 Planned Goals'!$AJ$25</definedName>
    <definedName name="inpPlmtRate_Q2" localSheetId="1" hidden="1">'VETS-701 Tech Perf Report'!$AK$21</definedName>
    <definedName name="inpPlmtRate_Q3" localSheetId="0" hidden="1">'VETS-700 Planned Goals'!$AR$25</definedName>
    <definedName name="inpPlmtRate_Q3" localSheetId="1" hidden="1">'VETS-701 Tech Perf Report'!$AS$21</definedName>
    <definedName name="inpPlmtRate_Q4" localSheetId="0" hidden="1">'VETS-700 Planned Goals'!$AZ$25</definedName>
    <definedName name="inpPlmtRate_Q4" localSheetId="1" hidden="1">'VETS-701 Tech Perf Report'!$BA$21</definedName>
    <definedName name="inpPlmtRate_Tot" localSheetId="0" hidden="1">'VETS-700 Planned Goals'!$CN$25</definedName>
    <definedName name="inpPlmtRateEpis_Q1" localSheetId="0" hidden="1">'VETS-700 Planned Goals'!$AB$36</definedName>
    <definedName name="inpPlmtRateEpis_Q2" localSheetId="0" hidden="1">'VETS-700 Planned Goals'!$AJ$36</definedName>
    <definedName name="inpPlmtRateEpis_Q3" localSheetId="0" hidden="1">'VETS-700 Planned Goals'!$AR$36</definedName>
    <definedName name="inpPlmtRateEpis_Q4" localSheetId="0" hidden="1">'VETS-700 Planned Goals'!$AZ$36</definedName>
    <definedName name="inpPlmtRateEpis_Tot" localSheetId="0" hidden="1">'VETS-700 Planned Goals'!$CN$36</definedName>
    <definedName name="inpProjectName" localSheetId="0" hidden="1">'VETS-700 Planned Goals'!$L$13</definedName>
    <definedName name="inpRediTrans" localSheetId="0" hidden="1">'VETS-700 Planned Goals'!$CN$47</definedName>
    <definedName name="inpReportQtr" localSheetId="1" hidden="1">'VETS-701 Tech Perf Report'!$CA$4</definedName>
    <definedName name="inpStateAbbr" localSheetId="0" hidden="1">'VETS-700 Planned Goals'!$BK$8</definedName>
    <definedName name="inpStateName" localSheetId="0" hidden="1">'VETS-700 Planned Goals'!$BO$8</definedName>
    <definedName name="inpStateName" localSheetId="1" hidden="1">'VETS-701 Tech Perf Report'!$BK$7</definedName>
    <definedName name="inpTotExp_Q1" localSheetId="0" hidden="1">'VETS-700 Planned Goals'!$AB$55</definedName>
    <definedName name="inpTotExp_Q1" localSheetId="1" hidden="1">'VETS-701 Tech Perf Report'!$AC$76</definedName>
    <definedName name="inpTotExp_Q2" localSheetId="0" hidden="1">'VETS-700 Planned Goals'!$AJ$55</definedName>
    <definedName name="inpTotExp_Q2" localSheetId="1" hidden="1">'VETS-701 Tech Perf Report'!$AK$76</definedName>
    <definedName name="inpTotExp_Q3" localSheetId="0" hidden="1">'VETS-700 Planned Goals'!$AR$55</definedName>
    <definedName name="inpTotExp_Q3" localSheetId="1" hidden="1">'VETS-701 Tech Perf Report'!$AS$76</definedName>
    <definedName name="inpTotExp_Q4" localSheetId="0" hidden="1">'VETS-700 Planned Goals'!$AZ$55</definedName>
    <definedName name="inpTotExp_Q4" localSheetId="1" hidden="1">'VETS-701 Tech Perf Report'!$BA$76</definedName>
    <definedName name="inpTotExp_Tot" localSheetId="0" hidden="1">'VETS-700 Planned Goals'!$CN$55</definedName>
    <definedName name="inpTotExp_Tot" localSheetId="1" hidden="1">'VETS-701 Tech Perf Report'!$CO$76</definedName>
    <definedName name="inpUndupCntTrn" localSheetId="0" hidden="1">'VETS-700 Planned Goals'!$CN$43</definedName>
    <definedName name="lblAdminCosts" localSheetId="0" hidden="1">'VETS-700 Planned Goals'!$C$54</definedName>
    <definedName name="lblAdminCosts" localSheetId="1" hidden="1">'VETS-701 Tech Perf Report'!$D$75</definedName>
    <definedName name="lblAvgHrlyWgPlmt" localSheetId="0" hidden="1">'VETS-700 Planned Goals'!$C$24</definedName>
    <definedName name="lblCarTech" localSheetId="0" hidden="1">'VETS-700 Planned Goals'!$C$44</definedName>
    <definedName name="lblDirCosts" localSheetId="0" hidden="1">'VETS-700 Planned Goals'!$C$53</definedName>
    <definedName name="lblDirCosts" localSheetId="1" hidden="1">'VETS-701 Tech Perf Report'!$D$74</definedName>
    <definedName name="lblEmpRt4Qae" localSheetId="0" hidden="1">'VETS-700 Planned Goals'!$C$31</definedName>
    <definedName name="lblEnroll" localSheetId="0" hidden="1">'VETS-700 Planned Goals'!$C$21</definedName>
    <definedName name="lblEpisEnrl" localSheetId="0" hidden="1">'VETS-700 Planned Goals'!$C$33</definedName>
    <definedName name="lblEpisExit" localSheetId="0" hidden="1">'VETS-700 Planned Goals'!$C$34</definedName>
    <definedName name="lblEpisPlcEmp" localSheetId="0" hidden="1">'VETS-700 Planned Goals'!$C$35</definedName>
    <definedName name="lblErnWg2Qae" localSheetId="0" hidden="1">'VETS-700 Planned Goals'!$C$27</definedName>
    <definedName name="lblErnWg4Qae" localSheetId="0" hidden="1">'VETS-700 Planned Goals'!$C$30</definedName>
    <definedName name="lblExit" localSheetId="0" hidden="1">'VETS-700 Planned Goals'!$C$26</definedName>
    <definedName name="lblFundingAmt" localSheetId="0" hidden="1">'VETS-700 Planned Goals'!$B$6</definedName>
    <definedName name="lblGeoCovArea" localSheetId="0" hidden="1">'VETS-700 Planned Goals'!$BB$10</definedName>
    <definedName name="lblGrantBeginDate" localSheetId="0" hidden="1">'VETS-700 Planned Goals'!$AA$6</definedName>
    <definedName name="lblGranteeName" localSheetId="0" hidden="1">'VETS-700 Planned Goals'!$B$9</definedName>
    <definedName name="lblGrantEndDate" localSheetId="0" hidden="1">'VETS-700 Planned Goals'!$AA$7</definedName>
    <definedName name="lblIndirCosts" localSheetId="0" hidden="1">'VETS-700 Planned Goals'!$C$52</definedName>
    <definedName name="lblIndirCosts" localSheetId="1" hidden="1">'VETS-701 Tech Perf Report'!$D$73</definedName>
    <definedName name="lblJobSrchAsst" localSheetId="0" hidden="1">'VETS-700 Planned Goals'!$C$48</definedName>
    <definedName name="lblLocked" localSheetId="0" hidden="1">'VETS-700 Planned Goals'!$BB$6</definedName>
    <definedName name="lblMedErn2Qae" localSheetId="0" hidden="1">'VETS-700 Planned Goals'!$C$29</definedName>
    <definedName name="lblOjt_App" localSheetId="0" hidden="1">'VETS-700 Planned Goals'!$C$46</definedName>
    <definedName name="lblOjt_NotApp" localSheetId="0" hidden="1">'VETS-700 Planned Goals'!$C$45</definedName>
    <definedName name="lblPartSvcCosts" localSheetId="0" hidden="1">'VETS-700 Planned Goals'!$C$51</definedName>
    <definedName name="lblPartSvcCosts" localSheetId="1" hidden="1">'VETS-701 Tech Perf Report'!$D$72</definedName>
    <definedName name="lblPctPlnEnrl_AtRisk" localSheetId="0" hidden="1">'VETS-700 Planned Goals'!$C$38</definedName>
    <definedName name="lblPctPlnEnrl_Fem" localSheetId="0" hidden="1">'VETS-700 Planned Goals'!$C$40</definedName>
    <definedName name="lblPctPlnEnrl_Fmy" localSheetId="0" hidden="1">'VETS-700 Planned Goals'!$C$39</definedName>
    <definedName name="lblPctPlnEnrl_Ivtp" localSheetId="0" hidden="1">'VETS-700 Planned Goals'!$C$37</definedName>
    <definedName name="lblPlcEmp" localSheetId="0" hidden="1">'VETS-700 Planned Goals'!$C$23</definedName>
    <definedName name="lblPlcHous" localSheetId="0" hidden="1">'VETS-700 Planned Goals'!$C$22</definedName>
    <definedName name="lblPlmtRateEpis" localSheetId="0" hidden="1">'VETS-700 Planned Goals'!$C$36</definedName>
    <definedName name="lblPlmtRateOvr" localSheetId="0" hidden="1">'VETS-700 Planned Goals'!$C$25</definedName>
    <definedName name="lblProjectName" localSheetId="0" hidden="1">'VETS-700 Planned Goals'!$B$13</definedName>
    <definedName name="lblQtrHdrCore" localSheetId="0" hidden="1">'VETS-700 Planned Goals'!$AB$17</definedName>
    <definedName name="lblQtrHdrFup" localSheetId="0" hidden="1">'VETS-700 Planned Goals'!$BH$17</definedName>
    <definedName name="lblQtrHdrMeas" localSheetId="0" hidden="1">'VETS-700 Planned Goals'!$B$18</definedName>
    <definedName name="lblQtrHdrQ1" localSheetId="0" hidden="1">'VETS-700 Planned Goals'!$AB$18</definedName>
    <definedName name="lblQtrHdrQ2" localSheetId="0" hidden="1">'VETS-700 Planned Goals'!$AJ$18</definedName>
    <definedName name="lblQtrHdrQ3" localSheetId="0" hidden="1">'VETS-700 Planned Goals'!$AR$18</definedName>
    <definedName name="lblQtrHdrQ4" localSheetId="0" hidden="1">'VETS-700 Planned Goals'!$AZ$18</definedName>
    <definedName name="lblQtrHdrQ5" localSheetId="0" hidden="1">'VETS-700 Planned Goals'!$BH$18</definedName>
    <definedName name="lblQtrHdrQ6" localSheetId="0" hidden="1">'VETS-700 Planned Goals'!$BP$18</definedName>
    <definedName name="lblQtrHdrQ7" localSheetId="0" hidden="1">'VETS-700 Planned Goals'!$BX$18</definedName>
    <definedName name="lblQtrHdrQ8" localSheetId="0" hidden="1">'VETS-700 Planned Goals'!$CF$18</definedName>
    <definedName name="lblRediTrans" localSheetId="0" hidden="1">'VETS-700 Planned Goals'!$C$47</definedName>
    <definedName name="lblStateAbbr" localSheetId="0" hidden="1">'VETS-700 Planned Goals'!$BB$8</definedName>
    <definedName name="lblTotExp" localSheetId="0" hidden="1">'VETS-700 Planned Goals'!$C$55</definedName>
    <definedName name="lblTotExp" localSheetId="1" hidden="1">'VETS-701 Tech Perf Report'!$D$76</definedName>
    <definedName name="lblUndupCntTrn" localSheetId="0" hidden="1">'VETS-700 Planned Goals'!$C$43</definedName>
    <definedName name="outOptYear" hidden="1">'VETS-701 Tech Perf Report'!$DD$5</definedName>
    <definedName name="outReportQtr" localSheetId="1" hidden="1">'VETS-701 Tech Perf Report'!$DB$5</definedName>
    <definedName name="_xlnm.Print_Area" localSheetId="0" hidden="1">'VETS-700 Planned Goals'!$A$2:$CV$60</definedName>
    <definedName name="_xlnm.Print_Area" localSheetId="1" hidden="1">'VETS-701 Tech Perf Report'!$A$2:$CW$81</definedName>
    <definedName name="setTagURL" hidden="1">"https://onedrive.live.com/view.aspx?cid=0F92FC2BD5F29BD2&amp;authKey=!AKrh49qnid-Lm-U&amp;resid=F92FC2BD5F29BD2!201&amp;ithint=.pdf&amp;open=true&amp;app=WordPdf"</definedName>
    <definedName name="valCreds" localSheetId="8" hidden="1">OFFSET(AppData!$AZ$1,1,0,COUNTA(AppData!$AZ:$AZ)-1,1)</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blFipsStateCountyCodes" name="tblFipsStateCountyCodes" connection="WorksheetConnection_tblFipsStateCountyCodes"/>
          <x15:modelTable id="tblFipsStateCodes" name="tblFipsStateCodes" connection="WorksheetConnection_tblFipsStateCodes"/>
          <x15:modelTable id="Table3" name="Table3" connection="WorksheetConnection_Table3"/>
          <x15:modelTable id="Table2" name="Table2" connection="WorksheetConnection_Table2"/>
        </x15:modelTables>
      </x15:dataModel>
    </ext>
  </extLst>
</workbook>
</file>

<file path=xl/calcChain.xml><?xml version="1.0" encoding="utf-8"?>
<calcChain xmlns="http://schemas.openxmlformats.org/spreadsheetml/2006/main">
  <c r="L505" i="1" l="1"/>
  <c r="K505" i="1"/>
  <c r="J505" i="1"/>
  <c r="I505" i="1"/>
  <c r="H505" i="1"/>
  <c r="G505" i="1"/>
  <c r="F505" i="1"/>
  <c r="E505" i="1"/>
  <c r="CA5" i="1" l="1"/>
  <c r="CA6" i="1"/>
  <c r="CA7" i="1"/>
  <c r="CA8" i="1"/>
  <c r="CA10" i="1"/>
  <c r="CA12" i="1"/>
  <c r="CA13" i="1"/>
  <c r="CA14" i="1"/>
  <c r="CA15" i="1"/>
  <c r="CA16" i="1"/>
  <c r="CA17" i="1"/>
  <c r="CA18" i="1"/>
  <c r="CA19" i="1"/>
  <c r="CA20" i="1"/>
  <c r="CA22" i="1"/>
  <c r="CA25" i="1"/>
  <c r="CA26" i="1"/>
  <c r="CA28" i="1"/>
  <c r="CA30" i="1"/>
  <c r="CA32" i="1"/>
  <c r="CA33" i="1"/>
  <c r="CA35" i="1"/>
  <c r="CA36" i="1"/>
  <c r="CA37" i="1"/>
  <c r="CA38" i="1"/>
  <c r="CA39" i="1"/>
  <c r="CA41" i="1"/>
  <c r="CA42" i="1"/>
  <c r="CA43" i="1"/>
  <c r="CA44" i="1"/>
  <c r="CA45" i="1"/>
  <c r="CA47" i="1"/>
  <c r="CA48" i="1"/>
  <c r="CA49" i="1"/>
  <c r="CA50" i="1"/>
  <c r="CA52" i="1"/>
  <c r="CA54" i="1"/>
  <c r="CA55" i="1"/>
  <c r="CA56" i="1"/>
  <c r="CA57" i="1"/>
  <c r="CA58" i="1"/>
  <c r="CA59" i="1"/>
  <c r="CA62" i="1"/>
  <c r="CA63" i="1"/>
  <c r="CA64" i="1"/>
  <c r="CA66" i="1"/>
  <c r="CA67" i="1"/>
  <c r="CA68" i="1"/>
  <c r="CA396" i="1"/>
  <c r="CA397" i="1"/>
  <c r="CA398" i="1"/>
  <c r="CA399" i="1"/>
  <c r="CA400" i="1"/>
  <c r="CA9" i="1"/>
  <c r="CA401" i="1"/>
  <c r="CA402" i="1"/>
  <c r="CA403" i="1"/>
  <c r="CA404" i="1"/>
  <c r="CA405" i="1"/>
  <c r="CA406" i="1"/>
  <c r="CA407" i="1"/>
  <c r="CA408" i="1"/>
  <c r="CA409" i="1"/>
  <c r="CA410" i="1"/>
  <c r="CA411" i="1"/>
  <c r="CA412" i="1"/>
  <c r="CA413" i="1"/>
  <c r="CA414" i="1"/>
  <c r="CA415" i="1"/>
  <c r="CA416" i="1"/>
  <c r="CA417" i="1"/>
  <c r="CA418" i="1"/>
  <c r="CA419" i="1"/>
  <c r="CA420" i="1"/>
  <c r="CA53" i="1"/>
  <c r="CA421" i="1"/>
  <c r="CA422" i="1"/>
  <c r="CA423" i="1"/>
  <c r="CA424" i="1"/>
  <c r="CA425" i="1"/>
  <c r="CA426" i="1"/>
  <c r="CA427" i="1"/>
  <c r="CA428" i="1"/>
  <c r="CA429" i="1"/>
  <c r="CA430" i="1"/>
  <c r="CA431" i="1"/>
  <c r="CA432" i="1"/>
  <c r="CA433" i="1"/>
  <c r="CA434" i="1"/>
  <c r="CA435" i="1"/>
  <c r="CA436" i="1"/>
  <c r="CA437" i="1"/>
  <c r="CA438" i="1"/>
  <c r="CA439" i="1"/>
  <c r="CA440" i="1"/>
  <c r="CA441" i="1"/>
  <c r="CA442" i="1"/>
  <c r="CA443" i="1"/>
  <c r="CA444" i="1"/>
  <c r="CA445" i="1"/>
  <c r="CA446" i="1"/>
  <c r="CA447" i="1"/>
  <c r="CA448" i="1"/>
  <c r="CA449" i="1"/>
  <c r="CA450" i="1"/>
  <c r="CA451" i="1"/>
  <c r="CA452" i="1"/>
  <c r="CA453" i="1"/>
  <c r="CA454" i="1"/>
  <c r="CA455" i="1"/>
  <c r="CA456" i="1"/>
  <c r="CA457" i="1"/>
  <c r="CA458" i="1"/>
  <c r="CA459" i="1"/>
  <c r="CA460" i="1"/>
  <c r="CA461" i="1"/>
  <c r="CA462" i="1"/>
  <c r="CA463" i="1"/>
  <c r="CA464" i="1"/>
  <c r="CA465" i="1"/>
  <c r="CA466" i="1"/>
  <c r="CA467" i="1"/>
  <c r="CA468" i="1"/>
  <c r="CA469" i="1"/>
  <c r="CA21" i="1"/>
  <c r="CA470" i="1"/>
  <c r="CA471" i="1"/>
  <c r="CA472" i="1"/>
  <c r="CA473" i="1"/>
  <c r="CA474" i="1"/>
  <c r="CA475" i="1"/>
  <c r="CA23" i="1"/>
  <c r="CA476" i="1"/>
  <c r="CA477" i="1"/>
  <c r="CA478" i="1"/>
  <c r="CA479" i="1"/>
  <c r="CA480" i="1"/>
  <c r="CA481" i="1"/>
  <c r="CA482" i="1"/>
  <c r="CA483" i="1"/>
  <c r="CA484" i="1"/>
  <c r="CA485" i="1"/>
  <c r="CA486" i="1"/>
  <c r="CA487" i="1"/>
  <c r="CA488" i="1"/>
  <c r="CA489" i="1"/>
  <c r="CA490" i="1"/>
  <c r="CA491" i="1"/>
  <c r="CA492" i="1"/>
  <c r="CA493" i="1"/>
  <c r="CA494" i="1"/>
  <c r="CA495" i="1"/>
  <c r="CA496" i="1"/>
  <c r="CA497" i="1"/>
  <c r="CA498" i="1"/>
  <c r="CA499" i="1"/>
  <c r="CA500" i="1"/>
  <c r="CA501" i="1"/>
  <c r="CA70" i="1"/>
  <c r="CA71" i="1"/>
  <c r="CA72" i="1"/>
  <c r="CA73" i="1"/>
  <c r="CA74" i="1"/>
  <c r="CA75" i="1"/>
  <c r="CA76" i="1"/>
  <c r="CA77" i="1"/>
  <c r="CA78" i="1"/>
  <c r="CA79" i="1"/>
  <c r="CA80" i="1"/>
  <c r="CA81" i="1"/>
  <c r="CA82" i="1"/>
  <c r="CA83" i="1"/>
  <c r="CA84" i="1"/>
  <c r="CA85" i="1"/>
  <c r="CA86" i="1"/>
  <c r="CA87" i="1"/>
  <c r="CA88" i="1"/>
  <c r="CA89" i="1"/>
  <c r="CA90" i="1"/>
  <c r="CA91" i="1"/>
  <c r="CA92" i="1"/>
  <c r="CA93" i="1"/>
  <c r="CA94" i="1"/>
  <c r="CA95" i="1"/>
  <c r="CA96" i="1"/>
  <c r="CA97" i="1"/>
  <c r="CA98" i="1"/>
  <c r="CA99" i="1"/>
  <c r="CA100" i="1"/>
  <c r="CA101" i="1"/>
  <c r="CA102" i="1"/>
  <c r="CA103" i="1"/>
  <c r="CA104" i="1"/>
  <c r="CA105" i="1"/>
  <c r="CA106" i="1"/>
  <c r="CA107" i="1"/>
  <c r="CA108" i="1"/>
  <c r="CA109" i="1"/>
  <c r="CA110" i="1"/>
  <c r="CA111" i="1"/>
  <c r="CA112" i="1"/>
  <c r="CA113" i="1"/>
  <c r="CA114" i="1"/>
  <c r="CA115" i="1"/>
  <c r="CA116" i="1"/>
  <c r="CA117" i="1"/>
  <c r="CA118" i="1"/>
  <c r="CA119" i="1"/>
  <c r="CA120" i="1"/>
  <c r="CA121" i="1"/>
  <c r="CA122" i="1"/>
  <c r="CA123" i="1"/>
  <c r="CA124" i="1"/>
  <c r="CA125" i="1"/>
  <c r="CA126" i="1"/>
  <c r="CA127" i="1"/>
  <c r="CA128" i="1"/>
  <c r="CA129" i="1"/>
  <c r="CA130" i="1"/>
  <c r="CA131" i="1"/>
  <c r="CA132" i="1"/>
  <c r="CA133" i="1"/>
  <c r="CA134" i="1"/>
  <c r="CA135" i="1"/>
  <c r="CA136" i="1"/>
  <c r="CA137" i="1"/>
  <c r="CA138" i="1"/>
  <c r="CA139" i="1"/>
  <c r="CA140" i="1"/>
  <c r="CA141" i="1"/>
  <c r="CA142" i="1"/>
  <c r="CA143" i="1"/>
  <c r="CA144" i="1"/>
  <c r="CA145" i="1"/>
  <c r="CA146" i="1"/>
  <c r="CA147" i="1"/>
  <c r="CA148" i="1"/>
  <c r="CA149" i="1"/>
  <c r="CA150" i="1"/>
  <c r="CA151" i="1"/>
  <c r="CA152" i="1"/>
  <c r="CA153" i="1"/>
  <c r="CA154" i="1"/>
  <c r="CA155" i="1"/>
  <c r="CA156" i="1"/>
  <c r="CA157" i="1"/>
  <c r="CA158" i="1"/>
  <c r="CA159" i="1"/>
  <c r="CA160" i="1"/>
  <c r="CA161" i="1"/>
  <c r="CA162" i="1"/>
  <c r="CA163" i="1"/>
  <c r="CA164" i="1"/>
  <c r="CA165" i="1"/>
  <c r="CA166" i="1"/>
  <c r="CA167" i="1"/>
  <c r="CA168" i="1"/>
  <c r="CA169" i="1"/>
  <c r="CA170" i="1"/>
  <c r="CA171" i="1"/>
  <c r="CA172" i="1"/>
  <c r="CA173" i="1"/>
  <c r="CA174" i="1"/>
  <c r="CA175" i="1"/>
  <c r="CA176" i="1"/>
  <c r="CA177" i="1"/>
  <c r="CA178" i="1"/>
  <c r="CA179" i="1"/>
  <c r="CA180" i="1"/>
  <c r="CA181" i="1"/>
  <c r="CA182" i="1"/>
  <c r="CA183" i="1"/>
  <c r="CA184" i="1"/>
  <c r="CA185" i="1"/>
  <c r="CA186" i="1"/>
  <c r="CA187" i="1"/>
  <c r="CA188" i="1"/>
  <c r="CA189" i="1"/>
  <c r="CA190" i="1"/>
  <c r="CA191" i="1"/>
  <c r="CA192" i="1"/>
  <c r="CA193" i="1"/>
  <c r="CA194" i="1"/>
  <c r="CA195" i="1"/>
  <c r="CA196" i="1"/>
  <c r="CA197" i="1"/>
  <c r="CA198" i="1"/>
  <c r="CA199" i="1"/>
  <c r="CA27" i="1"/>
  <c r="CA200" i="1"/>
  <c r="CA201" i="1"/>
  <c r="CA202" i="1"/>
  <c r="CA203" i="1"/>
  <c r="CA204" i="1"/>
  <c r="CA205" i="1"/>
  <c r="CA206" i="1"/>
  <c r="CA207" i="1"/>
  <c r="CA208" i="1"/>
  <c r="CA209" i="1"/>
  <c r="CA210" i="1"/>
  <c r="CA211" i="1"/>
  <c r="CA212" i="1"/>
  <c r="CA213" i="1"/>
  <c r="CA214" i="1"/>
  <c r="CA215" i="1"/>
  <c r="CA216" i="1"/>
  <c r="CA217" i="1"/>
  <c r="CA218" i="1"/>
  <c r="CA219" i="1"/>
  <c r="CA220" i="1"/>
  <c r="CA221" i="1"/>
  <c r="CA222" i="1"/>
  <c r="CA223" i="1"/>
  <c r="CA224" i="1"/>
  <c r="CA225" i="1"/>
  <c r="CA226" i="1"/>
  <c r="CA227" i="1"/>
  <c r="CA228" i="1"/>
  <c r="CA229" i="1"/>
  <c r="CA230" i="1"/>
  <c r="CA231" i="1"/>
  <c r="CA232" i="1"/>
  <c r="CA233" i="1"/>
  <c r="CA234" i="1"/>
  <c r="CA235" i="1"/>
  <c r="CA236" i="1"/>
  <c r="CA237" i="1"/>
  <c r="CA238" i="1"/>
  <c r="CA239" i="1"/>
  <c r="CA240" i="1"/>
  <c r="CA241" i="1"/>
  <c r="CA242" i="1"/>
  <c r="CA243" i="1"/>
  <c r="CA244" i="1"/>
  <c r="CA245" i="1"/>
  <c r="CA246" i="1"/>
  <c r="CA247" i="1"/>
  <c r="CA248" i="1"/>
  <c r="CA249" i="1"/>
  <c r="CA250" i="1"/>
  <c r="CA251" i="1"/>
  <c r="CA252" i="1"/>
  <c r="CA253" i="1"/>
  <c r="CA254" i="1"/>
  <c r="CA255" i="1"/>
  <c r="CA256" i="1"/>
  <c r="CA257" i="1"/>
  <c r="CA258" i="1"/>
  <c r="CA259" i="1"/>
  <c r="CA260" i="1"/>
  <c r="CA261" i="1"/>
  <c r="CA262" i="1"/>
  <c r="CA263" i="1"/>
  <c r="CA264" i="1"/>
  <c r="CA265" i="1"/>
  <c r="CA266" i="1"/>
  <c r="CA267" i="1"/>
  <c r="CA268" i="1"/>
  <c r="CA269" i="1"/>
  <c r="CA270" i="1"/>
  <c r="CA271" i="1"/>
  <c r="CA272" i="1"/>
  <c r="CA273" i="1"/>
  <c r="CA274" i="1"/>
  <c r="CA275" i="1"/>
  <c r="CA276" i="1"/>
  <c r="CA277" i="1"/>
  <c r="CA278" i="1"/>
  <c r="CA279" i="1"/>
  <c r="CA280" i="1"/>
  <c r="CA281" i="1"/>
  <c r="CA282" i="1"/>
  <c r="CA283" i="1"/>
  <c r="CA284" i="1"/>
  <c r="CA285" i="1"/>
  <c r="CA286" i="1"/>
  <c r="CA287" i="1"/>
  <c r="CA288" i="1"/>
  <c r="CA289" i="1"/>
  <c r="CA290" i="1"/>
  <c r="CA291" i="1"/>
  <c r="CA292" i="1"/>
  <c r="CA293" i="1"/>
  <c r="CA294" i="1"/>
  <c r="CA295" i="1"/>
  <c r="CA296" i="1"/>
  <c r="CA297" i="1"/>
  <c r="CA298" i="1"/>
  <c r="CA299" i="1"/>
  <c r="CA300" i="1"/>
  <c r="CA301" i="1"/>
  <c r="CA302" i="1"/>
  <c r="CA303" i="1"/>
  <c r="CA304" i="1"/>
  <c r="CA305" i="1"/>
  <c r="CA306" i="1"/>
  <c r="CA307" i="1"/>
  <c r="CA308" i="1"/>
  <c r="CA309" i="1"/>
  <c r="CA310" i="1"/>
  <c r="CA311" i="1"/>
  <c r="CA312" i="1"/>
  <c r="CA313" i="1"/>
  <c r="CA314" i="1"/>
  <c r="CA315" i="1"/>
  <c r="CA316" i="1"/>
  <c r="CA317" i="1"/>
  <c r="CA318" i="1"/>
  <c r="CA319" i="1"/>
  <c r="CA320" i="1"/>
  <c r="CA321" i="1"/>
  <c r="CA322" i="1"/>
  <c r="CA323" i="1"/>
  <c r="CA324" i="1"/>
  <c r="CA325" i="1"/>
  <c r="CA326" i="1"/>
  <c r="CA327" i="1"/>
  <c r="CA328" i="1"/>
  <c r="CA329" i="1"/>
  <c r="CA330" i="1"/>
  <c r="CA331" i="1"/>
  <c r="CA332" i="1"/>
  <c r="CA333" i="1"/>
  <c r="CA334" i="1"/>
  <c r="CA335" i="1"/>
  <c r="CA336" i="1"/>
  <c r="CA337" i="1"/>
  <c r="CA338" i="1"/>
  <c r="CA339" i="1"/>
  <c r="CA340" i="1"/>
  <c r="CA341" i="1"/>
  <c r="CA342" i="1"/>
  <c r="CA343" i="1"/>
  <c r="CA344" i="1"/>
  <c r="CA345" i="1"/>
  <c r="CA346" i="1"/>
  <c r="CA347" i="1"/>
  <c r="CA348" i="1"/>
  <c r="CA349" i="1"/>
  <c r="CA350" i="1"/>
  <c r="CA351" i="1"/>
  <c r="CA352" i="1"/>
  <c r="CA353" i="1"/>
  <c r="CA354" i="1"/>
  <c r="CA355" i="1"/>
  <c r="CA356" i="1"/>
  <c r="CA357" i="1"/>
  <c r="CA358" i="1"/>
  <c r="CA359" i="1"/>
  <c r="CA360" i="1"/>
  <c r="CA361" i="1"/>
  <c r="CA362" i="1"/>
  <c r="CA363" i="1"/>
  <c r="CA364" i="1"/>
  <c r="CA365" i="1"/>
  <c r="CA366" i="1"/>
  <c r="CA367" i="1"/>
  <c r="CA368" i="1"/>
  <c r="CA369" i="1"/>
  <c r="CA370" i="1"/>
  <c r="CA371" i="1"/>
  <c r="CA372" i="1"/>
  <c r="CA373" i="1"/>
  <c r="CA374" i="1"/>
  <c r="CA375" i="1"/>
  <c r="CA376" i="1"/>
  <c r="CA377" i="1"/>
  <c r="CA378" i="1"/>
  <c r="CA379" i="1"/>
  <c r="CA380" i="1"/>
  <c r="CA381" i="1"/>
  <c r="CA382" i="1"/>
  <c r="CA383" i="1"/>
  <c r="CA384" i="1"/>
  <c r="CA385" i="1"/>
  <c r="CA386" i="1"/>
  <c r="CA387" i="1"/>
  <c r="CA388" i="1"/>
  <c r="CA389" i="1"/>
  <c r="CA390" i="1"/>
  <c r="CA391" i="1"/>
  <c r="CA392" i="1"/>
  <c r="CA11" i="1"/>
  <c r="CA393" i="1"/>
  <c r="CA394" i="1"/>
  <c r="CA60" i="1"/>
  <c r="CA502" i="1"/>
  <c r="CA503" i="1"/>
  <c r="CA395" i="1"/>
  <c r="CA504" i="1"/>
  <c r="CA46" i="1"/>
  <c r="CA29" i="1"/>
  <c r="CA24" i="1"/>
  <c r="CA34" i="1"/>
  <c r="CA61" i="1"/>
  <c r="CA65" i="1"/>
  <c r="CA40" i="1"/>
  <c r="CA51" i="1"/>
  <c r="CA31" i="1"/>
  <c r="CA69" i="1"/>
  <c r="BZ5" i="1"/>
  <c r="BZ6" i="1"/>
  <c r="BZ7" i="1"/>
  <c r="BZ8" i="1"/>
  <c r="BZ10" i="1"/>
  <c r="BZ12" i="1"/>
  <c r="BZ13" i="1"/>
  <c r="BZ14" i="1"/>
  <c r="BZ15" i="1"/>
  <c r="BZ16" i="1"/>
  <c r="BZ17" i="1"/>
  <c r="BZ18" i="1"/>
  <c r="BZ19" i="1"/>
  <c r="BZ20" i="1"/>
  <c r="BZ22" i="1"/>
  <c r="BZ25" i="1"/>
  <c r="BZ26" i="1"/>
  <c r="BZ28" i="1"/>
  <c r="BZ30" i="1"/>
  <c r="BZ32" i="1"/>
  <c r="BZ33" i="1"/>
  <c r="BZ35" i="1"/>
  <c r="BZ36" i="1"/>
  <c r="BZ37" i="1"/>
  <c r="BZ38" i="1"/>
  <c r="BZ39" i="1"/>
  <c r="BZ41" i="1"/>
  <c r="BZ42" i="1"/>
  <c r="BZ43" i="1"/>
  <c r="BZ44" i="1"/>
  <c r="BZ45" i="1"/>
  <c r="BZ47" i="1"/>
  <c r="BZ48" i="1"/>
  <c r="BZ49" i="1"/>
  <c r="BZ50" i="1"/>
  <c r="BZ52" i="1"/>
  <c r="BZ54" i="1"/>
  <c r="BZ55" i="1"/>
  <c r="BZ56" i="1"/>
  <c r="BZ57" i="1"/>
  <c r="BZ58" i="1"/>
  <c r="BZ59" i="1"/>
  <c r="BZ62" i="1"/>
  <c r="BZ63" i="1"/>
  <c r="BZ64" i="1"/>
  <c r="BZ66" i="1"/>
  <c r="BZ67" i="1"/>
  <c r="BZ68" i="1"/>
  <c r="BZ396" i="1"/>
  <c r="BZ397" i="1"/>
  <c r="BZ398" i="1"/>
  <c r="BZ399" i="1"/>
  <c r="BZ400" i="1"/>
  <c r="BZ9" i="1"/>
  <c r="BZ401" i="1"/>
  <c r="BZ402" i="1"/>
  <c r="BZ403" i="1"/>
  <c r="BZ404" i="1"/>
  <c r="BZ405" i="1"/>
  <c r="BZ406" i="1"/>
  <c r="BZ407" i="1"/>
  <c r="BZ408" i="1"/>
  <c r="BZ409" i="1"/>
  <c r="BZ410" i="1"/>
  <c r="BZ411" i="1"/>
  <c r="BZ412" i="1"/>
  <c r="BZ413" i="1"/>
  <c r="BZ414" i="1"/>
  <c r="BZ415" i="1"/>
  <c r="BZ416" i="1"/>
  <c r="BZ417" i="1"/>
  <c r="BZ418" i="1"/>
  <c r="BZ419" i="1"/>
  <c r="BZ420" i="1"/>
  <c r="BZ53" i="1"/>
  <c r="BZ421" i="1"/>
  <c r="BZ422" i="1"/>
  <c r="BZ423" i="1"/>
  <c r="BZ424" i="1"/>
  <c r="BZ425" i="1"/>
  <c r="BZ426" i="1"/>
  <c r="BZ427" i="1"/>
  <c r="BZ428" i="1"/>
  <c r="BZ429" i="1"/>
  <c r="BZ430" i="1"/>
  <c r="BZ431" i="1"/>
  <c r="BZ432" i="1"/>
  <c r="BZ433" i="1"/>
  <c r="BZ434" i="1"/>
  <c r="BZ435" i="1"/>
  <c r="BZ436" i="1"/>
  <c r="BZ437" i="1"/>
  <c r="BZ438" i="1"/>
  <c r="BZ439" i="1"/>
  <c r="BZ440" i="1"/>
  <c r="BZ441" i="1"/>
  <c r="BZ442" i="1"/>
  <c r="BZ443" i="1"/>
  <c r="BZ444" i="1"/>
  <c r="BZ445" i="1"/>
  <c r="BZ446" i="1"/>
  <c r="BZ447" i="1"/>
  <c r="BZ448" i="1"/>
  <c r="BZ449" i="1"/>
  <c r="BZ450" i="1"/>
  <c r="BZ451" i="1"/>
  <c r="BZ452" i="1"/>
  <c r="BZ453" i="1"/>
  <c r="BZ454" i="1"/>
  <c r="BZ455" i="1"/>
  <c r="BZ456" i="1"/>
  <c r="BZ457" i="1"/>
  <c r="BZ458" i="1"/>
  <c r="BZ459" i="1"/>
  <c r="BZ460" i="1"/>
  <c r="BZ461" i="1"/>
  <c r="BZ462" i="1"/>
  <c r="BZ463" i="1"/>
  <c r="BZ464" i="1"/>
  <c r="BZ465" i="1"/>
  <c r="BZ466" i="1"/>
  <c r="BZ467" i="1"/>
  <c r="BZ468" i="1"/>
  <c r="BZ469" i="1"/>
  <c r="BZ21" i="1"/>
  <c r="BZ470" i="1"/>
  <c r="BZ471" i="1"/>
  <c r="BZ472" i="1"/>
  <c r="BZ473" i="1"/>
  <c r="BZ474" i="1"/>
  <c r="BZ475" i="1"/>
  <c r="BZ23" i="1"/>
  <c r="BZ476" i="1"/>
  <c r="BZ477" i="1"/>
  <c r="BZ478" i="1"/>
  <c r="BZ479" i="1"/>
  <c r="BZ480" i="1"/>
  <c r="BZ481" i="1"/>
  <c r="BZ482" i="1"/>
  <c r="BZ483" i="1"/>
  <c r="BZ484" i="1"/>
  <c r="BZ485" i="1"/>
  <c r="BZ486" i="1"/>
  <c r="BZ487" i="1"/>
  <c r="BZ488" i="1"/>
  <c r="BZ489" i="1"/>
  <c r="BZ490" i="1"/>
  <c r="BZ491" i="1"/>
  <c r="BZ492" i="1"/>
  <c r="BZ493" i="1"/>
  <c r="BZ494" i="1"/>
  <c r="BZ495" i="1"/>
  <c r="BZ496" i="1"/>
  <c r="BZ497" i="1"/>
  <c r="BZ498" i="1"/>
  <c r="BZ499" i="1"/>
  <c r="BZ500" i="1"/>
  <c r="BZ501" i="1"/>
  <c r="BZ70" i="1"/>
  <c r="BZ71" i="1"/>
  <c r="BZ72" i="1"/>
  <c r="BZ73" i="1"/>
  <c r="BZ74" i="1"/>
  <c r="BZ75" i="1"/>
  <c r="BZ76" i="1"/>
  <c r="BZ77" i="1"/>
  <c r="BZ78" i="1"/>
  <c r="BZ79" i="1"/>
  <c r="BZ80" i="1"/>
  <c r="BZ81" i="1"/>
  <c r="BZ82" i="1"/>
  <c r="BZ83" i="1"/>
  <c r="BZ84" i="1"/>
  <c r="BZ85" i="1"/>
  <c r="BZ86" i="1"/>
  <c r="BZ87" i="1"/>
  <c r="BZ88" i="1"/>
  <c r="BZ89" i="1"/>
  <c r="BZ90" i="1"/>
  <c r="BZ91" i="1"/>
  <c r="BZ92" i="1"/>
  <c r="BZ93" i="1"/>
  <c r="BZ94" i="1"/>
  <c r="BZ95" i="1"/>
  <c r="BZ96" i="1"/>
  <c r="BZ97" i="1"/>
  <c r="BZ98" i="1"/>
  <c r="BZ99" i="1"/>
  <c r="BZ100" i="1"/>
  <c r="BZ101" i="1"/>
  <c r="BZ102" i="1"/>
  <c r="BZ103" i="1"/>
  <c r="BZ104" i="1"/>
  <c r="BZ105" i="1"/>
  <c r="BZ106" i="1"/>
  <c r="BZ107" i="1"/>
  <c r="BZ108" i="1"/>
  <c r="BZ109" i="1"/>
  <c r="BZ110" i="1"/>
  <c r="BZ111" i="1"/>
  <c r="BZ112" i="1"/>
  <c r="BZ113" i="1"/>
  <c r="BZ114" i="1"/>
  <c r="BZ115" i="1"/>
  <c r="BZ116" i="1"/>
  <c r="BZ117" i="1"/>
  <c r="BZ118" i="1"/>
  <c r="BZ119" i="1"/>
  <c r="BZ120" i="1"/>
  <c r="BZ121" i="1"/>
  <c r="BZ122" i="1"/>
  <c r="BZ123" i="1"/>
  <c r="BZ124" i="1"/>
  <c r="BZ125" i="1"/>
  <c r="BZ126" i="1"/>
  <c r="BZ127" i="1"/>
  <c r="BZ128" i="1"/>
  <c r="BZ129" i="1"/>
  <c r="BZ130" i="1"/>
  <c r="BZ131" i="1"/>
  <c r="BZ132" i="1"/>
  <c r="BZ133" i="1"/>
  <c r="BZ134" i="1"/>
  <c r="BZ135" i="1"/>
  <c r="BZ136" i="1"/>
  <c r="BZ137" i="1"/>
  <c r="BZ138" i="1"/>
  <c r="BZ139" i="1"/>
  <c r="BZ140" i="1"/>
  <c r="BZ141" i="1"/>
  <c r="BZ142" i="1"/>
  <c r="BZ143" i="1"/>
  <c r="BZ144" i="1"/>
  <c r="BZ145" i="1"/>
  <c r="BZ146" i="1"/>
  <c r="BZ147" i="1"/>
  <c r="BZ148" i="1"/>
  <c r="BZ149" i="1"/>
  <c r="BZ150" i="1"/>
  <c r="BZ151" i="1"/>
  <c r="BZ152" i="1"/>
  <c r="BZ153" i="1"/>
  <c r="BZ154" i="1"/>
  <c r="BZ155" i="1"/>
  <c r="BZ156" i="1"/>
  <c r="BZ157" i="1"/>
  <c r="BZ158" i="1"/>
  <c r="BZ159" i="1"/>
  <c r="BZ160" i="1"/>
  <c r="BZ161" i="1"/>
  <c r="BZ162" i="1"/>
  <c r="BZ163" i="1"/>
  <c r="BZ164" i="1"/>
  <c r="BZ165" i="1"/>
  <c r="BZ166" i="1"/>
  <c r="BZ167" i="1"/>
  <c r="BZ168" i="1"/>
  <c r="BZ169" i="1"/>
  <c r="BZ170" i="1"/>
  <c r="BZ171" i="1"/>
  <c r="BZ172" i="1"/>
  <c r="BZ173" i="1"/>
  <c r="BZ174" i="1"/>
  <c r="BZ175" i="1"/>
  <c r="BZ176" i="1"/>
  <c r="BZ177" i="1"/>
  <c r="BZ178" i="1"/>
  <c r="BZ179" i="1"/>
  <c r="BZ180" i="1"/>
  <c r="BZ181" i="1"/>
  <c r="BZ182" i="1"/>
  <c r="BZ183" i="1"/>
  <c r="BZ184" i="1"/>
  <c r="BZ185" i="1"/>
  <c r="BZ186" i="1"/>
  <c r="BZ187" i="1"/>
  <c r="BZ188" i="1"/>
  <c r="BZ189" i="1"/>
  <c r="BZ190" i="1"/>
  <c r="BZ191" i="1"/>
  <c r="BZ192" i="1"/>
  <c r="BZ193" i="1"/>
  <c r="BZ194" i="1"/>
  <c r="BZ195" i="1"/>
  <c r="BZ196" i="1"/>
  <c r="BZ197" i="1"/>
  <c r="BZ198" i="1"/>
  <c r="BZ199" i="1"/>
  <c r="BZ27" i="1"/>
  <c r="BZ200" i="1"/>
  <c r="BZ201" i="1"/>
  <c r="BZ202" i="1"/>
  <c r="BZ203" i="1"/>
  <c r="BZ204" i="1"/>
  <c r="BZ205" i="1"/>
  <c r="BZ206" i="1"/>
  <c r="BZ207" i="1"/>
  <c r="BZ208" i="1"/>
  <c r="BZ209" i="1"/>
  <c r="BZ210" i="1"/>
  <c r="BZ211" i="1"/>
  <c r="BZ212" i="1"/>
  <c r="BZ213" i="1"/>
  <c r="BZ214" i="1"/>
  <c r="BZ215" i="1"/>
  <c r="BZ216" i="1"/>
  <c r="BZ217" i="1"/>
  <c r="BZ218" i="1"/>
  <c r="BZ219" i="1"/>
  <c r="BZ220" i="1"/>
  <c r="BZ221" i="1"/>
  <c r="BZ222" i="1"/>
  <c r="BZ223" i="1"/>
  <c r="BZ224" i="1"/>
  <c r="BZ225" i="1"/>
  <c r="BZ226" i="1"/>
  <c r="BZ227" i="1"/>
  <c r="BZ228" i="1"/>
  <c r="BZ229" i="1"/>
  <c r="BZ230" i="1"/>
  <c r="BZ231" i="1"/>
  <c r="BZ232" i="1"/>
  <c r="BZ233" i="1"/>
  <c r="BZ234" i="1"/>
  <c r="BZ235" i="1"/>
  <c r="BZ236" i="1"/>
  <c r="BZ237" i="1"/>
  <c r="BZ238" i="1"/>
  <c r="BZ239" i="1"/>
  <c r="BZ240" i="1"/>
  <c r="BZ241" i="1"/>
  <c r="BZ242" i="1"/>
  <c r="BZ243" i="1"/>
  <c r="BZ244" i="1"/>
  <c r="BZ245" i="1"/>
  <c r="BZ246" i="1"/>
  <c r="BZ247" i="1"/>
  <c r="BZ248" i="1"/>
  <c r="BZ249" i="1"/>
  <c r="BZ250" i="1"/>
  <c r="BZ251" i="1"/>
  <c r="BZ252" i="1"/>
  <c r="BZ253" i="1"/>
  <c r="BZ254" i="1"/>
  <c r="BZ255" i="1"/>
  <c r="BZ256" i="1"/>
  <c r="BZ257" i="1"/>
  <c r="BZ258" i="1"/>
  <c r="BZ259" i="1"/>
  <c r="BZ260" i="1"/>
  <c r="BZ261" i="1"/>
  <c r="BZ262" i="1"/>
  <c r="BZ263" i="1"/>
  <c r="BZ264" i="1"/>
  <c r="BZ265" i="1"/>
  <c r="BZ266" i="1"/>
  <c r="BZ267" i="1"/>
  <c r="BZ268" i="1"/>
  <c r="BZ269" i="1"/>
  <c r="BZ270" i="1"/>
  <c r="BZ271" i="1"/>
  <c r="BZ272" i="1"/>
  <c r="BZ273" i="1"/>
  <c r="BZ274" i="1"/>
  <c r="BZ275" i="1"/>
  <c r="BZ276" i="1"/>
  <c r="BZ277" i="1"/>
  <c r="BZ278" i="1"/>
  <c r="BZ279" i="1"/>
  <c r="BZ280" i="1"/>
  <c r="BZ281" i="1"/>
  <c r="BZ282" i="1"/>
  <c r="BZ283" i="1"/>
  <c r="BZ284" i="1"/>
  <c r="BZ285" i="1"/>
  <c r="BZ286" i="1"/>
  <c r="BZ287" i="1"/>
  <c r="BZ288" i="1"/>
  <c r="BZ289" i="1"/>
  <c r="BZ290" i="1"/>
  <c r="BZ291" i="1"/>
  <c r="BZ292" i="1"/>
  <c r="BZ293" i="1"/>
  <c r="BZ294" i="1"/>
  <c r="BZ295" i="1"/>
  <c r="BZ296" i="1"/>
  <c r="BZ297" i="1"/>
  <c r="BZ298" i="1"/>
  <c r="BZ299" i="1"/>
  <c r="BZ300" i="1"/>
  <c r="BZ301" i="1"/>
  <c r="BZ302" i="1"/>
  <c r="BZ303" i="1"/>
  <c r="BZ304" i="1"/>
  <c r="BZ305" i="1"/>
  <c r="BZ306" i="1"/>
  <c r="BZ307" i="1"/>
  <c r="BZ308" i="1"/>
  <c r="BZ309" i="1"/>
  <c r="BZ310" i="1"/>
  <c r="BZ311" i="1"/>
  <c r="BZ312" i="1"/>
  <c r="BZ313" i="1"/>
  <c r="BZ314" i="1"/>
  <c r="BZ315" i="1"/>
  <c r="BZ316" i="1"/>
  <c r="BZ317" i="1"/>
  <c r="BZ318" i="1"/>
  <c r="BZ319" i="1"/>
  <c r="BZ320" i="1"/>
  <c r="BZ321" i="1"/>
  <c r="BZ322" i="1"/>
  <c r="BZ323" i="1"/>
  <c r="BZ324" i="1"/>
  <c r="BZ325" i="1"/>
  <c r="BZ326" i="1"/>
  <c r="BZ327" i="1"/>
  <c r="BZ328" i="1"/>
  <c r="BZ329" i="1"/>
  <c r="BZ330" i="1"/>
  <c r="BZ331" i="1"/>
  <c r="BZ332" i="1"/>
  <c r="BZ333" i="1"/>
  <c r="BZ334" i="1"/>
  <c r="BZ335" i="1"/>
  <c r="BZ336" i="1"/>
  <c r="BZ337" i="1"/>
  <c r="BZ338" i="1"/>
  <c r="BZ339" i="1"/>
  <c r="BZ340" i="1"/>
  <c r="BZ341" i="1"/>
  <c r="BZ342" i="1"/>
  <c r="BZ343" i="1"/>
  <c r="BZ344" i="1"/>
  <c r="BZ345" i="1"/>
  <c r="BZ346" i="1"/>
  <c r="BZ347" i="1"/>
  <c r="BZ348" i="1"/>
  <c r="BZ349" i="1"/>
  <c r="BZ350" i="1"/>
  <c r="BZ351" i="1"/>
  <c r="BZ352" i="1"/>
  <c r="BZ353" i="1"/>
  <c r="BZ354" i="1"/>
  <c r="BZ355" i="1"/>
  <c r="BZ356" i="1"/>
  <c r="BZ357" i="1"/>
  <c r="BZ358" i="1"/>
  <c r="BZ359" i="1"/>
  <c r="BZ360" i="1"/>
  <c r="BZ361" i="1"/>
  <c r="BZ362" i="1"/>
  <c r="BZ363" i="1"/>
  <c r="BZ364" i="1"/>
  <c r="BZ365" i="1"/>
  <c r="BZ366" i="1"/>
  <c r="BZ367" i="1"/>
  <c r="BZ368" i="1"/>
  <c r="BZ369" i="1"/>
  <c r="BZ370" i="1"/>
  <c r="BZ371" i="1"/>
  <c r="BZ372" i="1"/>
  <c r="BZ373" i="1"/>
  <c r="BZ374" i="1"/>
  <c r="BZ375" i="1"/>
  <c r="BZ376" i="1"/>
  <c r="BZ377" i="1"/>
  <c r="BZ378" i="1"/>
  <c r="BZ379" i="1"/>
  <c r="BZ380" i="1"/>
  <c r="BZ381" i="1"/>
  <c r="BZ382" i="1"/>
  <c r="BZ383" i="1"/>
  <c r="BZ384" i="1"/>
  <c r="BZ385" i="1"/>
  <c r="BZ386" i="1"/>
  <c r="BZ387" i="1"/>
  <c r="BZ388" i="1"/>
  <c r="BZ389" i="1"/>
  <c r="BZ390" i="1"/>
  <c r="BZ391" i="1"/>
  <c r="BZ392" i="1"/>
  <c r="BZ11" i="1"/>
  <c r="BZ393" i="1"/>
  <c r="BZ394" i="1"/>
  <c r="BZ60" i="1"/>
  <c r="BZ502" i="1"/>
  <c r="BZ503" i="1"/>
  <c r="BZ395" i="1"/>
  <c r="BZ504" i="1"/>
  <c r="BZ46" i="1"/>
  <c r="BZ29" i="1"/>
  <c r="BZ24" i="1"/>
  <c r="BZ34" i="1"/>
  <c r="BZ61" i="1"/>
  <c r="BZ65" i="1"/>
  <c r="BZ40" i="1"/>
  <c r="BZ51" i="1"/>
  <c r="BZ31" i="1"/>
  <c r="BZ69" i="1"/>
  <c r="AU505" i="1" l="1"/>
  <c r="AV505" i="1"/>
  <c r="N505" i="1" l="1"/>
  <c r="DD5" i="11" l="1"/>
  <c r="BT20" i="1" l="1"/>
  <c r="BT42" i="1"/>
  <c r="BT44" i="1"/>
  <c r="BT48" i="1"/>
  <c r="BT49" i="1"/>
  <c r="BT52" i="1"/>
  <c r="BT54" i="1"/>
  <c r="BT55" i="1"/>
  <c r="BT56" i="1"/>
  <c r="BT58" i="1"/>
  <c r="BT59" i="1"/>
  <c r="BT396" i="1"/>
  <c r="BT397" i="1"/>
  <c r="BT398" i="1"/>
  <c r="BT399" i="1"/>
  <c r="BT400" i="1"/>
  <c r="BT9" i="1"/>
  <c r="BT401" i="1"/>
  <c r="BT402" i="1"/>
  <c r="BT403" i="1"/>
  <c r="BT404" i="1"/>
  <c r="BT405" i="1"/>
  <c r="BT406" i="1"/>
  <c r="BT407" i="1"/>
  <c r="BT408" i="1"/>
  <c r="BT409" i="1"/>
  <c r="BT410" i="1"/>
  <c r="BT411" i="1"/>
  <c r="BT412" i="1"/>
  <c r="BT413" i="1"/>
  <c r="BT414" i="1"/>
  <c r="BT415" i="1"/>
  <c r="BT416" i="1"/>
  <c r="BT417" i="1"/>
  <c r="BT418" i="1"/>
  <c r="BT419" i="1"/>
  <c r="BT420" i="1"/>
  <c r="BT421" i="1"/>
  <c r="BT422" i="1"/>
  <c r="BT423" i="1"/>
  <c r="BT424" i="1"/>
  <c r="BT425" i="1"/>
  <c r="BT426" i="1"/>
  <c r="BT427" i="1"/>
  <c r="BT428" i="1"/>
  <c r="BT429" i="1"/>
  <c r="BT430" i="1"/>
  <c r="BT431" i="1"/>
  <c r="BT432" i="1"/>
  <c r="BT433" i="1"/>
  <c r="BT434" i="1"/>
  <c r="BT435" i="1"/>
  <c r="BT436" i="1"/>
  <c r="BT437" i="1"/>
  <c r="BT438" i="1"/>
  <c r="BT439" i="1"/>
  <c r="BT440" i="1"/>
  <c r="BT441" i="1"/>
  <c r="BT442" i="1"/>
  <c r="BT443" i="1"/>
  <c r="BT444" i="1"/>
  <c r="BT445" i="1"/>
  <c r="BT446" i="1"/>
  <c r="BT447" i="1"/>
  <c r="BT448" i="1"/>
  <c r="BT449" i="1"/>
  <c r="BT450" i="1"/>
  <c r="BT451" i="1"/>
  <c r="BT452" i="1"/>
  <c r="BT453" i="1"/>
  <c r="BT454" i="1"/>
  <c r="BT455" i="1"/>
  <c r="BT456" i="1"/>
  <c r="BT457" i="1"/>
  <c r="BT458" i="1"/>
  <c r="BT459" i="1"/>
  <c r="BT460" i="1"/>
  <c r="BT461" i="1"/>
  <c r="BT462" i="1"/>
  <c r="BT463" i="1"/>
  <c r="BT464" i="1"/>
  <c r="BT465" i="1"/>
  <c r="BT466" i="1"/>
  <c r="BT467" i="1"/>
  <c r="BT468" i="1"/>
  <c r="BT469" i="1"/>
  <c r="BT21" i="1"/>
  <c r="BT470" i="1"/>
  <c r="BT471" i="1"/>
  <c r="BT472" i="1"/>
  <c r="BT473" i="1"/>
  <c r="BT474" i="1"/>
  <c r="BT475" i="1"/>
  <c r="BT476" i="1"/>
  <c r="BT477" i="1"/>
  <c r="BT478" i="1"/>
  <c r="BT479" i="1"/>
  <c r="BT480" i="1"/>
  <c r="BT481" i="1"/>
  <c r="BT482" i="1"/>
  <c r="BT483" i="1"/>
  <c r="BT484" i="1"/>
  <c r="BT485" i="1"/>
  <c r="BT486" i="1"/>
  <c r="BT487" i="1"/>
  <c r="BT488" i="1"/>
  <c r="BT489" i="1"/>
  <c r="BT490" i="1"/>
  <c r="BT491" i="1"/>
  <c r="BT492" i="1"/>
  <c r="BT493" i="1"/>
  <c r="BT494" i="1"/>
  <c r="BT495" i="1"/>
  <c r="BT496" i="1"/>
  <c r="BT497" i="1"/>
  <c r="BT498" i="1"/>
  <c r="BT499" i="1"/>
  <c r="BT500" i="1"/>
  <c r="BT501" i="1"/>
  <c r="BT70" i="1"/>
  <c r="BT71" i="1"/>
  <c r="BT72" i="1"/>
  <c r="BT73" i="1"/>
  <c r="BT74" i="1"/>
  <c r="BT75" i="1"/>
  <c r="BT76" i="1"/>
  <c r="BT77" i="1"/>
  <c r="BT78" i="1"/>
  <c r="BT79" i="1"/>
  <c r="BT80" i="1"/>
  <c r="BT81" i="1"/>
  <c r="BT82" i="1"/>
  <c r="BT83" i="1"/>
  <c r="BT84" i="1"/>
  <c r="BT85" i="1"/>
  <c r="BT86" i="1"/>
  <c r="BT87" i="1"/>
  <c r="BT88" i="1"/>
  <c r="BT89" i="1"/>
  <c r="BT90" i="1"/>
  <c r="BT91" i="1"/>
  <c r="BT92" i="1"/>
  <c r="BT93" i="1"/>
  <c r="BT94" i="1"/>
  <c r="BT95" i="1"/>
  <c r="BT96" i="1"/>
  <c r="BT97" i="1"/>
  <c r="BT98" i="1"/>
  <c r="BT99" i="1"/>
  <c r="BT100" i="1"/>
  <c r="BT101" i="1"/>
  <c r="BT102" i="1"/>
  <c r="BT103" i="1"/>
  <c r="BT104" i="1"/>
  <c r="BT105" i="1"/>
  <c r="BT106" i="1"/>
  <c r="BT107" i="1"/>
  <c r="BT108" i="1"/>
  <c r="BT109" i="1"/>
  <c r="BT110" i="1"/>
  <c r="BT111" i="1"/>
  <c r="BT112" i="1"/>
  <c r="BT113" i="1"/>
  <c r="BT114" i="1"/>
  <c r="BT115" i="1"/>
  <c r="BT116" i="1"/>
  <c r="BT117" i="1"/>
  <c r="BT118" i="1"/>
  <c r="BT119" i="1"/>
  <c r="BT120" i="1"/>
  <c r="BT121" i="1"/>
  <c r="BT122" i="1"/>
  <c r="BT123" i="1"/>
  <c r="BT124" i="1"/>
  <c r="BT125" i="1"/>
  <c r="BT126" i="1"/>
  <c r="BT127" i="1"/>
  <c r="BT128" i="1"/>
  <c r="BT129" i="1"/>
  <c r="BT130" i="1"/>
  <c r="BT131" i="1"/>
  <c r="BT132" i="1"/>
  <c r="BT133" i="1"/>
  <c r="BT134" i="1"/>
  <c r="BT135" i="1"/>
  <c r="BT136" i="1"/>
  <c r="BT137" i="1"/>
  <c r="BT138" i="1"/>
  <c r="BT139" i="1"/>
  <c r="BT140" i="1"/>
  <c r="BT141" i="1"/>
  <c r="BT142" i="1"/>
  <c r="BT143" i="1"/>
  <c r="BT144" i="1"/>
  <c r="BT145" i="1"/>
  <c r="BT146" i="1"/>
  <c r="BT147" i="1"/>
  <c r="BT148" i="1"/>
  <c r="BT149" i="1"/>
  <c r="BT150" i="1"/>
  <c r="BT151" i="1"/>
  <c r="BT152" i="1"/>
  <c r="BT153" i="1"/>
  <c r="BT154" i="1"/>
  <c r="BT155" i="1"/>
  <c r="BT156" i="1"/>
  <c r="BT157" i="1"/>
  <c r="BT158" i="1"/>
  <c r="BT159" i="1"/>
  <c r="BT160" i="1"/>
  <c r="BT161" i="1"/>
  <c r="BT162" i="1"/>
  <c r="BT163" i="1"/>
  <c r="BT164" i="1"/>
  <c r="BT165" i="1"/>
  <c r="BT166" i="1"/>
  <c r="BT167" i="1"/>
  <c r="BT168" i="1"/>
  <c r="BT169" i="1"/>
  <c r="BT170" i="1"/>
  <c r="BT171" i="1"/>
  <c r="BT172" i="1"/>
  <c r="BT173" i="1"/>
  <c r="BT174" i="1"/>
  <c r="BT175" i="1"/>
  <c r="BT176" i="1"/>
  <c r="BT177" i="1"/>
  <c r="BT178" i="1"/>
  <c r="BT179" i="1"/>
  <c r="BT180" i="1"/>
  <c r="BT181" i="1"/>
  <c r="BT182" i="1"/>
  <c r="BT183" i="1"/>
  <c r="BT184" i="1"/>
  <c r="BT185" i="1"/>
  <c r="BT186" i="1"/>
  <c r="BT187" i="1"/>
  <c r="BT188" i="1"/>
  <c r="BT189" i="1"/>
  <c r="BT190" i="1"/>
  <c r="BT191" i="1"/>
  <c r="BT192" i="1"/>
  <c r="BT193" i="1"/>
  <c r="BT194" i="1"/>
  <c r="BT195" i="1"/>
  <c r="BT196" i="1"/>
  <c r="BT197" i="1"/>
  <c r="BT198" i="1"/>
  <c r="BT199" i="1"/>
  <c r="BT200" i="1"/>
  <c r="BT201" i="1"/>
  <c r="BT202" i="1"/>
  <c r="BT203" i="1"/>
  <c r="BT204" i="1"/>
  <c r="BT205" i="1"/>
  <c r="BT206" i="1"/>
  <c r="BT207" i="1"/>
  <c r="BT208" i="1"/>
  <c r="BT209" i="1"/>
  <c r="BT210" i="1"/>
  <c r="BT211" i="1"/>
  <c r="BT212" i="1"/>
  <c r="BT213" i="1"/>
  <c r="BT214" i="1"/>
  <c r="BT215" i="1"/>
  <c r="BT216" i="1"/>
  <c r="BT217" i="1"/>
  <c r="BT218" i="1"/>
  <c r="BT219" i="1"/>
  <c r="BT220" i="1"/>
  <c r="BT221" i="1"/>
  <c r="BT222" i="1"/>
  <c r="BT223" i="1"/>
  <c r="BT224" i="1"/>
  <c r="BT225" i="1"/>
  <c r="BT226" i="1"/>
  <c r="BT227" i="1"/>
  <c r="BT228" i="1"/>
  <c r="BT229" i="1"/>
  <c r="BT230" i="1"/>
  <c r="BT231" i="1"/>
  <c r="BT232" i="1"/>
  <c r="BT233" i="1"/>
  <c r="BT234" i="1"/>
  <c r="BT235" i="1"/>
  <c r="BT236" i="1"/>
  <c r="BT237" i="1"/>
  <c r="BT238" i="1"/>
  <c r="BT239" i="1"/>
  <c r="BT240" i="1"/>
  <c r="BT241" i="1"/>
  <c r="BT242" i="1"/>
  <c r="BT243" i="1"/>
  <c r="BT244" i="1"/>
  <c r="BT245" i="1"/>
  <c r="BT246" i="1"/>
  <c r="BT247" i="1"/>
  <c r="BT248" i="1"/>
  <c r="BT249" i="1"/>
  <c r="BT250" i="1"/>
  <c r="BT251" i="1"/>
  <c r="BT252" i="1"/>
  <c r="BT253" i="1"/>
  <c r="BT254" i="1"/>
  <c r="BT255" i="1"/>
  <c r="BT256" i="1"/>
  <c r="BT257" i="1"/>
  <c r="BT258" i="1"/>
  <c r="BT259" i="1"/>
  <c r="BT260" i="1"/>
  <c r="BT261" i="1"/>
  <c r="BT262" i="1"/>
  <c r="BT263" i="1"/>
  <c r="BT264" i="1"/>
  <c r="BT265" i="1"/>
  <c r="BT266" i="1"/>
  <c r="BT267" i="1"/>
  <c r="BT268" i="1"/>
  <c r="BT269" i="1"/>
  <c r="BT270" i="1"/>
  <c r="BT271" i="1"/>
  <c r="BT272" i="1"/>
  <c r="BT273" i="1"/>
  <c r="BT274" i="1"/>
  <c r="BT275" i="1"/>
  <c r="BT276" i="1"/>
  <c r="BT277" i="1"/>
  <c r="BT278" i="1"/>
  <c r="BT279" i="1"/>
  <c r="BT280" i="1"/>
  <c r="BT281" i="1"/>
  <c r="BT282" i="1"/>
  <c r="BT283" i="1"/>
  <c r="BT284" i="1"/>
  <c r="BT285" i="1"/>
  <c r="BT286" i="1"/>
  <c r="BT287" i="1"/>
  <c r="BT288" i="1"/>
  <c r="BT289" i="1"/>
  <c r="BT290" i="1"/>
  <c r="BT291" i="1"/>
  <c r="BT292" i="1"/>
  <c r="BT293" i="1"/>
  <c r="BT294" i="1"/>
  <c r="BT295" i="1"/>
  <c r="BT296" i="1"/>
  <c r="BT297" i="1"/>
  <c r="BT298" i="1"/>
  <c r="BT299" i="1"/>
  <c r="BT300" i="1"/>
  <c r="BT301" i="1"/>
  <c r="BT302" i="1"/>
  <c r="BT303" i="1"/>
  <c r="BT304" i="1"/>
  <c r="BT305" i="1"/>
  <c r="BT306" i="1"/>
  <c r="BT307" i="1"/>
  <c r="BT308" i="1"/>
  <c r="BT309" i="1"/>
  <c r="BT310" i="1"/>
  <c r="BT311" i="1"/>
  <c r="BT312" i="1"/>
  <c r="BT313" i="1"/>
  <c r="BT314" i="1"/>
  <c r="BT315" i="1"/>
  <c r="BT316" i="1"/>
  <c r="BT317" i="1"/>
  <c r="BT318" i="1"/>
  <c r="BT319" i="1"/>
  <c r="BT320" i="1"/>
  <c r="BT321" i="1"/>
  <c r="BT322" i="1"/>
  <c r="BT323" i="1"/>
  <c r="BT324" i="1"/>
  <c r="BT325" i="1"/>
  <c r="BT326" i="1"/>
  <c r="BT327" i="1"/>
  <c r="BT328" i="1"/>
  <c r="BT329" i="1"/>
  <c r="BT330" i="1"/>
  <c r="BT331" i="1"/>
  <c r="BT332" i="1"/>
  <c r="BT333" i="1"/>
  <c r="BT334" i="1"/>
  <c r="BT335" i="1"/>
  <c r="BT336" i="1"/>
  <c r="BT337" i="1"/>
  <c r="BT338" i="1"/>
  <c r="BT339" i="1"/>
  <c r="BT340" i="1"/>
  <c r="BT341" i="1"/>
  <c r="BT342" i="1"/>
  <c r="BT343" i="1"/>
  <c r="BT344" i="1"/>
  <c r="BT345" i="1"/>
  <c r="BT346" i="1"/>
  <c r="BT347" i="1"/>
  <c r="BT348" i="1"/>
  <c r="BT349" i="1"/>
  <c r="BT350" i="1"/>
  <c r="BT351" i="1"/>
  <c r="BT352" i="1"/>
  <c r="BT353" i="1"/>
  <c r="BT354" i="1"/>
  <c r="BT355" i="1"/>
  <c r="BT356" i="1"/>
  <c r="BT357" i="1"/>
  <c r="BT358" i="1"/>
  <c r="BT359" i="1"/>
  <c r="BT360" i="1"/>
  <c r="BT361" i="1"/>
  <c r="BT362" i="1"/>
  <c r="BT363" i="1"/>
  <c r="BT364" i="1"/>
  <c r="BT365" i="1"/>
  <c r="BT366" i="1"/>
  <c r="BT367" i="1"/>
  <c r="BT368" i="1"/>
  <c r="BT369" i="1"/>
  <c r="BT370" i="1"/>
  <c r="BT371" i="1"/>
  <c r="BT372" i="1"/>
  <c r="BT373" i="1"/>
  <c r="BT374" i="1"/>
  <c r="BT375" i="1"/>
  <c r="BT376" i="1"/>
  <c r="BT377" i="1"/>
  <c r="BT378" i="1"/>
  <c r="BT379" i="1"/>
  <c r="BT380" i="1"/>
  <c r="BT381" i="1"/>
  <c r="BT382" i="1"/>
  <c r="BT383" i="1"/>
  <c r="BT384" i="1"/>
  <c r="BT385" i="1"/>
  <c r="BT386" i="1"/>
  <c r="BT387" i="1"/>
  <c r="BT388" i="1"/>
  <c r="BT389" i="1"/>
  <c r="BT390" i="1"/>
  <c r="BT391" i="1"/>
  <c r="BT392" i="1"/>
  <c r="BT393" i="1"/>
  <c r="BT394" i="1"/>
  <c r="BT60" i="1"/>
  <c r="BT502" i="1"/>
  <c r="BT503" i="1"/>
  <c r="BT395" i="1"/>
  <c r="BT504" i="1"/>
  <c r="BT46" i="1"/>
  <c r="BU20" i="1" l="1"/>
  <c r="BU42" i="1"/>
  <c r="BU44" i="1"/>
  <c r="BU48" i="1"/>
  <c r="BU49" i="1"/>
  <c r="BU52" i="1"/>
  <c r="BU54" i="1"/>
  <c r="BU55" i="1"/>
  <c r="BU56" i="1"/>
  <c r="BU58" i="1"/>
  <c r="BU59" i="1"/>
  <c r="BU396" i="1"/>
  <c r="BU397" i="1"/>
  <c r="BU398" i="1"/>
  <c r="BU399" i="1"/>
  <c r="BU400" i="1"/>
  <c r="BU9"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21"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60" i="1"/>
  <c r="BU502" i="1"/>
  <c r="BU503" i="1"/>
  <c r="BU395" i="1"/>
  <c r="BU504" i="1"/>
  <c r="BU46" i="1"/>
  <c r="BV39" i="1" l="1"/>
  <c r="BV57" i="1"/>
  <c r="BV25" i="1"/>
  <c r="BV45" i="1"/>
  <c r="BV10" i="1"/>
  <c r="BV18" i="1"/>
  <c r="BV20" i="1"/>
  <c r="BV42" i="1"/>
  <c r="BV44" i="1"/>
  <c r="BV48" i="1"/>
  <c r="BV49" i="1"/>
  <c r="BV52" i="1"/>
  <c r="BV54" i="1"/>
  <c r="BV55" i="1"/>
  <c r="BV56" i="1"/>
  <c r="BV58" i="1"/>
  <c r="BV59" i="1"/>
  <c r="BV62" i="1"/>
  <c r="BV67" i="1"/>
  <c r="BV396" i="1"/>
  <c r="BV397" i="1"/>
  <c r="BV398" i="1"/>
  <c r="BV399" i="1"/>
  <c r="BV400" i="1"/>
  <c r="BV9" i="1"/>
  <c r="BV401" i="1"/>
  <c r="BV402" i="1"/>
  <c r="BV403" i="1"/>
  <c r="BV404" i="1"/>
  <c r="BV405" i="1"/>
  <c r="BV406" i="1"/>
  <c r="BV407" i="1"/>
  <c r="BV408" i="1"/>
  <c r="BV409" i="1"/>
  <c r="BV410" i="1"/>
  <c r="BV411" i="1"/>
  <c r="BV412" i="1"/>
  <c r="BV413" i="1"/>
  <c r="BV414" i="1"/>
  <c r="BV415" i="1"/>
  <c r="BV416" i="1"/>
  <c r="BV417" i="1"/>
  <c r="BV418" i="1"/>
  <c r="BV419" i="1"/>
  <c r="BV420" i="1"/>
  <c r="BV53" i="1"/>
  <c r="BV421" i="1"/>
  <c r="BV422" i="1"/>
  <c r="BV423" i="1"/>
  <c r="BV424" i="1"/>
  <c r="BV425" i="1"/>
  <c r="BV426" i="1"/>
  <c r="BV427" i="1"/>
  <c r="BV428" i="1"/>
  <c r="BV429" i="1"/>
  <c r="BV430" i="1"/>
  <c r="BV431" i="1"/>
  <c r="BV432" i="1"/>
  <c r="BV433" i="1"/>
  <c r="BV434" i="1"/>
  <c r="BV435" i="1"/>
  <c r="BV436" i="1"/>
  <c r="BV437" i="1"/>
  <c r="BV438" i="1"/>
  <c r="BV439" i="1"/>
  <c r="BV440" i="1"/>
  <c r="BV441" i="1"/>
  <c r="BV442" i="1"/>
  <c r="BV443" i="1"/>
  <c r="BV444" i="1"/>
  <c r="BV445" i="1"/>
  <c r="BV446" i="1"/>
  <c r="BV447" i="1"/>
  <c r="BV448" i="1"/>
  <c r="BV449" i="1"/>
  <c r="BV450" i="1"/>
  <c r="BV451" i="1"/>
  <c r="BV452" i="1"/>
  <c r="BV453" i="1"/>
  <c r="BV454" i="1"/>
  <c r="BV455" i="1"/>
  <c r="BV456" i="1"/>
  <c r="BV457" i="1"/>
  <c r="BV458" i="1"/>
  <c r="BV459" i="1"/>
  <c r="BV460" i="1"/>
  <c r="BV461" i="1"/>
  <c r="BV462" i="1"/>
  <c r="BV463" i="1"/>
  <c r="BV464" i="1"/>
  <c r="BV465" i="1"/>
  <c r="BV466" i="1"/>
  <c r="BV467" i="1"/>
  <c r="BV468" i="1"/>
  <c r="BV469" i="1"/>
  <c r="BV21" i="1"/>
  <c r="BV470" i="1"/>
  <c r="BV471" i="1"/>
  <c r="BV472" i="1"/>
  <c r="BV473" i="1"/>
  <c r="BV474" i="1"/>
  <c r="BV475" i="1"/>
  <c r="BV476" i="1"/>
  <c r="BV477" i="1"/>
  <c r="BV478" i="1"/>
  <c r="BV479" i="1"/>
  <c r="BV480" i="1"/>
  <c r="BV481" i="1"/>
  <c r="BV482" i="1"/>
  <c r="BV483" i="1"/>
  <c r="BV484" i="1"/>
  <c r="BV485" i="1"/>
  <c r="BV486" i="1"/>
  <c r="BV487" i="1"/>
  <c r="BV488" i="1"/>
  <c r="BV489" i="1"/>
  <c r="BV490" i="1"/>
  <c r="BV491" i="1"/>
  <c r="BV492" i="1"/>
  <c r="BV493" i="1"/>
  <c r="BV494" i="1"/>
  <c r="BV495" i="1"/>
  <c r="BV496" i="1"/>
  <c r="BV497" i="1"/>
  <c r="BV498" i="1"/>
  <c r="BV499" i="1"/>
  <c r="BV500" i="1"/>
  <c r="BV501" i="1"/>
  <c r="BV70" i="1"/>
  <c r="BV71" i="1"/>
  <c r="BV72" i="1"/>
  <c r="BV73" i="1"/>
  <c r="BV74" i="1"/>
  <c r="BV75" i="1"/>
  <c r="BV76" i="1"/>
  <c r="BV77" i="1"/>
  <c r="BV78" i="1"/>
  <c r="BV79" i="1"/>
  <c r="BV80" i="1"/>
  <c r="BV81" i="1"/>
  <c r="BV82" i="1"/>
  <c r="BV83" i="1"/>
  <c r="BV84" i="1"/>
  <c r="BV85" i="1"/>
  <c r="BV86" i="1"/>
  <c r="BV87" i="1"/>
  <c r="BV88" i="1"/>
  <c r="BV89" i="1"/>
  <c r="BV90" i="1"/>
  <c r="BV91" i="1"/>
  <c r="BV92" i="1"/>
  <c r="BV93" i="1"/>
  <c r="BV94" i="1"/>
  <c r="BV95" i="1"/>
  <c r="BV96" i="1"/>
  <c r="BV97" i="1"/>
  <c r="BV98" i="1"/>
  <c r="BV99" i="1"/>
  <c r="BV100" i="1"/>
  <c r="BV101" i="1"/>
  <c r="BV102" i="1"/>
  <c r="BV103" i="1"/>
  <c r="BV104" i="1"/>
  <c r="BV105" i="1"/>
  <c r="BV106" i="1"/>
  <c r="BV107" i="1"/>
  <c r="BV108" i="1"/>
  <c r="BV109" i="1"/>
  <c r="BV110" i="1"/>
  <c r="BV111" i="1"/>
  <c r="BV112" i="1"/>
  <c r="BV113" i="1"/>
  <c r="BV114" i="1"/>
  <c r="BV115" i="1"/>
  <c r="BV116" i="1"/>
  <c r="BV117" i="1"/>
  <c r="BV118" i="1"/>
  <c r="BV119" i="1"/>
  <c r="BV120" i="1"/>
  <c r="BV121" i="1"/>
  <c r="BV122" i="1"/>
  <c r="BV123" i="1"/>
  <c r="BV124" i="1"/>
  <c r="BV125" i="1"/>
  <c r="BV126" i="1"/>
  <c r="BV127" i="1"/>
  <c r="BV128" i="1"/>
  <c r="BV129" i="1"/>
  <c r="BV130" i="1"/>
  <c r="BV131" i="1"/>
  <c r="BV132" i="1"/>
  <c r="BV133" i="1"/>
  <c r="BV134" i="1"/>
  <c r="BV135" i="1"/>
  <c r="BV136" i="1"/>
  <c r="BV137" i="1"/>
  <c r="BV138" i="1"/>
  <c r="BV139" i="1"/>
  <c r="BV140" i="1"/>
  <c r="BV141" i="1"/>
  <c r="BV142" i="1"/>
  <c r="BV143" i="1"/>
  <c r="BV144" i="1"/>
  <c r="BV145" i="1"/>
  <c r="BV146" i="1"/>
  <c r="BV147" i="1"/>
  <c r="BV148" i="1"/>
  <c r="BV149" i="1"/>
  <c r="BV150" i="1"/>
  <c r="BV151" i="1"/>
  <c r="BV152" i="1"/>
  <c r="BV153" i="1"/>
  <c r="BV154" i="1"/>
  <c r="BV155" i="1"/>
  <c r="BV156" i="1"/>
  <c r="BV157" i="1"/>
  <c r="BV158" i="1"/>
  <c r="BV159" i="1"/>
  <c r="BV160" i="1"/>
  <c r="BV161" i="1"/>
  <c r="BV162" i="1"/>
  <c r="BV163" i="1"/>
  <c r="BV164" i="1"/>
  <c r="BV165" i="1"/>
  <c r="BV166" i="1"/>
  <c r="BV167" i="1"/>
  <c r="BV168" i="1"/>
  <c r="BV169" i="1"/>
  <c r="BV170" i="1"/>
  <c r="BV171" i="1"/>
  <c r="BV172" i="1"/>
  <c r="BV173" i="1"/>
  <c r="BV174" i="1"/>
  <c r="BV175" i="1"/>
  <c r="BV176" i="1"/>
  <c r="BV177" i="1"/>
  <c r="BV178" i="1"/>
  <c r="BV179" i="1"/>
  <c r="BV180" i="1"/>
  <c r="BV181" i="1"/>
  <c r="BV182" i="1"/>
  <c r="BV183" i="1"/>
  <c r="BV184" i="1"/>
  <c r="BV185" i="1"/>
  <c r="BV186" i="1"/>
  <c r="BV187" i="1"/>
  <c r="BV188" i="1"/>
  <c r="BV189" i="1"/>
  <c r="BV190" i="1"/>
  <c r="BV191" i="1"/>
  <c r="BV192" i="1"/>
  <c r="BV193" i="1"/>
  <c r="BV194" i="1"/>
  <c r="BV195" i="1"/>
  <c r="BV196" i="1"/>
  <c r="BV197" i="1"/>
  <c r="BV198" i="1"/>
  <c r="BV199" i="1"/>
  <c r="BV27" i="1"/>
  <c r="BV200" i="1"/>
  <c r="BV201" i="1"/>
  <c r="BV202" i="1"/>
  <c r="BV203" i="1"/>
  <c r="BV204" i="1"/>
  <c r="BV205" i="1"/>
  <c r="BV206" i="1"/>
  <c r="BV207" i="1"/>
  <c r="BV208" i="1"/>
  <c r="BV209" i="1"/>
  <c r="BV210" i="1"/>
  <c r="BV211" i="1"/>
  <c r="BV212" i="1"/>
  <c r="BV213" i="1"/>
  <c r="BV214" i="1"/>
  <c r="BV215" i="1"/>
  <c r="BV216" i="1"/>
  <c r="BV217" i="1"/>
  <c r="BV218" i="1"/>
  <c r="BV219" i="1"/>
  <c r="BV220" i="1"/>
  <c r="BV221" i="1"/>
  <c r="BV222" i="1"/>
  <c r="BV223" i="1"/>
  <c r="BV224" i="1"/>
  <c r="BV225" i="1"/>
  <c r="BV226" i="1"/>
  <c r="BV227" i="1"/>
  <c r="BV228" i="1"/>
  <c r="BV229" i="1"/>
  <c r="BV230" i="1"/>
  <c r="BV231" i="1"/>
  <c r="BV232" i="1"/>
  <c r="BV233" i="1"/>
  <c r="BV234" i="1"/>
  <c r="BV235" i="1"/>
  <c r="BV236" i="1"/>
  <c r="BV237" i="1"/>
  <c r="BV238" i="1"/>
  <c r="BV239" i="1"/>
  <c r="BV240" i="1"/>
  <c r="BV241" i="1"/>
  <c r="BV242" i="1"/>
  <c r="BV243" i="1"/>
  <c r="BV244" i="1"/>
  <c r="BV245" i="1"/>
  <c r="BV246" i="1"/>
  <c r="BV247" i="1"/>
  <c r="BV248" i="1"/>
  <c r="BV249" i="1"/>
  <c r="BV250" i="1"/>
  <c r="BV251" i="1"/>
  <c r="BV252" i="1"/>
  <c r="BV253" i="1"/>
  <c r="BV254" i="1"/>
  <c r="BV255" i="1"/>
  <c r="BV256" i="1"/>
  <c r="BV257" i="1"/>
  <c r="BV258" i="1"/>
  <c r="BV259" i="1"/>
  <c r="BV260" i="1"/>
  <c r="BV261" i="1"/>
  <c r="BV262" i="1"/>
  <c r="BV263" i="1"/>
  <c r="BV264" i="1"/>
  <c r="BV265" i="1"/>
  <c r="BV266" i="1"/>
  <c r="BV267" i="1"/>
  <c r="BV268" i="1"/>
  <c r="BV269" i="1"/>
  <c r="BV270" i="1"/>
  <c r="BV271" i="1"/>
  <c r="BV272" i="1"/>
  <c r="BV273" i="1"/>
  <c r="BV274" i="1"/>
  <c r="BV275" i="1"/>
  <c r="BV276" i="1"/>
  <c r="BV277" i="1"/>
  <c r="BV278" i="1"/>
  <c r="BV279" i="1"/>
  <c r="BV280" i="1"/>
  <c r="BV281" i="1"/>
  <c r="BV282" i="1"/>
  <c r="BV283" i="1"/>
  <c r="BV284" i="1"/>
  <c r="BV285" i="1"/>
  <c r="BV286" i="1"/>
  <c r="BV287" i="1"/>
  <c r="BV288" i="1"/>
  <c r="BV289" i="1"/>
  <c r="BV290" i="1"/>
  <c r="BV291" i="1"/>
  <c r="BV292" i="1"/>
  <c r="BV293" i="1"/>
  <c r="BV294" i="1"/>
  <c r="BV295" i="1"/>
  <c r="BV296" i="1"/>
  <c r="BV297" i="1"/>
  <c r="BV298" i="1"/>
  <c r="BV299" i="1"/>
  <c r="BV300" i="1"/>
  <c r="BV301" i="1"/>
  <c r="BV302" i="1"/>
  <c r="BV303" i="1"/>
  <c r="BV304" i="1"/>
  <c r="BV305" i="1"/>
  <c r="BV306" i="1"/>
  <c r="BV307" i="1"/>
  <c r="BV308" i="1"/>
  <c r="BV309" i="1"/>
  <c r="BV310" i="1"/>
  <c r="BV311" i="1"/>
  <c r="BV312" i="1"/>
  <c r="BV313" i="1"/>
  <c r="BV314" i="1"/>
  <c r="BV315" i="1"/>
  <c r="BV316" i="1"/>
  <c r="BV317" i="1"/>
  <c r="BV318" i="1"/>
  <c r="BV319" i="1"/>
  <c r="BV320" i="1"/>
  <c r="BV321" i="1"/>
  <c r="BV322" i="1"/>
  <c r="BV323" i="1"/>
  <c r="BV324" i="1"/>
  <c r="BV325" i="1"/>
  <c r="BV326" i="1"/>
  <c r="BV327" i="1"/>
  <c r="BV328" i="1"/>
  <c r="BV329" i="1"/>
  <c r="BV330" i="1"/>
  <c r="BV331" i="1"/>
  <c r="BV332" i="1"/>
  <c r="BV333" i="1"/>
  <c r="BV334" i="1"/>
  <c r="BV335" i="1"/>
  <c r="BV336" i="1"/>
  <c r="BV337" i="1"/>
  <c r="BV338" i="1"/>
  <c r="BV339" i="1"/>
  <c r="BV340" i="1"/>
  <c r="BV341" i="1"/>
  <c r="BV342" i="1"/>
  <c r="BV343" i="1"/>
  <c r="BV344" i="1"/>
  <c r="BV345" i="1"/>
  <c r="BV346" i="1"/>
  <c r="BV347" i="1"/>
  <c r="BV348" i="1"/>
  <c r="BV349" i="1"/>
  <c r="BV350" i="1"/>
  <c r="BV351" i="1"/>
  <c r="BV352" i="1"/>
  <c r="BV353" i="1"/>
  <c r="BV354" i="1"/>
  <c r="BV355" i="1"/>
  <c r="BV356" i="1"/>
  <c r="BV357" i="1"/>
  <c r="BV358" i="1"/>
  <c r="BV359" i="1"/>
  <c r="BV360" i="1"/>
  <c r="BV361" i="1"/>
  <c r="BV362" i="1"/>
  <c r="BV363" i="1"/>
  <c r="BV364" i="1"/>
  <c r="BV365" i="1"/>
  <c r="BV366" i="1"/>
  <c r="BV367" i="1"/>
  <c r="BV368" i="1"/>
  <c r="BV369" i="1"/>
  <c r="BV370" i="1"/>
  <c r="BV371" i="1"/>
  <c r="BV372" i="1"/>
  <c r="BV373" i="1"/>
  <c r="BV374" i="1"/>
  <c r="BV375" i="1"/>
  <c r="BV376" i="1"/>
  <c r="BV377" i="1"/>
  <c r="BV378" i="1"/>
  <c r="BV379" i="1"/>
  <c r="BV380" i="1"/>
  <c r="BV381" i="1"/>
  <c r="BV382" i="1"/>
  <c r="BV383" i="1"/>
  <c r="BV384" i="1"/>
  <c r="BV385" i="1"/>
  <c r="BV386" i="1"/>
  <c r="BV387" i="1"/>
  <c r="BV388" i="1"/>
  <c r="BV389" i="1"/>
  <c r="BV390" i="1"/>
  <c r="BV391" i="1"/>
  <c r="BV392" i="1"/>
  <c r="BV393" i="1"/>
  <c r="BV394" i="1"/>
  <c r="BV60" i="1"/>
  <c r="BV502" i="1"/>
  <c r="BV503" i="1"/>
  <c r="BV395" i="1"/>
  <c r="BV504" i="1"/>
  <c r="BV46" i="1"/>
  <c r="BV29" i="1"/>
  <c r="BV34" i="1"/>
  <c r="BT23" i="1" l="1"/>
  <c r="BU23" i="1" s="1"/>
  <c r="BV23" i="1" s="1"/>
  <c r="BT53" i="1"/>
  <c r="BU53" i="1" s="1"/>
  <c r="BT5" i="1"/>
  <c r="BU5" i="1" s="1"/>
  <c r="BT10" i="1"/>
  <c r="BU10" i="1" s="1"/>
  <c r="BT15" i="1"/>
  <c r="BT19" i="1"/>
  <c r="BT26" i="1"/>
  <c r="BU26" i="1" s="1"/>
  <c r="BT33" i="1"/>
  <c r="BU33" i="1" s="1"/>
  <c r="BT38" i="1"/>
  <c r="BU38" i="1" s="1"/>
  <c r="BV38" i="1" s="1"/>
  <c r="BT43" i="1"/>
  <c r="BU43" i="1" s="1"/>
  <c r="BT64" i="1"/>
  <c r="BU64" i="1" s="1"/>
  <c r="BT27" i="1"/>
  <c r="BU27" i="1" s="1"/>
  <c r="BT24" i="1"/>
  <c r="BU24" i="1" s="1"/>
  <c r="BT40" i="1"/>
  <c r="BT18" i="1"/>
  <c r="BU18" i="1" s="1"/>
  <c r="BT37" i="1"/>
  <c r="BU37" i="1" s="1"/>
  <c r="BT57" i="1"/>
  <c r="BU57" i="1" s="1"/>
  <c r="BT29" i="1"/>
  <c r="BU29" i="1" s="1"/>
  <c r="BT6" i="1"/>
  <c r="BU6" i="1" s="1"/>
  <c r="BT12" i="1"/>
  <c r="BT16" i="1"/>
  <c r="BU16" i="1" s="1"/>
  <c r="BT28" i="1"/>
  <c r="BT35" i="1"/>
  <c r="BU35" i="1" s="1"/>
  <c r="BT39" i="1"/>
  <c r="BU39" i="1" s="1"/>
  <c r="BT66" i="1"/>
  <c r="BU66" i="1" s="1"/>
  <c r="BT34" i="1"/>
  <c r="BU34" i="1" s="1"/>
  <c r="BT51" i="1"/>
  <c r="BT14" i="1"/>
  <c r="BT32" i="1"/>
  <c r="BU32" i="1" s="1"/>
  <c r="BT68" i="1"/>
  <c r="BU68" i="1" s="1"/>
  <c r="BT65" i="1"/>
  <c r="BU65" i="1" s="1"/>
  <c r="BT7" i="1"/>
  <c r="BU7" i="1" s="1"/>
  <c r="BT13" i="1"/>
  <c r="BU13" i="1" s="1"/>
  <c r="BT17" i="1"/>
  <c r="BU17" i="1" s="1"/>
  <c r="BT22" i="1"/>
  <c r="BU22" i="1" s="1"/>
  <c r="BT30" i="1"/>
  <c r="BU30" i="1" s="1"/>
  <c r="BT36" i="1"/>
  <c r="BT41" i="1"/>
  <c r="BU41" i="1" s="1"/>
  <c r="BT45" i="1"/>
  <c r="BU45" i="1" s="1"/>
  <c r="BT50" i="1"/>
  <c r="BU50" i="1" s="1"/>
  <c r="BT62" i="1"/>
  <c r="BU62" i="1" s="1"/>
  <c r="BT67" i="1"/>
  <c r="BU67" i="1" s="1"/>
  <c r="BT11" i="1"/>
  <c r="BT61" i="1"/>
  <c r="BT31" i="1"/>
  <c r="BT8" i="1"/>
  <c r="BU8" i="1" s="1"/>
  <c r="BT25" i="1"/>
  <c r="BU25" i="1" s="1"/>
  <c r="BT47" i="1"/>
  <c r="BU47" i="1" s="1"/>
  <c r="BT63" i="1"/>
  <c r="BU63" i="1" s="1"/>
  <c r="BT69" i="1"/>
  <c r="BU69" i="1" s="1"/>
  <c r="BV69" i="1" s="1"/>
  <c r="AO4" i="11"/>
  <c r="BU14" i="1" l="1"/>
  <c r="BV14" i="1" s="1"/>
  <c r="BU12" i="1"/>
  <c r="BV12" i="1" s="1"/>
  <c r="BU15" i="1"/>
  <c r="BV15" i="1" s="1"/>
  <c r="BV24" i="1"/>
  <c r="BV65" i="1"/>
  <c r="BU61" i="1"/>
  <c r="BV61" i="1" s="1"/>
  <c r="BU11" i="1"/>
  <c r="BV11" i="1" s="1"/>
  <c r="BU51" i="1"/>
  <c r="BV51" i="1" s="1"/>
  <c r="BU31" i="1"/>
  <c r="BV31" i="1" s="1"/>
  <c r="BU40" i="1"/>
  <c r="BV40" i="1" s="1"/>
  <c r="BU19" i="1"/>
  <c r="BV19" i="1" s="1"/>
  <c r="BU28" i="1"/>
  <c r="BV28" i="1" s="1"/>
  <c r="BU36" i="1"/>
  <c r="BV36" i="1" s="1"/>
  <c r="B2" i="12"/>
  <c r="AC505" i="1" l="1"/>
  <c r="AB505" i="1"/>
  <c r="AD505" i="1"/>
  <c r="AE505" i="1"/>
  <c r="AF505" i="1"/>
  <c r="AG505" i="1"/>
  <c r="AH505" i="1"/>
  <c r="O505" i="1"/>
  <c r="V505" i="1"/>
  <c r="U505" i="1"/>
  <c r="T505" i="1"/>
  <c r="R505" i="1"/>
  <c r="S505" i="1"/>
  <c r="Q505" i="1"/>
  <c r="CM2" i="7" l="1"/>
  <c r="BU2" i="7"/>
  <c r="BT2" i="7"/>
  <c r="BS2" i="7"/>
  <c r="BR2" i="7"/>
  <c r="BQ2" i="7"/>
  <c r="BJ2" i="7"/>
  <c r="BI2" i="7"/>
  <c r="BH2" i="7"/>
  <c r="BG2" i="7"/>
  <c r="BF2" i="7"/>
  <c r="BD2" i="7"/>
  <c r="X2" i="7"/>
  <c r="W2" i="7"/>
  <c r="V2" i="7"/>
  <c r="U2" i="7"/>
  <c r="L2" i="7"/>
  <c r="K2" i="7"/>
  <c r="DP2" i="6"/>
  <c r="DG2" i="6"/>
  <c r="CT2" i="6"/>
  <c r="CS2" i="6"/>
  <c r="CR2" i="6"/>
  <c r="CQ2" i="6"/>
  <c r="CO2" i="6"/>
  <c r="CN2" i="6"/>
  <c r="CM2" i="6"/>
  <c r="CL2" i="6"/>
  <c r="CK2" i="6"/>
  <c r="CJ2" i="6"/>
  <c r="CI2" i="6"/>
  <c r="CH2" i="6"/>
  <c r="CF2" i="6"/>
  <c r="CE2" i="6"/>
  <c r="CD2" i="6"/>
  <c r="CC2" i="6"/>
  <c r="CB2" i="6"/>
  <c r="CA2" i="6"/>
  <c r="BY2" i="6"/>
  <c r="BX2" i="6"/>
  <c r="BW2" i="6"/>
  <c r="BV2" i="6"/>
  <c r="BT2" i="6"/>
  <c r="BR2" i="6"/>
  <c r="BQ2" i="6"/>
  <c r="BP2" i="6"/>
  <c r="BO2" i="6"/>
  <c r="BH2" i="6"/>
  <c r="BG2" i="6"/>
  <c r="BF2" i="6"/>
  <c r="BE2" i="6"/>
  <c r="BC2" i="6"/>
  <c r="BB2" i="6"/>
  <c r="BA2" i="6"/>
  <c r="AZ2" i="6"/>
  <c r="AX2" i="6"/>
  <c r="AW2" i="6"/>
  <c r="AV2" i="6"/>
  <c r="AU2" i="6"/>
  <c r="AS2" i="6"/>
  <c r="AR2" i="6"/>
  <c r="AQ2" i="6"/>
  <c r="AP2" i="6"/>
  <c r="AN2" i="6"/>
  <c r="AM2" i="6"/>
  <c r="AL2" i="6"/>
  <c r="AK2" i="6"/>
  <c r="AI2" i="6"/>
  <c r="AH2" i="6"/>
  <c r="AG2" i="6"/>
  <c r="AF2" i="6"/>
  <c r="AD2" i="6"/>
  <c r="AC2" i="6"/>
  <c r="AB2" i="6"/>
  <c r="AA2" i="6"/>
  <c r="O2" i="6"/>
  <c r="N2" i="6"/>
  <c r="M2" i="6"/>
  <c r="L2" i="6"/>
  <c r="K2" i="6"/>
  <c r="I2" i="6"/>
  <c r="H2" i="6"/>
  <c r="G2" i="6"/>
  <c r="F2" i="6"/>
  <c r="DJ2" i="6" l="1"/>
  <c r="DI2" i="6"/>
  <c r="DH2" i="6"/>
  <c r="DF2" i="6"/>
  <c r="BZ2" i="6"/>
  <c r="BU2" i="6"/>
  <c r="BN2" i="6"/>
  <c r="BM2" i="6"/>
  <c r="BL2" i="6"/>
  <c r="BK2" i="6"/>
  <c r="BJ2" i="6"/>
  <c r="W505" i="1" l="1"/>
  <c r="BM505" i="1"/>
  <c r="BP505" i="1"/>
  <c r="BS505" i="1"/>
  <c r="CD6" i="1" l="1"/>
  <c r="CD37" i="1"/>
  <c r="CD33" i="1"/>
  <c r="CD7" i="1"/>
  <c r="CD26" i="1"/>
  <c r="CD22" i="1"/>
  <c r="CD45" i="1"/>
  <c r="CD5" i="1"/>
  <c r="CD63" i="1"/>
  <c r="CD35" i="1"/>
  <c r="CD43" i="1"/>
  <c r="CD41" i="1"/>
  <c r="CD47" i="1"/>
  <c r="CD25" i="1"/>
  <c r="CD30" i="1"/>
  <c r="CD17" i="1"/>
  <c r="CD39" i="1"/>
  <c r="CD8" i="1"/>
  <c r="CD15" i="1"/>
  <c r="CD44" i="1"/>
  <c r="CD16" i="1"/>
  <c r="CD18" i="1"/>
  <c r="CD55" i="1"/>
  <c r="CD56" i="1"/>
  <c r="CD57" i="1"/>
  <c r="CD58" i="1"/>
  <c r="CD62" i="1"/>
  <c r="CD12" i="1"/>
  <c r="CD14" i="1"/>
  <c r="CD64" i="1"/>
  <c r="CD66" i="1"/>
  <c r="CD68" i="1"/>
  <c r="CD13" i="1"/>
  <c r="CD28" i="1"/>
  <c r="CD36" i="1"/>
  <c r="CD54" i="1"/>
  <c r="CD42" i="1"/>
  <c r="CD38" i="1"/>
  <c r="CD32" i="1"/>
  <c r="CD52" i="1"/>
  <c r="CD49" i="1"/>
  <c r="CD20" i="1"/>
  <c r="CD10" i="1"/>
  <c r="CD396" i="1"/>
  <c r="CD19" i="1"/>
  <c r="CD397" i="1"/>
  <c r="CD398" i="1"/>
  <c r="CD399" i="1"/>
  <c r="CD400" i="1"/>
  <c r="CD9" i="1"/>
  <c r="CD401" i="1"/>
  <c r="CD402" i="1"/>
  <c r="CD403" i="1"/>
  <c r="CD404" i="1"/>
  <c r="CD405" i="1"/>
  <c r="CD406" i="1"/>
  <c r="CD407" i="1"/>
  <c r="CD408" i="1"/>
  <c r="CD409" i="1"/>
  <c r="CD410" i="1"/>
  <c r="CD411" i="1"/>
  <c r="CD412" i="1"/>
  <c r="CD413" i="1"/>
  <c r="CD414" i="1"/>
  <c r="CD415" i="1"/>
  <c r="CD416" i="1"/>
  <c r="CD417" i="1"/>
  <c r="CD418" i="1"/>
  <c r="CD419" i="1"/>
  <c r="CD420" i="1"/>
  <c r="CD53" i="1"/>
  <c r="CD421" i="1"/>
  <c r="CD422" i="1"/>
  <c r="CD423" i="1"/>
  <c r="CD424" i="1"/>
  <c r="CD425" i="1"/>
  <c r="CD426" i="1"/>
  <c r="CD427" i="1"/>
  <c r="CD428" i="1"/>
  <c r="CD429" i="1"/>
  <c r="CD430" i="1"/>
  <c r="CD431" i="1"/>
  <c r="CD432" i="1"/>
  <c r="CD433" i="1"/>
  <c r="CD434" i="1"/>
  <c r="CD435" i="1"/>
  <c r="CD436" i="1"/>
  <c r="CD437" i="1"/>
  <c r="CD438" i="1"/>
  <c r="CD439" i="1"/>
  <c r="CD440" i="1"/>
  <c r="CD441" i="1"/>
  <c r="CD442" i="1"/>
  <c r="CD443" i="1"/>
  <c r="CD444" i="1"/>
  <c r="CD445" i="1"/>
  <c r="CD446" i="1"/>
  <c r="CD447" i="1"/>
  <c r="CD448" i="1"/>
  <c r="CD449" i="1"/>
  <c r="CD450" i="1"/>
  <c r="CD451" i="1"/>
  <c r="CD452" i="1"/>
  <c r="CD453" i="1"/>
  <c r="CD454" i="1"/>
  <c r="CD455" i="1"/>
  <c r="CD456" i="1"/>
  <c r="CD457" i="1"/>
  <c r="CD458" i="1"/>
  <c r="CD459" i="1"/>
  <c r="CD460" i="1"/>
  <c r="CD461" i="1"/>
  <c r="CD462" i="1"/>
  <c r="CD463" i="1"/>
  <c r="CD464" i="1"/>
  <c r="CD465" i="1"/>
  <c r="CD466" i="1"/>
  <c r="CD467" i="1"/>
  <c r="CD468" i="1"/>
  <c r="CD469" i="1"/>
  <c r="CD21" i="1"/>
  <c r="CD470" i="1"/>
  <c r="CD471" i="1"/>
  <c r="CD472" i="1"/>
  <c r="CD473" i="1"/>
  <c r="CD474" i="1"/>
  <c r="CD475" i="1"/>
  <c r="CD23" i="1"/>
  <c r="CD476" i="1"/>
  <c r="CD477" i="1"/>
  <c r="CD478" i="1"/>
  <c r="CD479" i="1"/>
  <c r="CD480" i="1"/>
  <c r="CD481" i="1"/>
  <c r="CD482" i="1"/>
  <c r="CD483" i="1"/>
  <c r="CD484" i="1"/>
  <c r="CD485" i="1"/>
  <c r="CD486" i="1"/>
  <c r="CD487" i="1"/>
  <c r="CD488" i="1"/>
  <c r="CD489" i="1"/>
  <c r="CD490" i="1"/>
  <c r="CD491" i="1"/>
  <c r="CD492" i="1"/>
  <c r="CD493" i="1"/>
  <c r="CD494" i="1"/>
  <c r="CD495" i="1"/>
  <c r="CD496" i="1"/>
  <c r="CD497" i="1"/>
  <c r="CD498" i="1"/>
  <c r="CD499" i="1"/>
  <c r="CD500" i="1"/>
  <c r="CD501" i="1"/>
  <c r="CD70" i="1"/>
  <c r="CD71" i="1"/>
  <c r="CD72" i="1"/>
  <c r="CD73" i="1"/>
  <c r="CD74" i="1"/>
  <c r="CD75" i="1"/>
  <c r="CD76" i="1"/>
  <c r="CD77" i="1"/>
  <c r="CD78" i="1"/>
  <c r="CD79" i="1"/>
  <c r="CD80" i="1"/>
  <c r="CD81" i="1"/>
  <c r="CD82" i="1"/>
  <c r="CD83" i="1"/>
  <c r="CD84" i="1"/>
  <c r="CD85" i="1"/>
  <c r="CD86" i="1"/>
  <c r="CD87" i="1"/>
  <c r="CD88" i="1"/>
  <c r="CD89" i="1"/>
  <c r="CD90" i="1"/>
  <c r="CD91" i="1"/>
  <c r="CD92" i="1"/>
  <c r="CD93" i="1"/>
  <c r="CD94" i="1"/>
  <c r="CD95" i="1"/>
  <c r="CD96" i="1"/>
  <c r="CD97" i="1"/>
  <c r="CD98" i="1"/>
  <c r="CD99" i="1"/>
  <c r="CD100" i="1"/>
  <c r="CD101" i="1"/>
  <c r="CD102" i="1"/>
  <c r="CD103" i="1"/>
  <c r="CD104" i="1"/>
  <c r="CD105" i="1"/>
  <c r="CD106" i="1"/>
  <c r="CD107" i="1"/>
  <c r="CD108" i="1"/>
  <c r="CD109" i="1"/>
  <c r="CD110" i="1"/>
  <c r="CD111" i="1"/>
  <c r="CD112" i="1"/>
  <c r="CD113" i="1"/>
  <c r="CD114" i="1"/>
  <c r="CD115" i="1"/>
  <c r="CD116" i="1"/>
  <c r="CD117" i="1"/>
  <c r="CD118" i="1"/>
  <c r="CD119" i="1"/>
  <c r="CD120" i="1"/>
  <c r="CD121" i="1"/>
  <c r="CD122" i="1"/>
  <c r="CD123" i="1"/>
  <c r="CD124" i="1"/>
  <c r="CD125" i="1"/>
  <c r="CD126" i="1"/>
  <c r="CD127" i="1"/>
  <c r="CD128" i="1"/>
  <c r="CD129" i="1"/>
  <c r="CD130" i="1"/>
  <c r="CD131" i="1"/>
  <c r="CD132" i="1"/>
  <c r="CD133" i="1"/>
  <c r="CD134" i="1"/>
  <c r="CD135" i="1"/>
  <c r="CD136" i="1"/>
  <c r="CD137" i="1"/>
  <c r="CD138" i="1"/>
  <c r="CD139" i="1"/>
  <c r="CD140" i="1"/>
  <c r="CD141" i="1"/>
  <c r="CD142" i="1"/>
  <c r="CD143" i="1"/>
  <c r="CD144" i="1"/>
  <c r="CD145" i="1"/>
  <c r="CD146" i="1"/>
  <c r="CD147" i="1"/>
  <c r="CD148" i="1"/>
  <c r="CD149" i="1"/>
  <c r="CD150" i="1"/>
  <c r="CD151" i="1"/>
  <c r="CD152" i="1"/>
  <c r="CD153" i="1"/>
  <c r="CD154" i="1"/>
  <c r="CD155" i="1"/>
  <c r="CD156" i="1"/>
  <c r="CD157" i="1"/>
  <c r="CD158" i="1"/>
  <c r="CD159" i="1"/>
  <c r="CD48" i="1"/>
  <c r="CD160" i="1"/>
  <c r="CD161" i="1"/>
  <c r="CD162" i="1"/>
  <c r="CD163" i="1"/>
  <c r="CD164" i="1"/>
  <c r="CD165" i="1"/>
  <c r="CD166" i="1"/>
  <c r="CD167" i="1"/>
  <c r="CD168" i="1"/>
  <c r="CD169" i="1"/>
  <c r="CD170" i="1"/>
  <c r="CD171" i="1"/>
  <c r="CD172" i="1"/>
  <c r="CD173" i="1"/>
  <c r="CD174" i="1"/>
  <c r="CD175" i="1"/>
  <c r="CD176" i="1"/>
  <c r="CD177" i="1"/>
  <c r="CD178" i="1"/>
  <c r="CD179" i="1"/>
  <c r="CD180" i="1"/>
  <c r="CD181" i="1"/>
  <c r="CD182" i="1"/>
  <c r="CD183" i="1"/>
  <c r="CD184" i="1"/>
  <c r="CD185" i="1"/>
  <c r="CD186" i="1"/>
  <c r="CD187" i="1"/>
  <c r="CD188" i="1"/>
  <c r="CD189" i="1"/>
  <c r="CD190" i="1"/>
  <c r="CD191" i="1"/>
  <c r="CD192" i="1"/>
  <c r="CD193" i="1"/>
  <c r="CD194" i="1"/>
  <c r="CD195" i="1"/>
  <c r="CD196" i="1"/>
  <c r="CD197" i="1"/>
  <c r="CD198" i="1"/>
  <c r="CD199" i="1"/>
  <c r="CD27" i="1"/>
  <c r="CD200" i="1"/>
  <c r="CD201" i="1"/>
  <c r="CD202" i="1"/>
  <c r="CD203" i="1"/>
  <c r="CD204" i="1"/>
  <c r="CD205" i="1"/>
  <c r="CD206" i="1"/>
  <c r="CD207" i="1"/>
  <c r="CD208" i="1"/>
  <c r="CD209" i="1"/>
  <c r="CD210" i="1"/>
  <c r="CD211" i="1"/>
  <c r="CD212" i="1"/>
  <c r="CD213" i="1"/>
  <c r="CD214" i="1"/>
  <c r="CD215" i="1"/>
  <c r="CD216" i="1"/>
  <c r="CD217" i="1"/>
  <c r="CD218" i="1"/>
  <c r="CD219" i="1"/>
  <c r="CD220" i="1"/>
  <c r="CD221" i="1"/>
  <c r="CD222" i="1"/>
  <c r="CD223" i="1"/>
  <c r="CD224" i="1"/>
  <c r="CD225" i="1"/>
  <c r="CD226" i="1"/>
  <c r="CD227" i="1"/>
  <c r="CD228" i="1"/>
  <c r="CD229" i="1"/>
  <c r="CD230" i="1"/>
  <c r="CD231" i="1"/>
  <c r="CD232" i="1"/>
  <c r="CD233" i="1"/>
  <c r="CD234" i="1"/>
  <c r="CD235" i="1"/>
  <c r="CD236" i="1"/>
  <c r="CD237" i="1"/>
  <c r="CD238" i="1"/>
  <c r="CD239" i="1"/>
  <c r="CD240" i="1"/>
  <c r="CD241" i="1"/>
  <c r="CD242" i="1"/>
  <c r="CD243" i="1"/>
  <c r="CD244" i="1"/>
  <c r="CD245" i="1"/>
  <c r="CD246" i="1"/>
  <c r="CD247" i="1"/>
  <c r="CD248" i="1"/>
  <c r="CD249" i="1"/>
  <c r="CD250" i="1"/>
  <c r="CD251" i="1"/>
  <c r="CD252" i="1"/>
  <c r="CD253" i="1"/>
  <c r="CD254" i="1"/>
  <c r="CD255" i="1"/>
  <c r="CD256" i="1"/>
  <c r="CD257" i="1"/>
  <c r="CD258" i="1"/>
  <c r="CD259" i="1"/>
  <c r="CD260" i="1"/>
  <c r="CD261" i="1"/>
  <c r="CD262" i="1"/>
  <c r="CD263" i="1"/>
  <c r="CD264" i="1"/>
  <c r="CD265" i="1"/>
  <c r="CD266" i="1"/>
  <c r="CD267" i="1"/>
  <c r="CD268" i="1"/>
  <c r="CD269" i="1"/>
  <c r="CD270" i="1"/>
  <c r="CD271" i="1"/>
  <c r="CD272" i="1"/>
  <c r="CD273" i="1"/>
  <c r="CD274" i="1"/>
  <c r="CD275" i="1"/>
  <c r="CD276" i="1"/>
  <c r="CD277" i="1"/>
  <c r="CD278" i="1"/>
  <c r="CD279" i="1"/>
  <c r="CD280" i="1"/>
  <c r="CD281" i="1"/>
  <c r="CD282" i="1"/>
  <c r="CD283" i="1"/>
  <c r="CD284" i="1"/>
  <c r="CD285" i="1"/>
  <c r="CD286" i="1"/>
  <c r="CD287" i="1"/>
  <c r="CD288" i="1"/>
  <c r="CD289" i="1"/>
  <c r="CD290" i="1"/>
  <c r="CD291" i="1"/>
  <c r="CD292" i="1"/>
  <c r="CD293" i="1"/>
  <c r="CD294" i="1"/>
  <c r="CD295" i="1"/>
  <c r="CD296" i="1"/>
  <c r="CD297" i="1"/>
  <c r="CD298" i="1"/>
  <c r="CD299" i="1"/>
  <c r="CD300" i="1"/>
  <c r="CD301" i="1"/>
  <c r="CD302" i="1"/>
  <c r="CD303" i="1"/>
  <c r="CD304" i="1"/>
  <c r="CD305" i="1"/>
  <c r="CD306" i="1"/>
  <c r="CD307" i="1"/>
  <c r="CD308" i="1"/>
  <c r="CD309" i="1"/>
  <c r="CD310" i="1"/>
  <c r="CD311" i="1"/>
  <c r="CD312" i="1"/>
  <c r="CD313" i="1"/>
  <c r="CD314" i="1"/>
  <c r="CD315" i="1"/>
  <c r="CD316" i="1"/>
  <c r="CD317" i="1"/>
  <c r="CD318" i="1"/>
  <c r="CD319" i="1"/>
  <c r="CD320" i="1"/>
  <c r="CD321" i="1"/>
  <c r="CD322" i="1"/>
  <c r="CD323" i="1"/>
  <c r="CD324" i="1"/>
  <c r="CD325" i="1"/>
  <c r="CD326" i="1"/>
  <c r="CD327" i="1"/>
  <c r="CD328" i="1"/>
  <c r="CD329" i="1"/>
  <c r="CD330" i="1"/>
  <c r="CD331" i="1"/>
  <c r="CD332" i="1"/>
  <c r="CD333" i="1"/>
  <c r="CD334" i="1"/>
  <c r="CD335" i="1"/>
  <c r="CD336" i="1"/>
  <c r="CD337" i="1"/>
  <c r="CD338" i="1"/>
  <c r="CD339" i="1"/>
  <c r="CD340" i="1"/>
  <c r="CD341" i="1"/>
  <c r="CD342" i="1"/>
  <c r="CD343" i="1"/>
  <c r="CD344" i="1"/>
  <c r="CD345" i="1"/>
  <c r="CD346" i="1"/>
  <c r="CD347" i="1"/>
  <c r="CD348" i="1"/>
  <c r="CD349" i="1"/>
  <c r="CD350" i="1"/>
  <c r="CD351" i="1"/>
  <c r="CD67" i="1"/>
  <c r="CD352" i="1"/>
  <c r="CD353" i="1"/>
  <c r="CD354" i="1"/>
  <c r="CD355" i="1"/>
  <c r="CD356" i="1"/>
  <c r="CD357" i="1"/>
  <c r="CD358" i="1"/>
  <c r="CD359" i="1"/>
  <c r="CD69" i="1"/>
  <c r="CD360" i="1"/>
  <c r="CD361" i="1"/>
  <c r="CD362" i="1"/>
  <c r="CD363" i="1"/>
  <c r="CD364" i="1"/>
  <c r="CD365" i="1"/>
  <c r="CD366" i="1"/>
  <c r="CD367" i="1"/>
  <c r="CD368" i="1"/>
  <c r="CD369" i="1"/>
  <c r="CD370" i="1"/>
  <c r="CD371" i="1"/>
  <c r="CD372" i="1"/>
  <c r="CD373" i="1"/>
  <c r="CD374" i="1"/>
  <c r="CD375" i="1"/>
  <c r="CD376" i="1"/>
  <c r="CD377" i="1"/>
  <c r="CD378" i="1"/>
  <c r="CD379" i="1"/>
  <c r="CD380" i="1"/>
  <c r="CD59" i="1"/>
  <c r="CD381" i="1"/>
  <c r="CD382" i="1"/>
  <c r="CD383" i="1"/>
  <c r="CD384" i="1"/>
  <c r="CD385" i="1"/>
  <c r="CD386" i="1"/>
  <c r="CD387" i="1"/>
  <c r="CD388" i="1"/>
  <c r="CD389" i="1"/>
  <c r="CD390" i="1"/>
  <c r="CD391" i="1"/>
  <c r="CD392" i="1"/>
  <c r="CD11" i="1"/>
  <c r="CD393" i="1"/>
  <c r="CD394" i="1"/>
  <c r="CD60" i="1"/>
  <c r="CD50" i="1"/>
  <c r="CD502" i="1"/>
  <c r="CD503" i="1"/>
  <c r="CD395" i="1"/>
  <c r="CD504" i="1"/>
  <c r="CD46" i="1"/>
  <c r="CD29" i="1"/>
  <c r="CD24" i="1"/>
  <c r="CD34" i="1"/>
  <c r="CD61" i="1"/>
  <c r="CD65" i="1"/>
  <c r="CD40" i="1"/>
  <c r="CD51" i="1"/>
  <c r="CD31" i="1"/>
  <c r="CC6" i="1"/>
  <c r="CC37" i="1"/>
  <c r="CC33" i="1"/>
  <c r="CC7" i="1"/>
  <c r="CC26" i="1"/>
  <c r="CC22" i="1"/>
  <c r="CC45" i="1"/>
  <c r="CC5" i="1"/>
  <c r="CC63" i="1"/>
  <c r="CC35" i="1"/>
  <c r="CC43" i="1"/>
  <c r="CC41" i="1"/>
  <c r="CC47" i="1"/>
  <c r="CC25" i="1"/>
  <c r="CC30" i="1"/>
  <c r="CC17" i="1"/>
  <c r="CC39" i="1"/>
  <c r="CC8" i="1"/>
  <c r="CC15" i="1"/>
  <c r="CC44" i="1"/>
  <c r="CC16" i="1"/>
  <c r="CC18" i="1"/>
  <c r="CC55" i="1"/>
  <c r="CC56" i="1"/>
  <c r="CC57" i="1"/>
  <c r="CC58" i="1"/>
  <c r="CC62" i="1"/>
  <c r="CC12" i="1"/>
  <c r="CC14" i="1"/>
  <c r="CC64" i="1"/>
  <c r="CC66" i="1"/>
  <c r="CC68" i="1"/>
  <c r="CC13" i="1"/>
  <c r="CC28" i="1"/>
  <c r="CC36" i="1"/>
  <c r="CC54" i="1"/>
  <c r="CC42" i="1"/>
  <c r="CC38" i="1"/>
  <c r="CC32" i="1"/>
  <c r="CC52" i="1"/>
  <c r="CC49" i="1"/>
  <c r="CC20" i="1"/>
  <c r="CC10" i="1"/>
  <c r="CC396" i="1"/>
  <c r="CC19" i="1"/>
  <c r="CC397" i="1"/>
  <c r="CC398" i="1"/>
  <c r="CC399" i="1"/>
  <c r="CC400" i="1"/>
  <c r="CC9" i="1"/>
  <c r="CC401" i="1"/>
  <c r="CC402" i="1"/>
  <c r="CC403" i="1"/>
  <c r="CC404" i="1"/>
  <c r="CC405" i="1"/>
  <c r="CC406" i="1"/>
  <c r="CC407" i="1"/>
  <c r="CC408" i="1"/>
  <c r="CC409" i="1"/>
  <c r="CC410" i="1"/>
  <c r="CC411" i="1"/>
  <c r="CC412" i="1"/>
  <c r="CC413" i="1"/>
  <c r="CC414" i="1"/>
  <c r="CC415" i="1"/>
  <c r="CC416" i="1"/>
  <c r="CC417" i="1"/>
  <c r="CC418" i="1"/>
  <c r="CC419" i="1"/>
  <c r="CC420" i="1"/>
  <c r="CC53" i="1"/>
  <c r="CC421" i="1"/>
  <c r="CC422" i="1"/>
  <c r="CC423" i="1"/>
  <c r="CC424" i="1"/>
  <c r="CC425" i="1"/>
  <c r="CC426" i="1"/>
  <c r="CC427" i="1"/>
  <c r="CC428" i="1"/>
  <c r="CC429" i="1"/>
  <c r="CC430" i="1"/>
  <c r="CC431" i="1"/>
  <c r="CC432" i="1"/>
  <c r="CC433" i="1"/>
  <c r="CC434" i="1"/>
  <c r="CC435" i="1"/>
  <c r="CC436" i="1"/>
  <c r="CC437" i="1"/>
  <c r="CC438" i="1"/>
  <c r="CC439" i="1"/>
  <c r="CC440" i="1"/>
  <c r="CC441" i="1"/>
  <c r="CC442" i="1"/>
  <c r="CC443" i="1"/>
  <c r="CC444" i="1"/>
  <c r="CC445" i="1"/>
  <c r="CC446" i="1"/>
  <c r="CC447" i="1"/>
  <c r="CC448" i="1"/>
  <c r="CC449" i="1"/>
  <c r="CC450" i="1"/>
  <c r="CC451" i="1"/>
  <c r="CC452" i="1"/>
  <c r="CC453" i="1"/>
  <c r="CC454" i="1"/>
  <c r="CC455" i="1"/>
  <c r="CC456" i="1"/>
  <c r="CC457" i="1"/>
  <c r="CC458" i="1"/>
  <c r="CC459" i="1"/>
  <c r="CC460" i="1"/>
  <c r="CC461" i="1"/>
  <c r="CC462" i="1"/>
  <c r="CC463" i="1"/>
  <c r="CC464" i="1"/>
  <c r="CC465" i="1"/>
  <c r="CC466" i="1"/>
  <c r="CC467" i="1"/>
  <c r="CC468" i="1"/>
  <c r="CC469" i="1"/>
  <c r="CC21" i="1"/>
  <c r="CC470" i="1"/>
  <c r="CC471" i="1"/>
  <c r="CC472" i="1"/>
  <c r="CC473" i="1"/>
  <c r="CC474" i="1"/>
  <c r="CC475" i="1"/>
  <c r="CC23" i="1"/>
  <c r="CC476" i="1"/>
  <c r="CC477" i="1"/>
  <c r="CC478" i="1"/>
  <c r="CC479" i="1"/>
  <c r="CC480" i="1"/>
  <c r="CC481" i="1"/>
  <c r="CC482" i="1"/>
  <c r="CC483" i="1"/>
  <c r="CC484" i="1"/>
  <c r="CC485" i="1"/>
  <c r="CC486" i="1"/>
  <c r="CC487" i="1"/>
  <c r="CC488" i="1"/>
  <c r="CC489" i="1"/>
  <c r="CC490" i="1"/>
  <c r="CC491" i="1"/>
  <c r="CC492" i="1"/>
  <c r="CC493" i="1"/>
  <c r="CC494" i="1"/>
  <c r="CC495" i="1"/>
  <c r="CC496" i="1"/>
  <c r="CC497" i="1"/>
  <c r="CC498" i="1"/>
  <c r="CC499" i="1"/>
  <c r="CC500" i="1"/>
  <c r="CC501" i="1"/>
  <c r="CC70" i="1"/>
  <c r="CC71" i="1"/>
  <c r="CC72" i="1"/>
  <c r="CC73" i="1"/>
  <c r="CC74" i="1"/>
  <c r="CC75" i="1"/>
  <c r="CC76" i="1"/>
  <c r="CC77" i="1"/>
  <c r="CC78" i="1"/>
  <c r="CC79" i="1"/>
  <c r="CC80" i="1"/>
  <c r="CC81" i="1"/>
  <c r="CC82" i="1"/>
  <c r="CC83" i="1"/>
  <c r="CC84" i="1"/>
  <c r="CC85" i="1"/>
  <c r="CC86" i="1"/>
  <c r="CC87" i="1"/>
  <c r="CC88" i="1"/>
  <c r="CC89" i="1"/>
  <c r="CC90" i="1"/>
  <c r="CC91" i="1"/>
  <c r="CC92" i="1"/>
  <c r="CC93" i="1"/>
  <c r="CC94" i="1"/>
  <c r="CC95" i="1"/>
  <c r="CC96" i="1"/>
  <c r="CC97" i="1"/>
  <c r="CC98" i="1"/>
  <c r="CC99" i="1"/>
  <c r="CC100" i="1"/>
  <c r="CC101" i="1"/>
  <c r="CC102" i="1"/>
  <c r="CC103" i="1"/>
  <c r="CC104" i="1"/>
  <c r="CC105" i="1"/>
  <c r="CC106" i="1"/>
  <c r="CC107" i="1"/>
  <c r="CC108" i="1"/>
  <c r="CC109" i="1"/>
  <c r="CC110" i="1"/>
  <c r="CC111" i="1"/>
  <c r="CC112" i="1"/>
  <c r="CC113" i="1"/>
  <c r="CC114" i="1"/>
  <c r="CC115" i="1"/>
  <c r="CC116" i="1"/>
  <c r="CC117" i="1"/>
  <c r="CC118" i="1"/>
  <c r="CC119" i="1"/>
  <c r="CC120" i="1"/>
  <c r="CC121" i="1"/>
  <c r="CC122" i="1"/>
  <c r="CC123" i="1"/>
  <c r="CC124" i="1"/>
  <c r="CC125" i="1"/>
  <c r="CC126" i="1"/>
  <c r="CC127" i="1"/>
  <c r="CC128" i="1"/>
  <c r="CC129" i="1"/>
  <c r="CC130" i="1"/>
  <c r="CC131" i="1"/>
  <c r="CC132" i="1"/>
  <c r="CC133" i="1"/>
  <c r="CC134" i="1"/>
  <c r="CC135" i="1"/>
  <c r="CC136" i="1"/>
  <c r="CC137" i="1"/>
  <c r="CC138" i="1"/>
  <c r="CC139" i="1"/>
  <c r="CC140" i="1"/>
  <c r="CC141" i="1"/>
  <c r="CC142" i="1"/>
  <c r="CC143" i="1"/>
  <c r="CC144" i="1"/>
  <c r="CC145" i="1"/>
  <c r="CC146" i="1"/>
  <c r="CC147" i="1"/>
  <c r="CC148" i="1"/>
  <c r="CC149" i="1"/>
  <c r="CC150" i="1"/>
  <c r="CC151" i="1"/>
  <c r="CC152" i="1"/>
  <c r="CC153" i="1"/>
  <c r="CC154" i="1"/>
  <c r="CC155" i="1"/>
  <c r="CC156" i="1"/>
  <c r="CC157" i="1"/>
  <c r="CC158" i="1"/>
  <c r="CC159" i="1"/>
  <c r="CC48" i="1"/>
  <c r="CC160" i="1"/>
  <c r="CC161" i="1"/>
  <c r="CC162" i="1"/>
  <c r="CC163" i="1"/>
  <c r="CC164" i="1"/>
  <c r="CC165" i="1"/>
  <c r="CC166" i="1"/>
  <c r="CC167" i="1"/>
  <c r="CC168" i="1"/>
  <c r="CC169" i="1"/>
  <c r="CC170" i="1"/>
  <c r="CC171" i="1"/>
  <c r="CC172" i="1"/>
  <c r="CC173" i="1"/>
  <c r="CC174" i="1"/>
  <c r="CC175" i="1"/>
  <c r="CC176" i="1"/>
  <c r="CC177" i="1"/>
  <c r="CC178" i="1"/>
  <c r="CC179" i="1"/>
  <c r="CC180" i="1"/>
  <c r="CC181" i="1"/>
  <c r="CC182" i="1"/>
  <c r="CC183" i="1"/>
  <c r="CC184" i="1"/>
  <c r="CC185" i="1"/>
  <c r="CC186" i="1"/>
  <c r="CC187" i="1"/>
  <c r="CC188" i="1"/>
  <c r="CC189" i="1"/>
  <c r="CC190" i="1"/>
  <c r="CC191" i="1"/>
  <c r="CC192" i="1"/>
  <c r="CC193" i="1"/>
  <c r="CC194" i="1"/>
  <c r="CC195" i="1"/>
  <c r="CC196" i="1"/>
  <c r="CC197" i="1"/>
  <c r="CC198" i="1"/>
  <c r="CC199" i="1"/>
  <c r="CC27" i="1"/>
  <c r="CC200" i="1"/>
  <c r="CC201" i="1"/>
  <c r="CC202" i="1"/>
  <c r="CC203" i="1"/>
  <c r="CC204" i="1"/>
  <c r="CC205" i="1"/>
  <c r="CC206" i="1"/>
  <c r="CC207" i="1"/>
  <c r="CC208" i="1"/>
  <c r="CC209" i="1"/>
  <c r="CC210" i="1"/>
  <c r="CC211" i="1"/>
  <c r="CC212" i="1"/>
  <c r="CC213" i="1"/>
  <c r="CC214" i="1"/>
  <c r="CC215" i="1"/>
  <c r="CC216" i="1"/>
  <c r="CC217" i="1"/>
  <c r="CC218" i="1"/>
  <c r="CC219" i="1"/>
  <c r="CC220" i="1"/>
  <c r="CC221" i="1"/>
  <c r="CC222" i="1"/>
  <c r="CC223" i="1"/>
  <c r="CC224" i="1"/>
  <c r="CC225" i="1"/>
  <c r="CC226" i="1"/>
  <c r="CC227" i="1"/>
  <c r="CC228" i="1"/>
  <c r="CC229" i="1"/>
  <c r="CC230" i="1"/>
  <c r="CC231" i="1"/>
  <c r="CC232" i="1"/>
  <c r="CC233" i="1"/>
  <c r="CC234" i="1"/>
  <c r="CC235" i="1"/>
  <c r="CC236" i="1"/>
  <c r="CC237" i="1"/>
  <c r="CC238" i="1"/>
  <c r="CC239" i="1"/>
  <c r="CC240" i="1"/>
  <c r="CC241" i="1"/>
  <c r="CC242" i="1"/>
  <c r="CC243" i="1"/>
  <c r="CC244" i="1"/>
  <c r="CC245" i="1"/>
  <c r="CC246" i="1"/>
  <c r="CC247" i="1"/>
  <c r="CC248" i="1"/>
  <c r="CC249" i="1"/>
  <c r="CC250" i="1"/>
  <c r="CC251" i="1"/>
  <c r="CC252" i="1"/>
  <c r="CC253" i="1"/>
  <c r="CC254" i="1"/>
  <c r="CC255" i="1"/>
  <c r="CC256" i="1"/>
  <c r="CC257" i="1"/>
  <c r="CC258" i="1"/>
  <c r="CC259" i="1"/>
  <c r="CC260" i="1"/>
  <c r="CC261" i="1"/>
  <c r="CC262" i="1"/>
  <c r="CC263" i="1"/>
  <c r="CC264" i="1"/>
  <c r="CC265" i="1"/>
  <c r="CC266" i="1"/>
  <c r="CC267" i="1"/>
  <c r="CC268" i="1"/>
  <c r="CC269" i="1"/>
  <c r="CC270" i="1"/>
  <c r="CC271" i="1"/>
  <c r="CC272" i="1"/>
  <c r="CC273" i="1"/>
  <c r="CC274" i="1"/>
  <c r="CC275" i="1"/>
  <c r="CC276" i="1"/>
  <c r="CC277" i="1"/>
  <c r="CC278" i="1"/>
  <c r="CC279" i="1"/>
  <c r="CC280" i="1"/>
  <c r="CC281" i="1"/>
  <c r="CC282" i="1"/>
  <c r="CC283" i="1"/>
  <c r="CC284" i="1"/>
  <c r="CC285" i="1"/>
  <c r="CC286" i="1"/>
  <c r="CC287" i="1"/>
  <c r="CC288" i="1"/>
  <c r="CC289" i="1"/>
  <c r="CC290" i="1"/>
  <c r="CC291" i="1"/>
  <c r="CC292" i="1"/>
  <c r="CC293" i="1"/>
  <c r="CC294" i="1"/>
  <c r="CC295" i="1"/>
  <c r="CC296" i="1"/>
  <c r="CC297" i="1"/>
  <c r="CC298" i="1"/>
  <c r="CC299" i="1"/>
  <c r="CC300" i="1"/>
  <c r="CC301" i="1"/>
  <c r="CC302" i="1"/>
  <c r="CC303" i="1"/>
  <c r="CC304" i="1"/>
  <c r="CC305" i="1"/>
  <c r="CC306" i="1"/>
  <c r="CC307" i="1"/>
  <c r="CC308" i="1"/>
  <c r="CC309" i="1"/>
  <c r="CC310" i="1"/>
  <c r="CC311" i="1"/>
  <c r="CC312" i="1"/>
  <c r="CC313" i="1"/>
  <c r="CC314" i="1"/>
  <c r="CC315" i="1"/>
  <c r="CC316" i="1"/>
  <c r="CC317" i="1"/>
  <c r="CC318" i="1"/>
  <c r="CC319" i="1"/>
  <c r="CC320" i="1"/>
  <c r="CC321" i="1"/>
  <c r="CC322" i="1"/>
  <c r="CC323" i="1"/>
  <c r="CC324" i="1"/>
  <c r="CC325" i="1"/>
  <c r="CC326" i="1"/>
  <c r="CC327" i="1"/>
  <c r="CC328" i="1"/>
  <c r="CC329" i="1"/>
  <c r="CC330" i="1"/>
  <c r="CC331" i="1"/>
  <c r="CC332" i="1"/>
  <c r="CC333" i="1"/>
  <c r="CC334" i="1"/>
  <c r="CC335" i="1"/>
  <c r="CC336" i="1"/>
  <c r="CC337" i="1"/>
  <c r="CC338" i="1"/>
  <c r="CC339" i="1"/>
  <c r="CC340" i="1"/>
  <c r="CC341" i="1"/>
  <c r="CC342" i="1"/>
  <c r="CC343" i="1"/>
  <c r="CC344" i="1"/>
  <c r="CC345" i="1"/>
  <c r="CC346" i="1"/>
  <c r="CC347" i="1"/>
  <c r="CC348" i="1"/>
  <c r="CC349" i="1"/>
  <c r="CC350" i="1"/>
  <c r="CC351" i="1"/>
  <c r="CC67" i="1"/>
  <c r="CC352" i="1"/>
  <c r="CC353" i="1"/>
  <c r="CC354" i="1"/>
  <c r="CC355" i="1"/>
  <c r="CC356" i="1"/>
  <c r="CC357" i="1"/>
  <c r="CC358" i="1"/>
  <c r="CC359" i="1"/>
  <c r="CC69" i="1"/>
  <c r="CC360" i="1"/>
  <c r="CC361" i="1"/>
  <c r="CC362" i="1"/>
  <c r="CC363" i="1"/>
  <c r="CC364" i="1"/>
  <c r="CC365" i="1"/>
  <c r="CC366" i="1"/>
  <c r="CC367" i="1"/>
  <c r="CC368" i="1"/>
  <c r="CC369" i="1"/>
  <c r="CC370" i="1"/>
  <c r="CC371" i="1"/>
  <c r="CC372" i="1"/>
  <c r="CC373" i="1"/>
  <c r="CC374" i="1"/>
  <c r="CC375" i="1"/>
  <c r="CC376" i="1"/>
  <c r="CC377" i="1"/>
  <c r="CC378" i="1"/>
  <c r="CC379" i="1"/>
  <c r="CC380" i="1"/>
  <c r="CC59" i="1"/>
  <c r="CC381" i="1"/>
  <c r="CC382" i="1"/>
  <c r="CC383" i="1"/>
  <c r="CC384" i="1"/>
  <c r="CC385" i="1"/>
  <c r="CC386" i="1"/>
  <c r="CC387" i="1"/>
  <c r="CC388" i="1"/>
  <c r="CC389" i="1"/>
  <c r="CC390" i="1"/>
  <c r="CC391" i="1"/>
  <c r="CC392" i="1"/>
  <c r="CC11" i="1"/>
  <c r="CC393" i="1"/>
  <c r="CC394" i="1"/>
  <c r="CC60" i="1"/>
  <c r="CC50" i="1"/>
  <c r="CC502" i="1"/>
  <c r="CC503" i="1"/>
  <c r="CC395" i="1"/>
  <c r="CC504" i="1"/>
  <c r="CC46" i="1"/>
  <c r="CC29" i="1"/>
  <c r="CC24" i="1"/>
  <c r="CC34" i="1"/>
  <c r="CC61" i="1"/>
  <c r="CC65" i="1"/>
  <c r="CC40" i="1"/>
  <c r="CC51" i="1"/>
  <c r="CC31" i="1"/>
  <c r="CB6" i="1"/>
  <c r="CB37" i="1"/>
  <c r="CB33" i="1"/>
  <c r="CB7" i="1"/>
  <c r="CB26" i="1"/>
  <c r="CB22" i="1"/>
  <c r="CB45" i="1"/>
  <c r="CB5" i="1"/>
  <c r="CB63" i="1"/>
  <c r="CB35" i="1"/>
  <c r="CB43" i="1"/>
  <c r="CB41" i="1"/>
  <c r="CB47" i="1"/>
  <c r="CB25" i="1"/>
  <c r="CB30" i="1"/>
  <c r="CB17" i="1"/>
  <c r="CB39" i="1"/>
  <c r="CB8" i="1"/>
  <c r="CB15" i="1"/>
  <c r="CB44" i="1"/>
  <c r="CB16" i="1"/>
  <c r="CB18" i="1"/>
  <c r="CB55" i="1"/>
  <c r="CB56" i="1"/>
  <c r="CB57" i="1"/>
  <c r="CB58" i="1"/>
  <c r="CB62" i="1"/>
  <c r="CB12" i="1"/>
  <c r="CB14" i="1"/>
  <c r="CB64" i="1"/>
  <c r="CB66" i="1"/>
  <c r="CB68" i="1"/>
  <c r="CB13" i="1"/>
  <c r="CB28" i="1"/>
  <c r="CB36" i="1"/>
  <c r="CB54" i="1"/>
  <c r="CB42" i="1"/>
  <c r="CB38" i="1"/>
  <c r="CB32" i="1"/>
  <c r="CB52" i="1"/>
  <c r="CB49" i="1"/>
  <c r="CB20" i="1"/>
  <c r="CB10" i="1"/>
  <c r="CB396" i="1"/>
  <c r="CB19" i="1"/>
  <c r="CB397" i="1"/>
  <c r="CB398" i="1"/>
  <c r="CB399" i="1"/>
  <c r="CB400" i="1"/>
  <c r="CB9" i="1"/>
  <c r="CB401" i="1"/>
  <c r="CB402" i="1"/>
  <c r="CB403" i="1"/>
  <c r="CB404" i="1"/>
  <c r="CB405" i="1"/>
  <c r="CB406" i="1"/>
  <c r="CB407" i="1"/>
  <c r="CB408" i="1"/>
  <c r="CB409" i="1"/>
  <c r="CB410" i="1"/>
  <c r="CB411" i="1"/>
  <c r="CB412" i="1"/>
  <c r="CB413" i="1"/>
  <c r="CB414" i="1"/>
  <c r="CB415" i="1"/>
  <c r="CB416" i="1"/>
  <c r="CB417" i="1"/>
  <c r="CB418" i="1"/>
  <c r="CB419" i="1"/>
  <c r="CB420" i="1"/>
  <c r="CB53" i="1"/>
  <c r="CB421" i="1"/>
  <c r="CB422" i="1"/>
  <c r="CB423" i="1"/>
  <c r="CB424" i="1"/>
  <c r="CB425" i="1"/>
  <c r="CB426" i="1"/>
  <c r="CB427" i="1"/>
  <c r="CB428" i="1"/>
  <c r="CB429" i="1"/>
  <c r="CB430" i="1"/>
  <c r="CB431" i="1"/>
  <c r="CB432" i="1"/>
  <c r="CB433" i="1"/>
  <c r="CB434" i="1"/>
  <c r="CB435" i="1"/>
  <c r="CB436" i="1"/>
  <c r="CB437" i="1"/>
  <c r="CB438" i="1"/>
  <c r="CB439" i="1"/>
  <c r="CB440" i="1"/>
  <c r="CB441" i="1"/>
  <c r="CB442" i="1"/>
  <c r="CB443" i="1"/>
  <c r="CB444" i="1"/>
  <c r="CB445" i="1"/>
  <c r="CB446" i="1"/>
  <c r="CB447" i="1"/>
  <c r="CB448" i="1"/>
  <c r="CB449" i="1"/>
  <c r="CB450" i="1"/>
  <c r="CB451" i="1"/>
  <c r="CB452" i="1"/>
  <c r="CB453" i="1"/>
  <c r="CB454" i="1"/>
  <c r="CB455" i="1"/>
  <c r="CB456" i="1"/>
  <c r="CB457" i="1"/>
  <c r="CB458" i="1"/>
  <c r="CB459" i="1"/>
  <c r="CB460" i="1"/>
  <c r="CB461" i="1"/>
  <c r="CB462" i="1"/>
  <c r="CB463" i="1"/>
  <c r="CB464" i="1"/>
  <c r="CB465" i="1"/>
  <c r="CB466" i="1"/>
  <c r="CB467" i="1"/>
  <c r="CB468" i="1"/>
  <c r="CB469" i="1"/>
  <c r="CB21" i="1"/>
  <c r="CB470" i="1"/>
  <c r="CB471" i="1"/>
  <c r="CB472" i="1"/>
  <c r="CB473" i="1"/>
  <c r="CB474" i="1"/>
  <c r="CB475" i="1"/>
  <c r="CB23" i="1"/>
  <c r="CB476" i="1"/>
  <c r="CB477" i="1"/>
  <c r="CB478" i="1"/>
  <c r="CB479" i="1"/>
  <c r="CB480" i="1"/>
  <c r="CB481" i="1"/>
  <c r="CB482" i="1"/>
  <c r="CB483" i="1"/>
  <c r="CB484" i="1"/>
  <c r="CB485" i="1"/>
  <c r="CB486" i="1"/>
  <c r="CB487" i="1"/>
  <c r="CB488" i="1"/>
  <c r="CB489" i="1"/>
  <c r="CB490" i="1"/>
  <c r="CB491" i="1"/>
  <c r="CB492" i="1"/>
  <c r="CB493" i="1"/>
  <c r="CB494" i="1"/>
  <c r="CB495" i="1"/>
  <c r="CB496" i="1"/>
  <c r="CB497" i="1"/>
  <c r="CB498" i="1"/>
  <c r="CB499" i="1"/>
  <c r="CB500" i="1"/>
  <c r="CB501" i="1"/>
  <c r="CB70" i="1"/>
  <c r="CB71" i="1"/>
  <c r="CB72" i="1"/>
  <c r="CB73" i="1"/>
  <c r="CB74" i="1"/>
  <c r="CB75" i="1"/>
  <c r="CB76" i="1"/>
  <c r="CB77" i="1"/>
  <c r="CB78" i="1"/>
  <c r="CB79" i="1"/>
  <c r="CB80" i="1"/>
  <c r="CB81" i="1"/>
  <c r="CB82" i="1"/>
  <c r="CB83" i="1"/>
  <c r="CB84" i="1"/>
  <c r="CB85" i="1"/>
  <c r="CB86" i="1"/>
  <c r="CB87" i="1"/>
  <c r="CB88" i="1"/>
  <c r="CB89" i="1"/>
  <c r="CB90" i="1"/>
  <c r="CB91" i="1"/>
  <c r="CB92" i="1"/>
  <c r="CB93" i="1"/>
  <c r="CB94" i="1"/>
  <c r="CB95" i="1"/>
  <c r="CB96" i="1"/>
  <c r="CB97" i="1"/>
  <c r="CB98" i="1"/>
  <c r="CB99" i="1"/>
  <c r="CB100" i="1"/>
  <c r="CB101" i="1"/>
  <c r="CB102" i="1"/>
  <c r="CB103" i="1"/>
  <c r="CB104" i="1"/>
  <c r="CB105" i="1"/>
  <c r="CB106" i="1"/>
  <c r="CB107" i="1"/>
  <c r="CB108" i="1"/>
  <c r="CB109" i="1"/>
  <c r="CB110" i="1"/>
  <c r="CB111" i="1"/>
  <c r="CB112" i="1"/>
  <c r="CB113" i="1"/>
  <c r="CB114" i="1"/>
  <c r="CB115" i="1"/>
  <c r="CB116" i="1"/>
  <c r="CB117" i="1"/>
  <c r="CB118" i="1"/>
  <c r="CB119" i="1"/>
  <c r="CB120" i="1"/>
  <c r="CB121" i="1"/>
  <c r="CB122" i="1"/>
  <c r="CB123" i="1"/>
  <c r="CB124" i="1"/>
  <c r="CB125" i="1"/>
  <c r="CB126" i="1"/>
  <c r="CB127" i="1"/>
  <c r="CB128" i="1"/>
  <c r="CB129" i="1"/>
  <c r="CB130" i="1"/>
  <c r="CB131" i="1"/>
  <c r="CB132" i="1"/>
  <c r="CB133" i="1"/>
  <c r="CB134" i="1"/>
  <c r="CB135" i="1"/>
  <c r="CB136" i="1"/>
  <c r="CB137" i="1"/>
  <c r="CB138" i="1"/>
  <c r="CB139" i="1"/>
  <c r="CB140" i="1"/>
  <c r="CB141" i="1"/>
  <c r="CB142" i="1"/>
  <c r="CB143" i="1"/>
  <c r="CB144" i="1"/>
  <c r="CB145" i="1"/>
  <c r="CB146" i="1"/>
  <c r="CB147" i="1"/>
  <c r="CB148" i="1"/>
  <c r="CB149" i="1"/>
  <c r="CB150" i="1"/>
  <c r="CB151" i="1"/>
  <c r="CB152" i="1"/>
  <c r="CB153" i="1"/>
  <c r="CB154" i="1"/>
  <c r="CB155" i="1"/>
  <c r="CB156" i="1"/>
  <c r="CB157" i="1"/>
  <c r="CB158" i="1"/>
  <c r="CB159" i="1"/>
  <c r="CB48" i="1"/>
  <c r="CB160" i="1"/>
  <c r="CB161" i="1"/>
  <c r="CB162" i="1"/>
  <c r="CB163" i="1"/>
  <c r="CB164" i="1"/>
  <c r="CB165" i="1"/>
  <c r="CB166" i="1"/>
  <c r="CB167" i="1"/>
  <c r="CB168" i="1"/>
  <c r="CB169" i="1"/>
  <c r="CB170" i="1"/>
  <c r="CB171" i="1"/>
  <c r="CB172" i="1"/>
  <c r="CB173" i="1"/>
  <c r="CB174" i="1"/>
  <c r="CB175" i="1"/>
  <c r="CB176" i="1"/>
  <c r="CB177" i="1"/>
  <c r="CB178" i="1"/>
  <c r="CB179" i="1"/>
  <c r="CB180" i="1"/>
  <c r="CB181" i="1"/>
  <c r="CB182" i="1"/>
  <c r="CB183" i="1"/>
  <c r="CB184" i="1"/>
  <c r="CB185" i="1"/>
  <c r="CB186" i="1"/>
  <c r="CB187" i="1"/>
  <c r="CB188" i="1"/>
  <c r="CB189" i="1"/>
  <c r="CB190" i="1"/>
  <c r="CB191" i="1"/>
  <c r="CB192" i="1"/>
  <c r="CB193" i="1"/>
  <c r="CB194" i="1"/>
  <c r="CB195" i="1"/>
  <c r="CB196" i="1"/>
  <c r="CB197" i="1"/>
  <c r="CB198" i="1"/>
  <c r="CB199" i="1"/>
  <c r="CB27" i="1"/>
  <c r="CB200" i="1"/>
  <c r="CB201" i="1"/>
  <c r="CB202" i="1"/>
  <c r="CB203" i="1"/>
  <c r="CB204" i="1"/>
  <c r="CB205" i="1"/>
  <c r="CB206" i="1"/>
  <c r="CB207" i="1"/>
  <c r="CB208" i="1"/>
  <c r="CB209" i="1"/>
  <c r="CB210" i="1"/>
  <c r="CB211" i="1"/>
  <c r="CB212" i="1"/>
  <c r="CB213" i="1"/>
  <c r="CB214" i="1"/>
  <c r="CB215" i="1"/>
  <c r="CB216" i="1"/>
  <c r="CB217" i="1"/>
  <c r="CB218" i="1"/>
  <c r="CB219" i="1"/>
  <c r="CB220" i="1"/>
  <c r="CB221" i="1"/>
  <c r="CB222" i="1"/>
  <c r="CB223" i="1"/>
  <c r="CB224" i="1"/>
  <c r="CB225" i="1"/>
  <c r="CB226" i="1"/>
  <c r="CB227" i="1"/>
  <c r="CB228" i="1"/>
  <c r="CB229" i="1"/>
  <c r="CB230" i="1"/>
  <c r="CB231" i="1"/>
  <c r="CB232" i="1"/>
  <c r="CB233" i="1"/>
  <c r="CB234" i="1"/>
  <c r="CB235" i="1"/>
  <c r="CB236" i="1"/>
  <c r="CB237" i="1"/>
  <c r="CB238" i="1"/>
  <c r="CB239" i="1"/>
  <c r="CB240" i="1"/>
  <c r="CB241" i="1"/>
  <c r="CB242" i="1"/>
  <c r="CB243" i="1"/>
  <c r="CB244" i="1"/>
  <c r="CB245" i="1"/>
  <c r="CB246" i="1"/>
  <c r="CB247" i="1"/>
  <c r="CB248" i="1"/>
  <c r="CB249" i="1"/>
  <c r="CB250" i="1"/>
  <c r="CB251" i="1"/>
  <c r="CB252" i="1"/>
  <c r="CB253" i="1"/>
  <c r="CB254" i="1"/>
  <c r="CB255" i="1"/>
  <c r="CB256" i="1"/>
  <c r="CB257" i="1"/>
  <c r="CB258" i="1"/>
  <c r="CB259" i="1"/>
  <c r="CB260" i="1"/>
  <c r="CB261" i="1"/>
  <c r="CB262" i="1"/>
  <c r="CB263" i="1"/>
  <c r="CB264" i="1"/>
  <c r="CB265" i="1"/>
  <c r="CB266" i="1"/>
  <c r="CB267" i="1"/>
  <c r="CB268" i="1"/>
  <c r="CB269" i="1"/>
  <c r="CB270" i="1"/>
  <c r="CB271" i="1"/>
  <c r="CB272" i="1"/>
  <c r="CB273" i="1"/>
  <c r="CB274" i="1"/>
  <c r="CB275" i="1"/>
  <c r="CB276" i="1"/>
  <c r="CB277" i="1"/>
  <c r="CB278" i="1"/>
  <c r="CB279" i="1"/>
  <c r="CB280" i="1"/>
  <c r="CB281" i="1"/>
  <c r="CB282" i="1"/>
  <c r="CB283" i="1"/>
  <c r="CB284" i="1"/>
  <c r="CB285" i="1"/>
  <c r="CB286" i="1"/>
  <c r="CB287" i="1"/>
  <c r="CB288" i="1"/>
  <c r="CB289" i="1"/>
  <c r="CB290" i="1"/>
  <c r="CB291" i="1"/>
  <c r="CB292" i="1"/>
  <c r="CB293" i="1"/>
  <c r="CB294" i="1"/>
  <c r="CB295" i="1"/>
  <c r="CB296" i="1"/>
  <c r="CB297" i="1"/>
  <c r="CB298" i="1"/>
  <c r="CB299" i="1"/>
  <c r="CB300" i="1"/>
  <c r="CB301" i="1"/>
  <c r="CB302" i="1"/>
  <c r="CB303" i="1"/>
  <c r="CB304" i="1"/>
  <c r="CB305" i="1"/>
  <c r="CB306" i="1"/>
  <c r="CB307" i="1"/>
  <c r="CB308" i="1"/>
  <c r="CB309" i="1"/>
  <c r="CB310" i="1"/>
  <c r="CB311" i="1"/>
  <c r="CB312" i="1"/>
  <c r="CB313" i="1"/>
  <c r="CB314" i="1"/>
  <c r="CB315" i="1"/>
  <c r="CB316" i="1"/>
  <c r="CB317" i="1"/>
  <c r="CB318" i="1"/>
  <c r="CB319" i="1"/>
  <c r="CB320" i="1"/>
  <c r="CB321" i="1"/>
  <c r="CB322" i="1"/>
  <c r="CB323" i="1"/>
  <c r="CB324" i="1"/>
  <c r="CB325" i="1"/>
  <c r="CB326" i="1"/>
  <c r="CB327" i="1"/>
  <c r="CB328" i="1"/>
  <c r="CB329" i="1"/>
  <c r="CB330" i="1"/>
  <c r="CB331" i="1"/>
  <c r="CB332" i="1"/>
  <c r="CB333" i="1"/>
  <c r="CB334" i="1"/>
  <c r="CB335" i="1"/>
  <c r="CB336" i="1"/>
  <c r="CB337" i="1"/>
  <c r="CB338" i="1"/>
  <c r="CB339" i="1"/>
  <c r="CB340" i="1"/>
  <c r="CB341" i="1"/>
  <c r="CB342" i="1"/>
  <c r="CB343" i="1"/>
  <c r="CB344" i="1"/>
  <c r="CB345" i="1"/>
  <c r="CB346" i="1"/>
  <c r="CB347" i="1"/>
  <c r="CB348" i="1"/>
  <c r="CB349" i="1"/>
  <c r="CB350" i="1"/>
  <c r="CB351" i="1"/>
  <c r="CB67" i="1"/>
  <c r="CB352" i="1"/>
  <c r="CB353" i="1"/>
  <c r="CB354" i="1"/>
  <c r="CB355" i="1"/>
  <c r="CB356" i="1"/>
  <c r="CB357" i="1"/>
  <c r="CB358" i="1"/>
  <c r="CB359" i="1"/>
  <c r="CB69" i="1"/>
  <c r="CB360" i="1"/>
  <c r="CB361" i="1"/>
  <c r="CB362" i="1"/>
  <c r="CB363" i="1"/>
  <c r="CB364" i="1"/>
  <c r="CB365" i="1"/>
  <c r="CB366" i="1"/>
  <c r="CB367" i="1"/>
  <c r="CB368" i="1"/>
  <c r="CB369" i="1"/>
  <c r="CB370" i="1"/>
  <c r="CB371" i="1"/>
  <c r="CB372" i="1"/>
  <c r="CB373" i="1"/>
  <c r="CB374" i="1"/>
  <c r="CB375" i="1"/>
  <c r="CB376" i="1"/>
  <c r="CB377" i="1"/>
  <c r="CB378" i="1"/>
  <c r="CB379" i="1"/>
  <c r="CB380" i="1"/>
  <c r="CB59" i="1"/>
  <c r="CB381" i="1"/>
  <c r="CB382" i="1"/>
  <c r="CB383" i="1"/>
  <c r="CB384" i="1"/>
  <c r="CB385" i="1"/>
  <c r="CB386" i="1"/>
  <c r="CB387" i="1"/>
  <c r="CB388" i="1"/>
  <c r="CB389" i="1"/>
  <c r="CB390" i="1"/>
  <c r="CB391" i="1"/>
  <c r="CB392" i="1"/>
  <c r="CB11" i="1"/>
  <c r="CB393" i="1"/>
  <c r="CB394" i="1"/>
  <c r="CB60" i="1"/>
  <c r="CB50" i="1"/>
  <c r="CB502" i="1"/>
  <c r="CB503" i="1"/>
  <c r="CB395" i="1"/>
  <c r="CB504" i="1"/>
  <c r="CB46" i="1"/>
  <c r="CB29" i="1"/>
  <c r="CB24" i="1"/>
  <c r="CB34" i="1"/>
  <c r="CB61" i="1"/>
  <c r="CB65" i="1"/>
  <c r="CB40" i="1"/>
  <c r="CB51" i="1"/>
  <c r="CB31" i="1"/>
  <c r="T6" i="12" l="1"/>
  <c r="N6" i="12"/>
  <c r="H6" i="12"/>
  <c r="E6" i="12"/>
  <c r="DF29" i="10"/>
  <c r="DH29" i="10" s="1"/>
  <c r="DE29" i="10"/>
  <c r="DD29" i="10"/>
  <c r="DC29" i="10"/>
  <c r="AW35" i="12" l="1"/>
  <c r="DD43" i="10" l="1"/>
  <c r="DE43" i="10" s="1"/>
  <c r="DD46" i="10"/>
  <c r="DG46" i="10" s="1"/>
  <c r="DD45" i="10"/>
  <c r="DH45" i="10" s="1"/>
  <c r="DD48" i="10"/>
  <c r="DG48" i="10" s="1"/>
  <c r="DD44" i="10"/>
  <c r="DF44" i="10" s="1"/>
  <c r="DD47" i="10"/>
  <c r="DF47" i="10" s="1"/>
  <c r="DE45" i="10" l="1"/>
  <c r="DG47" i="10"/>
  <c r="DF45" i="10"/>
  <c r="DE47" i="10"/>
  <c r="DH47" i="10"/>
  <c r="DH46" i="10"/>
  <c r="DG44" i="10"/>
  <c r="DE46" i="10"/>
  <c r="DF43" i="10"/>
  <c r="DF46" i="10"/>
  <c r="DG43" i="10"/>
  <c r="DH48" i="10"/>
  <c r="DE48" i="10"/>
  <c r="DF48" i="10"/>
  <c r="DG45" i="10"/>
  <c r="DH43" i="10"/>
  <c r="DH44" i="10"/>
  <c r="DE44" i="10"/>
  <c r="CT2" i="7"/>
  <c r="AQ18" i="12" l="1"/>
  <c r="AK18" i="12"/>
  <c r="AE18" i="12"/>
  <c r="Y18" i="12"/>
  <c r="AE17" i="12" l="1"/>
  <c r="Y17" i="12"/>
  <c r="S17" i="12"/>
  <c r="AB54" i="10" l="1"/>
  <c r="A2" i="6" s="1"/>
  <c r="M17" i="12"/>
  <c r="AW17" i="12" l="1"/>
  <c r="AH17" i="12"/>
  <c r="AB17" i="12"/>
  <c r="V17" i="12"/>
  <c r="P17" i="12"/>
  <c r="AE15" i="12"/>
  <c r="Y15" i="12"/>
  <c r="S15" i="12"/>
  <c r="M15" i="12"/>
  <c r="AW36" i="12"/>
  <c r="AW34" i="12"/>
  <c r="AW33" i="12"/>
  <c r="AW32" i="12"/>
  <c r="AW31" i="12"/>
  <c r="DG29" i="10" l="1"/>
  <c r="S23" i="12" l="1"/>
  <c r="M23" i="12"/>
  <c r="G23" i="12"/>
  <c r="D23" i="12"/>
  <c r="S22" i="12"/>
  <c r="M22" i="12"/>
  <c r="G22" i="12"/>
  <c r="D22" i="12"/>
  <c r="S21" i="12"/>
  <c r="M21" i="12"/>
  <c r="G21" i="12"/>
  <c r="D21" i="12"/>
  <c r="T41" i="12" l="1"/>
  <c r="S41" i="12"/>
  <c r="N41" i="12"/>
  <c r="M41" i="12"/>
  <c r="H41" i="12"/>
  <c r="G41" i="12"/>
  <c r="E41" i="12"/>
  <c r="D41" i="12"/>
  <c r="T40" i="12"/>
  <c r="S40" i="12"/>
  <c r="N40" i="12"/>
  <c r="M40" i="12"/>
  <c r="H40" i="12"/>
  <c r="G40" i="12"/>
  <c r="E40" i="12"/>
  <c r="D40" i="12"/>
  <c r="T39" i="12"/>
  <c r="S39" i="12"/>
  <c r="N39" i="12"/>
  <c r="M39" i="12"/>
  <c r="H39" i="12"/>
  <c r="G39" i="12"/>
  <c r="E39" i="12"/>
  <c r="D39" i="12"/>
  <c r="S14" i="12"/>
  <c r="M14" i="12"/>
  <c r="G14" i="12"/>
  <c r="D14" i="12"/>
  <c r="S12" i="12"/>
  <c r="M12" i="12"/>
  <c r="G12" i="12"/>
  <c r="D12" i="12"/>
  <c r="DA24" i="10"/>
  <c r="S11" i="12"/>
  <c r="M11" i="12"/>
  <c r="G11" i="12"/>
  <c r="D11" i="12"/>
  <c r="S10" i="12"/>
  <c r="M10" i="12"/>
  <c r="G10" i="12"/>
  <c r="D10" i="12"/>
  <c r="S7" i="12"/>
  <c r="M7" i="12"/>
  <c r="G7" i="12"/>
  <c r="D7" i="12"/>
  <c r="O40" i="12" l="1"/>
  <c r="I40" i="12"/>
  <c r="U40" i="12"/>
  <c r="I39" i="12"/>
  <c r="U39" i="12"/>
  <c r="F41" i="12"/>
  <c r="O41" i="12"/>
  <c r="F40" i="12"/>
  <c r="I41" i="12"/>
  <c r="U41" i="12"/>
  <c r="F39" i="12"/>
  <c r="O39" i="12"/>
  <c r="DA52" i="10" l="1"/>
  <c r="DB52" i="10"/>
  <c r="J40" i="12" s="1"/>
  <c r="DC52" i="10"/>
  <c r="P40" i="12" s="1"/>
  <c r="DD52" i="10"/>
  <c r="AW40" i="12" s="1"/>
  <c r="DA53" i="10"/>
  <c r="DB53" i="10"/>
  <c r="J41" i="12" s="1"/>
  <c r="DC53" i="10"/>
  <c r="P41" i="12" s="1"/>
  <c r="DD53" i="10"/>
  <c r="AW41" i="12" s="1"/>
  <c r="DD51" i="10"/>
  <c r="AW39" i="12" s="1"/>
  <c r="DC51" i="10"/>
  <c r="P39" i="12" s="1"/>
  <c r="DE53" i="10" l="1"/>
  <c r="V41" i="12"/>
  <c r="DE52" i="10"/>
  <c r="V40" i="12"/>
  <c r="DH51" i="10"/>
  <c r="V39" i="12"/>
  <c r="DE51" i="10"/>
  <c r="DF51" i="10"/>
  <c r="DG51" i="10"/>
  <c r="DG52" i="10"/>
  <c r="DH53" i="10"/>
  <c r="DF53" i="10"/>
  <c r="DF52" i="10"/>
  <c r="DH52" i="10"/>
  <c r="DG53" i="10"/>
  <c r="DB51" i="10"/>
  <c r="J39" i="12" s="1"/>
  <c r="DA51" i="10"/>
  <c r="DB73" i="11"/>
  <c r="DC73" i="11"/>
  <c r="K40" i="12" s="1"/>
  <c r="L40" i="12" s="1"/>
  <c r="DD73" i="11"/>
  <c r="Q40" i="12" s="1"/>
  <c r="R40" i="12" s="1"/>
  <c r="DE73" i="11"/>
  <c r="AX40" i="12" s="1"/>
  <c r="AY40" i="12" s="1"/>
  <c r="DB74" i="11"/>
  <c r="DC74" i="11"/>
  <c r="K41" i="12" s="1"/>
  <c r="L41" i="12" s="1"/>
  <c r="DD74" i="11"/>
  <c r="DE74" i="11"/>
  <c r="AX41" i="12" s="1"/>
  <c r="AY41" i="12" s="1"/>
  <c r="DE72" i="11"/>
  <c r="DD72" i="11"/>
  <c r="Q39" i="12" s="1"/>
  <c r="R39" i="12" s="1"/>
  <c r="DC72" i="11"/>
  <c r="K39" i="12" s="1"/>
  <c r="DB72" i="11"/>
  <c r="BA75" i="11"/>
  <c r="D2" i="7" s="1"/>
  <c r="AS75" i="11"/>
  <c r="C2" i="7" s="1"/>
  <c r="AK75" i="11"/>
  <c r="B2" i="7" s="1"/>
  <c r="AC75" i="11"/>
  <c r="DH30" i="10"/>
  <c r="DG30" i="10"/>
  <c r="AN18" i="12" s="1"/>
  <c r="DF30" i="10"/>
  <c r="AH18" i="12" s="1"/>
  <c r="DE30" i="10"/>
  <c r="AB18" i="12" s="1"/>
  <c r="DC27" i="10"/>
  <c r="P15" i="12" s="1"/>
  <c r="DE14" i="11"/>
  <c r="DD14" i="11"/>
  <c r="Q6" i="12" s="1"/>
  <c r="DC14" i="11"/>
  <c r="K6" i="12" s="1"/>
  <c r="DB14" i="11"/>
  <c r="DA34" i="10"/>
  <c r="DB34" i="10"/>
  <c r="J22" i="12" s="1"/>
  <c r="DC34" i="10"/>
  <c r="P22" i="12" s="1"/>
  <c r="DD34" i="10"/>
  <c r="DA35" i="10"/>
  <c r="DB35" i="10"/>
  <c r="J23" i="12" s="1"/>
  <c r="DC35" i="10"/>
  <c r="P23" i="12" s="1"/>
  <c r="DD35" i="10"/>
  <c r="DH35" i="10" s="1"/>
  <c r="DD33" i="10"/>
  <c r="DC33" i="10"/>
  <c r="P21" i="12" s="1"/>
  <c r="DB33" i="10"/>
  <c r="J21" i="12" s="1"/>
  <c r="DA33" i="10"/>
  <c r="E42" i="12" l="1"/>
  <c r="A2" i="7"/>
  <c r="AX6" i="12"/>
  <c r="W6" i="12"/>
  <c r="AT18" i="12"/>
  <c r="AW18" i="12"/>
  <c r="L39" i="12"/>
  <c r="AW21" i="12"/>
  <c r="V21" i="12"/>
  <c r="DE35" i="10"/>
  <c r="AW23" i="12"/>
  <c r="V23" i="12"/>
  <c r="DE34" i="10"/>
  <c r="AW22" i="12"/>
  <c r="V22" i="12"/>
  <c r="W39" i="12"/>
  <c r="X39" i="12" s="1"/>
  <c r="AX39" i="12"/>
  <c r="AY39" i="12" s="1"/>
  <c r="BA76" i="11"/>
  <c r="T42" i="12"/>
  <c r="AK76" i="11"/>
  <c r="H42" i="12"/>
  <c r="AS76" i="11"/>
  <c r="N42" i="12"/>
  <c r="DC36" i="10"/>
  <c r="P24" i="12" s="1"/>
  <c r="DF74" i="11"/>
  <c r="Q41" i="12"/>
  <c r="R41" i="12" s="1"/>
  <c r="W41" i="12"/>
  <c r="X41" i="12" s="1"/>
  <c r="DF73" i="11"/>
  <c r="W40" i="12"/>
  <c r="X40" i="12" s="1"/>
  <c r="DB36" i="10"/>
  <c r="J24" i="12" s="1"/>
  <c r="DD75" i="11"/>
  <c r="Q42" i="12" s="1"/>
  <c r="DG35" i="10"/>
  <c r="DA36" i="10"/>
  <c r="DD36" i="10"/>
  <c r="DC75" i="11"/>
  <c r="K42" i="12" s="1"/>
  <c r="DH72" i="11"/>
  <c r="DG72" i="11"/>
  <c r="DF72" i="11"/>
  <c r="DI72" i="11"/>
  <c r="DB75" i="11"/>
  <c r="AC76" i="11"/>
  <c r="DE75" i="11"/>
  <c r="AX42" i="12" s="1"/>
  <c r="DI74" i="11"/>
  <c r="DH74" i="11"/>
  <c r="DG74" i="11"/>
  <c r="DG73" i="11"/>
  <c r="DI73" i="11"/>
  <c r="DH73" i="11"/>
  <c r="DF35" i="10"/>
  <c r="DG34" i="10"/>
  <c r="DH34" i="10"/>
  <c r="DH36" i="10" s="1"/>
  <c r="DF34" i="10"/>
  <c r="DF33" i="10"/>
  <c r="DH33" i="10"/>
  <c r="DG33" i="10"/>
  <c r="DE33" i="10"/>
  <c r="N43" i="12" l="1"/>
  <c r="CQ2" i="7"/>
  <c r="T43" i="12"/>
  <c r="CR2" i="7"/>
  <c r="H43" i="12"/>
  <c r="CP2" i="7"/>
  <c r="E43" i="12"/>
  <c r="CO2" i="7"/>
  <c r="DG36" i="10"/>
  <c r="DE36" i="10"/>
  <c r="AW24" i="12"/>
  <c r="V24" i="12"/>
  <c r="DF75" i="11"/>
  <c r="W42" i="12"/>
  <c r="DH75" i="11"/>
  <c r="DF36" i="10"/>
  <c r="DG75" i="11"/>
  <c r="DI75" i="11"/>
  <c r="DD76" i="11"/>
  <c r="Q43" i="12" s="1"/>
  <c r="DE76" i="11"/>
  <c r="DB76" i="11"/>
  <c r="DC76" i="11"/>
  <c r="K43" i="12" s="1"/>
  <c r="W43" i="12" l="1"/>
  <c r="AX43" i="12"/>
  <c r="DF76" i="11"/>
  <c r="DI76" i="11"/>
  <c r="DG76" i="11"/>
  <c r="DH76" i="11"/>
  <c r="DD26" i="10" l="1"/>
  <c r="AW14" i="12" s="1"/>
  <c r="DC26" i="10"/>
  <c r="P14" i="12" s="1"/>
  <c r="DB26" i="10"/>
  <c r="J14" i="12" s="1"/>
  <c r="DA26" i="10"/>
  <c r="DD22" i="10"/>
  <c r="DC22" i="10"/>
  <c r="P10" i="12" s="1"/>
  <c r="DB22" i="10"/>
  <c r="J10" i="12" s="1"/>
  <c r="DA22" i="10"/>
  <c r="DD21" i="10"/>
  <c r="DC21" i="10"/>
  <c r="P7" i="12" s="1"/>
  <c r="DB21" i="10"/>
  <c r="J7" i="12" s="1"/>
  <c r="DA21" i="10"/>
  <c r="DD23" i="10"/>
  <c r="AW11" i="12" s="1"/>
  <c r="DC23" i="10"/>
  <c r="DB23" i="10"/>
  <c r="DA23" i="10"/>
  <c r="AW27" i="12" l="1"/>
  <c r="AW28" i="12"/>
  <c r="V7" i="12"/>
  <c r="AW7" i="12"/>
  <c r="V10" i="12"/>
  <c r="AW10" i="12"/>
  <c r="V11" i="12"/>
  <c r="DD24" i="10"/>
  <c r="J11" i="12"/>
  <c r="DB24" i="10"/>
  <c r="J12" i="12" s="1"/>
  <c r="DC24" i="10"/>
  <c r="P12" i="12" s="1"/>
  <c r="P11" i="12"/>
  <c r="DH31" i="10"/>
  <c r="V14" i="12"/>
  <c r="DE31" i="10"/>
  <c r="AB19" i="12" s="1"/>
  <c r="DC28" i="10"/>
  <c r="P16" i="12" s="1"/>
  <c r="DF31" i="10"/>
  <c r="AH19" i="12" s="1"/>
  <c r="DG31" i="10"/>
  <c r="AN19" i="12" s="1"/>
  <c r="DF27" i="10"/>
  <c r="DE27" i="10"/>
  <c r="DD27" i="10"/>
  <c r="BP28" i="10"/>
  <c r="BH28" i="10"/>
  <c r="AZ28" i="10"/>
  <c r="AR28" i="10"/>
  <c r="AZ25" i="10"/>
  <c r="AR25" i="10"/>
  <c r="AJ25" i="10"/>
  <c r="AB25" i="10"/>
  <c r="G13" i="12" l="1"/>
  <c r="DB2" i="6"/>
  <c r="M13" i="12"/>
  <c r="DC2" i="6"/>
  <c r="S16" i="12"/>
  <c r="R2" i="6"/>
  <c r="S13" i="12"/>
  <c r="DD2" i="6"/>
  <c r="AE16" i="12"/>
  <c r="T2" i="6"/>
  <c r="Y16" i="12"/>
  <c r="S2" i="6"/>
  <c r="D13" i="12"/>
  <c r="DA2" i="6"/>
  <c r="M16" i="12"/>
  <c r="Q2" i="6"/>
  <c r="AT19" i="12"/>
  <c r="AW19" i="12"/>
  <c r="DF28" i="10"/>
  <c r="DH28" i="10" s="1"/>
  <c r="AB15" i="12"/>
  <c r="V12" i="12"/>
  <c r="AW12" i="12"/>
  <c r="DH27" i="10"/>
  <c r="AH15" i="12"/>
  <c r="AW15" i="12"/>
  <c r="DE28" i="10"/>
  <c r="AB16" i="12" s="1"/>
  <c r="V15" i="12"/>
  <c r="DD28" i="10"/>
  <c r="V16" i="12" s="1"/>
  <c r="DG27" i="10"/>
  <c r="DI14" i="11"/>
  <c r="DE23" i="10"/>
  <c r="DF22" i="10"/>
  <c r="DH21" i="10"/>
  <c r="AW25" i="12" s="1"/>
  <c r="DG28" i="10" l="1"/>
  <c r="AH16" i="12"/>
  <c r="AW16" i="12"/>
  <c r="DA25" i="10"/>
  <c r="DE26" i="10"/>
  <c r="DD25" i="10"/>
  <c r="DF14" i="11"/>
  <c r="DC25" i="10"/>
  <c r="P13" i="12" s="1"/>
  <c r="DG14" i="11"/>
  <c r="DB25" i="10"/>
  <c r="J13" i="12" s="1"/>
  <c r="DE21" i="10"/>
  <c r="DE22" i="10"/>
  <c r="DH23" i="10"/>
  <c r="DH26" i="10"/>
  <c r="DF21" i="10"/>
  <c r="DH22" i="10"/>
  <c r="DG23" i="10"/>
  <c r="DG26" i="10"/>
  <c r="DG21" i="10"/>
  <c r="DG22" i="10"/>
  <c r="DF23" i="10"/>
  <c r="DF26" i="10"/>
  <c r="DH14" i="11"/>
  <c r="V13" i="12" l="1"/>
  <c r="AW13" i="12"/>
  <c r="DF25" i="10"/>
  <c r="DG25" i="10"/>
  <c r="DE25" i="10"/>
  <c r="DH25" i="10"/>
  <c r="CE37" i="1"/>
  <c r="CE33" i="1"/>
  <c r="CE22" i="1"/>
  <c r="CE45" i="1"/>
  <c r="CE5" i="1"/>
  <c r="CE63" i="1"/>
  <c r="CE35" i="1"/>
  <c r="CE43" i="1"/>
  <c r="CE41" i="1"/>
  <c r="CE47" i="1"/>
  <c r="CE25" i="1"/>
  <c r="CE30" i="1"/>
  <c r="CE17" i="1"/>
  <c r="CE39" i="1"/>
  <c r="CE8" i="1"/>
  <c r="CE15" i="1"/>
  <c r="CE44" i="1"/>
  <c r="CE16" i="1"/>
  <c r="CE18" i="1"/>
  <c r="CE55" i="1"/>
  <c r="CE56" i="1"/>
  <c r="CE57" i="1"/>
  <c r="CE58" i="1"/>
  <c r="CE62" i="1"/>
  <c r="CE12" i="1"/>
  <c r="CE14" i="1"/>
  <c r="CE64" i="1"/>
  <c r="CE66" i="1"/>
  <c r="CE68" i="1"/>
  <c r="CE13" i="1"/>
  <c r="CE28" i="1"/>
  <c r="CE36" i="1"/>
  <c r="CE54" i="1"/>
  <c r="CE42" i="1"/>
  <c r="CE38" i="1"/>
  <c r="CE32" i="1"/>
  <c r="CE52" i="1"/>
  <c r="CE49" i="1"/>
  <c r="CE20" i="1"/>
  <c r="CE10" i="1"/>
  <c r="CE396" i="1"/>
  <c r="CE19" i="1"/>
  <c r="CE397" i="1"/>
  <c r="CE398" i="1"/>
  <c r="CE399" i="1"/>
  <c r="CE400" i="1"/>
  <c r="CE9" i="1"/>
  <c r="CE401" i="1"/>
  <c r="CE402" i="1"/>
  <c r="CE403" i="1"/>
  <c r="CE404" i="1"/>
  <c r="CE405" i="1"/>
  <c r="CE406" i="1"/>
  <c r="CE407" i="1"/>
  <c r="CE408" i="1"/>
  <c r="CE409" i="1"/>
  <c r="CE410" i="1"/>
  <c r="CE411" i="1"/>
  <c r="CE412" i="1"/>
  <c r="CE413" i="1"/>
  <c r="CE414" i="1"/>
  <c r="CE415" i="1"/>
  <c r="CE416" i="1"/>
  <c r="CE417" i="1"/>
  <c r="CE418" i="1"/>
  <c r="CE419" i="1"/>
  <c r="CE420" i="1"/>
  <c r="CE53" i="1"/>
  <c r="CE421" i="1"/>
  <c r="CE422" i="1"/>
  <c r="CE423" i="1"/>
  <c r="CE424" i="1"/>
  <c r="CE425" i="1"/>
  <c r="CE426" i="1"/>
  <c r="CE427" i="1"/>
  <c r="CE428" i="1"/>
  <c r="CE429" i="1"/>
  <c r="CE430" i="1"/>
  <c r="CE431" i="1"/>
  <c r="CE432" i="1"/>
  <c r="CE433" i="1"/>
  <c r="CE434" i="1"/>
  <c r="CE435" i="1"/>
  <c r="CE436" i="1"/>
  <c r="CE437" i="1"/>
  <c r="CE438" i="1"/>
  <c r="CE439" i="1"/>
  <c r="CE440" i="1"/>
  <c r="CE441" i="1"/>
  <c r="CE442" i="1"/>
  <c r="CE443" i="1"/>
  <c r="CE444" i="1"/>
  <c r="CE445" i="1"/>
  <c r="CE446" i="1"/>
  <c r="CE447" i="1"/>
  <c r="CE448" i="1"/>
  <c r="CE449" i="1"/>
  <c r="CE450" i="1"/>
  <c r="CE451" i="1"/>
  <c r="CE452" i="1"/>
  <c r="CE453" i="1"/>
  <c r="CE454" i="1"/>
  <c r="CE455" i="1"/>
  <c r="CE456" i="1"/>
  <c r="CE457" i="1"/>
  <c r="CE458" i="1"/>
  <c r="CE459" i="1"/>
  <c r="CE460" i="1"/>
  <c r="CE461" i="1"/>
  <c r="CE462" i="1"/>
  <c r="CE463" i="1"/>
  <c r="CE464" i="1"/>
  <c r="CE465" i="1"/>
  <c r="CE466" i="1"/>
  <c r="CE467" i="1"/>
  <c r="CE468" i="1"/>
  <c r="CE469" i="1"/>
  <c r="CE21" i="1"/>
  <c r="CE470" i="1"/>
  <c r="CE471" i="1"/>
  <c r="CE472" i="1"/>
  <c r="CE473" i="1"/>
  <c r="CE474" i="1"/>
  <c r="CE475" i="1"/>
  <c r="CE23" i="1"/>
  <c r="CE476" i="1"/>
  <c r="CE477" i="1"/>
  <c r="CE478" i="1"/>
  <c r="CE479" i="1"/>
  <c r="CE480" i="1"/>
  <c r="CE481" i="1"/>
  <c r="CE482" i="1"/>
  <c r="CE483" i="1"/>
  <c r="CE484" i="1"/>
  <c r="CE485" i="1"/>
  <c r="CE486" i="1"/>
  <c r="CE487" i="1"/>
  <c r="CE488" i="1"/>
  <c r="CE489" i="1"/>
  <c r="CE490" i="1"/>
  <c r="CE491" i="1"/>
  <c r="CE492" i="1"/>
  <c r="CE493" i="1"/>
  <c r="CE494" i="1"/>
  <c r="CE495" i="1"/>
  <c r="CE496" i="1"/>
  <c r="CE497" i="1"/>
  <c r="CE498" i="1"/>
  <c r="CE499" i="1"/>
  <c r="CE500" i="1"/>
  <c r="CE501" i="1"/>
  <c r="CE70" i="1"/>
  <c r="CE71" i="1"/>
  <c r="CE72" i="1"/>
  <c r="CE73" i="1"/>
  <c r="CE74" i="1"/>
  <c r="CE75" i="1"/>
  <c r="CE76" i="1"/>
  <c r="CE77" i="1"/>
  <c r="CE78" i="1"/>
  <c r="CE79" i="1"/>
  <c r="CE80" i="1"/>
  <c r="CE81" i="1"/>
  <c r="CE82" i="1"/>
  <c r="CE83" i="1"/>
  <c r="CE84" i="1"/>
  <c r="CE85" i="1"/>
  <c r="CE86" i="1"/>
  <c r="CE87" i="1"/>
  <c r="CE88" i="1"/>
  <c r="CE89" i="1"/>
  <c r="CE90" i="1"/>
  <c r="CE91" i="1"/>
  <c r="CE92" i="1"/>
  <c r="CE93" i="1"/>
  <c r="CE94" i="1"/>
  <c r="CE95" i="1"/>
  <c r="CE96" i="1"/>
  <c r="CE97" i="1"/>
  <c r="CE98" i="1"/>
  <c r="CE99" i="1"/>
  <c r="CE100" i="1"/>
  <c r="CE101" i="1"/>
  <c r="CE102" i="1"/>
  <c r="CE103" i="1"/>
  <c r="CE104" i="1"/>
  <c r="CE105" i="1"/>
  <c r="CE106" i="1"/>
  <c r="CE107" i="1"/>
  <c r="CE108" i="1"/>
  <c r="CE109" i="1"/>
  <c r="CE110" i="1"/>
  <c r="CE111" i="1"/>
  <c r="CE112" i="1"/>
  <c r="CE113" i="1"/>
  <c r="CE114" i="1"/>
  <c r="CE115" i="1"/>
  <c r="CE116" i="1"/>
  <c r="CE117" i="1"/>
  <c r="CE118" i="1"/>
  <c r="CE119" i="1"/>
  <c r="CE120" i="1"/>
  <c r="CE121" i="1"/>
  <c r="CE122" i="1"/>
  <c r="CE123" i="1"/>
  <c r="CE124" i="1"/>
  <c r="CE125" i="1"/>
  <c r="CE126" i="1"/>
  <c r="CE127" i="1"/>
  <c r="CE128" i="1"/>
  <c r="CE129" i="1"/>
  <c r="CE130" i="1"/>
  <c r="CE131" i="1"/>
  <c r="CE132" i="1"/>
  <c r="CE133" i="1"/>
  <c r="CE134" i="1"/>
  <c r="CE135" i="1"/>
  <c r="CE136" i="1"/>
  <c r="CE137" i="1"/>
  <c r="CE138" i="1"/>
  <c r="CE139" i="1"/>
  <c r="CE140" i="1"/>
  <c r="CE141" i="1"/>
  <c r="CE142" i="1"/>
  <c r="CE143" i="1"/>
  <c r="CE144" i="1"/>
  <c r="CE145" i="1"/>
  <c r="CE146" i="1"/>
  <c r="CE147" i="1"/>
  <c r="CE148" i="1"/>
  <c r="CE149" i="1"/>
  <c r="CE150" i="1"/>
  <c r="CE151" i="1"/>
  <c r="CE152" i="1"/>
  <c r="CE153" i="1"/>
  <c r="CE154" i="1"/>
  <c r="CE155" i="1"/>
  <c r="CE156" i="1"/>
  <c r="CE157" i="1"/>
  <c r="CE158" i="1"/>
  <c r="CE159" i="1"/>
  <c r="CE48" i="1"/>
  <c r="CE160" i="1"/>
  <c r="CE161" i="1"/>
  <c r="CE162" i="1"/>
  <c r="CE163" i="1"/>
  <c r="CE164" i="1"/>
  <c r="CE165" i="1"/>
  <c r="CE166" i="1"/>
  <c r="CE167" i="1"/>
  <c r="CE168" i="1"/>
  <c r="CE169" i="1"/>
  <c r="CE170" i="1"/>
  <c r="CE171" i="1"/>
  <c r="CE172" i="1"/>
  <c r="CE173" i="1"/>
  <c r="CE174" i="1"/>
  <c r="CE175" i="1"/>
  <c r="CE176" i="1"/>
  <c r="CE177" i="1"/>
  <c r="CE178" i="1"/>
  <c r="CE179" i="1"/>
  <c r="CE180" i="1"/>
  <c r="CE181" i="1"/>
  <c r="CE182" i="1"/>
  <c r="CE183" i="1"/>
  <c r="CE184" i="1"/>
  <c r="CE185" i="1"/>
  <c r="CE186" i="1"/>
  <c r="CE187" i="1"/>
  <c r="CE188" i="1"/>
  <c r="CE189" i="1"/>
  <c r="CE190" i="1"/>
  <c r="CE191" i="1"/>
  <c r="CE192" i="1"/>
  <c r="CE193" i="1"/>
  <c r="CE194" i="1"/>
  <c r="CE195" i="1"/>
  <c r="CE196" i="1"/>
  <c r="CE197" i="1"/>
  <c r="CE198" i="1"/>
  <c r="CE199" i="1"/>
  <c r="CE27" i="1"/>
  <c r="CE200" i="1"/>
  <c r="CE201" i="1"/>
  <c r="CE202" i="1"/>
  <c r="CE203" i="1"/>
  <c r="CE204" i="1"/>
  <c r="CE205" i="1"/>
  <c r="CE206" i="1"/>
  <c r="CE207" i="1"/>
  <c r="CE208" i="1"/>
  <c r="CE209" i="1"/>
  <c r="CE210" i="1"/>
  <c r="CE211" i="1"/>
  <c r="CE212" i="1"/>
  <c r="CE213" i="1"/>
  <c r="CE214" i="1"/>
  <c r="CE215" i="1"/>
  <c r="CE216" i="1"/>
  <c r="CE217" i="1"/>
  <c r="CE218" i="1"/>
  <c r="CE219" i="1"/>
  <c r="CE220" i="1"/>
  <c r="CE221" i="1"/>
  <c r="CE222" i="1"/>
  <c r="CE223" i="1"/>
  <c r="CE224" i="1"/>
  <c r="CE225" i="1"/>
  <c r="CE226" i="1"/>
  <c r="CE227" i="1"/>
  <c r="CE228" i="1"/>
  <c r="CE229" i="1"/>
  <c r="CE230" i="1"/>
  <c r="CE231" i="1"/>
  <c r="CE232" i="1"/>
  <c r="CE233" i="1"/>
  <c r="CE234" i="1"/>
  <c r="CE235" i="1"/>
  <c r="CE236" i="1"/>
  <c r="CE237" i="1"/>
  <c r="CE238" i="1"/>
  <c r="CE239" i="1"/>
  <c r="CE240" i="1"/>
  <c r="CE241" i="1"/>
  <c r="CE242" i="1"/>
  <c r="CE243" i="1"/>
  <c r="CE244" i="1"/>
  <c r="CE245" i="1"/>
  <c r="CE246" i="1"/>
  <c r="CE247" i="1"/>
  <c r="CE248" i="1"/>
  <c r="CE249" i="1"/>
  <c r="CE250" i="1"/>
  <c r="CE251" i="1"/>
  <c r="CE252" i="1"/>
  <c r="CE253" i="1"/>
  <c r="CE254" i="1"/>
  <c r="CE255" i="1"/>
  <c r="CE256" i="1"/>
  <c r="CE257" i="1"/>
  <c r="CE258" i="1"/>
  <c r="CE259" i="1"/>
  <c r="CE260" i="1"/>
  <c r="CE261" i="1"/>
  <c r="CE262" i="1"/>
  <c r="CE263" i="1"/>
  <c r="CE264" i="1"/>
  <c r="CE265" i="1"/>
  <c r="CE266" i="1"/>
  <c r="CE267" i="1"/>
  <c r="CE268" i="1"/>
  <c r="CE269" i="1"/>
  <c r="CE270" i="1"/>
  <c r="CE271" i="1"/>
  <c r="CE272" i="1"/>
  <c r="CE273" i="1"/>
  <c r="CE274" i="1"/>
  <c r="CE275" i="1"/>
  <c r="CE276" i="1"/>
  <c r="CE277" i="1"/>
  <c r="CE278" i="1"/>
  <c r="CE279" i="1"/>
  <c r="CE280" i="1"/>
  <c r="CE281" i="1"/>
  <c r="CE282" i="1"/>
  <c r="CE283" i="1"/>
  <c r="CE284" i="1"/>
  <c r="CE285" i="1"/>
  <c r="CE286" i="1"/>
  <c r="CE287" i="1"/>
  <c r="CE288" i="1"/>
  <c r="CE289" i="1"/>
  <c r="CE290" i="1"/>
  <c r="CE291" i="1"/>
  <c r="CE292" i="1"/>
  <c r="CE293" i="1"/>
  <c r="CE294" i="1"/>
  <c r="CE295" i="1"/>
  <c r="CE296" i="1"/>
  <c r="CE297" i="1"/>
  <c r="CE298" i="1"/>
  <c r="CE299" i="1"/>
  <c r="CE300" i="1"/>
  <c r="CE301" i="1"/>
  <c r="CE302" i="1"/>
  <c r="CE303" i="1"/>
  <c r="CE304" i="1"/>
  <c r="CE305" i="1"/>
  <c r="CE306" i="1"/>
  <c r="CE307" i="1"/>
  <c r="CE308" i="1"/>
  <c r="CE309" i="1"/>
  <c r="CE310" i="1"/>
  <c r="CE311" i="1"/>
  <c r="CE312" i="1"/>
  <c r="CE313" i="1"/>
  <c r="CE314" i="1"/>
  <c r="CE315" i="1"/>
  <c r="CE316" i="1"/>
  <c r="CE317" i="1"/>
  <c r="CE318" i="1"/>
  <c r="CE319" i="1"/>
  <c r="CE320" i="1"/>
  <c r="CE321" i="1"/>
  <c r="CE322" i="1"/>
  <c r="CE323" i="1"/>
  <c r="CE324" i="1"/>
  <c r="CE325" i="1"/>
  <c r="CE326" i="1"/>
  <c r="CE327" i="1"/>
  <c r="CE328" i="1"/>
  <c r="CE329" i="1"/>
  <c r="CE330" i="1"/>
  <c r="CE331" i="1"/>
  <c r="CE332" i="1"/>
  <c r="CE333" i="1"/>
  <c r="CE334" i="1"/>
  <c r="CE335" i="1"/>
  <c r="CE336" i="1"/>
  <c r="CE337" i="1"/>
  <c r="CE338" i="1"/>
  <c r="CE339" i="1"/>
  <c r="CE340" i="1"/>
  <c r="CE341" i="1"/>
  <c r="CE342" i="1"/>
  <c r="CE343" i="1"/>
  <c r="CE344" i="1"/>
  <c r="CE345" i="1"/>
  <c r="CE346" i="1"/>
  <c r="CE347" i="1"/>
  <c r="CE348" i="1"/>
  <c r="CE349" i="1"/>
  <c r="CE350" i="1"/>
  <c r="CE351" i="1"/>
  <c r="CE67" i="1"/>
  <c r="CE352" i="1"/>
  <c r="CE353" i="1"/>
  <c r="CE354" i="1"/>
  <c r="CE355" i="1"/>
  <c r="CE356" i="1"/>
  <c r="CE357" i="1"/>
  <c r="CE358" i="1"/>
  <c r="CE359" i="1"/>
  <c r="CE69" i="1"/>
  <c r="CE360" i="1"/>
  <c r="CE361" i="1"/>
  <c r="CE362" i="1"/>
  <c r="CE363" i="1"/>
  <c r="CE364" i="1"/>
  <c r="CE365" i="1"/>
  <c r="CE366" i="1"/>
  <c r="CE367" i="1"/>
  <c r="CE368" i="1"/>
  <c r="CE369" i="1"/>
  <c r="CE370" i="1"/>
  <c r="CE371" i="1"/>
  <c r="CE372" i="1"/>
  <c r="CE373" i="1"/>
  <c r="CE374" i="1"/>
  <c r="CE375" i="1"/>
  <c r="CE376" i="1"/>
  <c r="CE377" i="1"/>
  <c r="CE378" i="1"/>
  <c r="CE379" i="1"/>
  <c r="CE380" i="1"/>
  <c r="CE59" i="1"/>
  <c r="CE381" i="1"/>
  <c r="CE382" i="1"/>
  <c r="CE383" i="1"/>
  <c r="CE384" i="1"/>
  <c r="CE385" i="1"/>
  <c r="CE386" i="1"/>
  <c r="CE387" i="1"/>
  <c r="CE388" i="1"/>
  <c r="CE389" i="1"/>
  <c r="CE390" i="1"/>
  <c r="CE391" i="1"/>
  <c r="CE392" i="1"/>
  <c r="CE11" i="1"/>
  <c r="CE393" i="1"/>
  <c r="CE394" i="1"/>
  <c r="CE60" i="1"/>
  <c r="CE50" i="1"/>
  <c r="CE502" i="1"/>
  <c r="CE503" i="1"/>
  <c r="CE395" i="1"/>
  <c r="CE504" i="1"/>
  <c r="CE46" i="1"/>
  <c r="CE29" i="1"/>
  <c r="CE24" i="1"/>
  <c r="CE34" i="1"/>
  <c r="CE61" i="1"/>
  <c r="CE65" i="1"/>
  <c r="CE40" i="1"/>
  <c r="CE51" i="1"/>
  <c r="CE31" i="1"/>
  <c r="BR505" i="1"/>
  <c r="BO505" i="1"/>
  <c r="BL505" i="1"/>
  <c r="BH505" i="1"/>
  <c r="BG505" i="1"/>
  <c r="BF505" i="1"/>
  <c r="BE505" i="1"/>
  <c r="BD505" i="1"/>
  <c r="BC505" i="1"/>
  <c r="BB505" i="1"/>
  <c r="AO505" i="1"/>
  <c r="AN505" i="1"/>
  <c r="AM505" i="1"/>
  <c r="AL505" i="1"/>
  <c r="AK505" i="1"/>
  <c r="AJ505" i="1"/>
  <c r="AI505" i="1"/>
  <c r="AT505" i="1"/>
  <c r="AA505" i="1"/>
  <c r="P505" i="1"/>
  <c r="AP505" i="1"/>
  <c r="AQ505" i="1"/>
  <c r="AR505" i="1"/>
  <c r="AS505" i="1"/>
  <c r="AW505" i="1"/>
  <c r="BI505" i="1"/>
  <c r="AX505" i="1"/>
  <c r="AY505" i="1"/>
  <c r="AZ505" i="1"/>
  <c r="BA505" i="1"/>
  <c r="CE26" i="1" l="1"/>
  <c r="CE7" i="1"/>
  <c r="CE6" i="1"/>
  <c r="AJ36" i="10"/>
  <c r="AR36" i="10"/>
  <c r="AZ36" i="10"/>
  <c r="AB36" i="10"/>
  <c r="BP31" i="10"/>
  <c r="BX31" i="10"/>
  <c r="CF31" i="10"/>
  <c r="BH31" i="10"/>
  <c r="AE19" i="12" l="1"/>
  <c r="W2" i="6"/>
  <c r="Y19" i="12"/>
  <c r="V2" i="6"/>
  <c r="AQ19" i="12"/>
  <c r="Y2" i="6"/>
  <c r="S24" i="12"/>
  <c r="CY2" i="6"/>
  <c r="G24" i="12"/>
  <c r="CW2" i="6"/>
  <c r="D24" i="12"/>
  <c r="CV2" i="6"/>
  <c r="AK19" i="12"/>
  <c r="X2" i="6"/>
  <c r="M24" i="12"/>
  <c r="CX2" i="6"/>
  <c r="CN24" i="10"/>
  <c r="J2" i="6" s="1"/>
  <c r="CN34" i="10"/>
  <c r="AO2" i="6" s="1"/>
  <c r="CN35" i="10"/>
  <c r="AT2" i="6" s="1"/>
  <c r="CN33" i="10"/>
  <c r="AJ2" i="6" s="1"/>
  <c r="CN30" i="10"/>
  <c r="BD2" i="6" s="1"/>
  <c r="CN27" i="10"/>
  <c r="AY2" i="6" s="1"/>
  <c r="CN26" i="10"/>
  <c r="BI2" i="6" s="1"/>
  <c r="CN23" i="10"/>
  <c r="CP2" i="6" s="1"/>
  <c r="CN22" i="10"/>
  <c r="CU2" i="6" s="1"/>
  <c r="CN21" i="10"/>
  <c r="AE2" i="6" s="1"/>
  <c r="CN28" i="10" l="1"/>
  <c r="U2" i="6" s="1"/>
  <c r="CN25" i="10"/>
  <c r="DE2" i="6" s="1"/>
  <c r="CN36" i="10"/>
  <c r="CZ2" i="6" s="1"/>
  <c r="CN31" i="10"/>
  <c r="Z2" i="6" s="1"/>
  <c r="BY6" i="1"/>
  <c r="BY37" i="1"/>
  <c r="BY33" i="1"/>
  <c r="BY7" i="1"/>
  <c r="BY26" i="1"/>
  <c r="BY22" i="1"/>
  <c r="BY45" i="1"/>
  <c r="BY5" i="1"/>
  <c r="BY63" i="1"/>
  <c r="BY35" i="1"/>
  <c r="BY43" i="1"/>
  <c r="BY41" i="1"/>
  <c r="BY47" i="1"/>
  <c r="BY25" i="1"/>
  <c r="BY30" i="1"/>
  <c r="BY17" i="1"/>
  <c r="BY39" i="1"/>
  <c r="BY8" i="1"/>
  <c r="BY15" i="1"/>
  <c r="BY44" i="1"/>
  <c r="BY16" i="1"/>
  <c r="BY18" i="1"/>
  <c r="BY55" i="1"/>
  <c r="BY56" i="1"/>
  <c r="BY57" i="1"/>
  <c r="BY58" i="1"/>
  <c r="BY62" i="1"/>
  <c r="BY12" i="1"/>
  <c r="BY14" i="1"/>
  <c r="BY64" i="1"/>
  <c r="BY66" i="1"/>
  <c r="BY68" i="1"/>
  <c r="BY13" i="1"/>
  <c r="BY28" i="1"/>
  <c r="BY36" i="1"/>
  <c r="BY54" i="1"/>
  <c r="BY42" i="1"/>
  <c r="BY38" i="1"/>
  <c r="BY32" i="1"/>
  <c r="BY52" i="1"/>
  <c r="BY49" i="1"/>
  <c r="BY20" i="1"/>
  <c r="BY10" i="1"/>
  <c r="BY396" i="1"/>
  <c r="BY19" i="1"/>
  <c r="BY397" i="1"/>
  <c r="BY398" i="1"/>
  <c r="BY399" i="1"/>
  <c r="BY400" i="1"/>
  <c r="BY9" i="1"/>
  <c r="BY401" i="1"/>
  <c r="BY402" i="1"/>
  <c r="BY403" i="1"/>
  <c r="BY404" i="1"/>
  <c r="BY405" i="1"/>
  <c r="BY406" i="1"/>
  <c r="BY407" i="1"/>
  <c r="BY408" i="1"/>
  <c r="BY409" i="1"/>
  <c r="BY410" i="1"/>
  <c r="BY411" i="1"/>
  <c r="BY412" i="1"/>
  <c r="BY413" i="1"/>
  <c r="BY414" i="1"/>
  <c r="BY415" i="1"/>
  <c r="BY416" i="1"/>
  <c r="BY417" i="1"/>
  <c r="BY418" i="1"/>
  <c r="BY419" i="1"/>
  <c r="BY420" i="1"/>
  <c r="BY53" i="1"/>
  <c r="BY421" i="1"/>
  <c r="BY422" i="1"/>
  <c r="BY423" i="1"/>
  <c r="BY424" i="1"/>
  <c r="BY425" i="1"/>
  <c r="BY426" i="1"/>
  <c r="BY427" i="1"/>
  <c r="BY428" i="1"/>
  <c r="BY429" i="1"/>
  <c r="BY430" i="1"/>
  <c r="BY431" i="1"/>
  <c r="BY432" i="1"/>
  <c r="BY433" i="1"/>
  <c r="BY434" i="1"/>
  <c r="BY435" i="1"/>
  <c r="BY436" i="1"/>
  <c r="BY437" i="1"/>
  <c r="BY438" i="1"/>
  <c r="BY439" i="1"/>
  <c r="BY440" i="1"/>
  <c r="BY441" i="1"/>
  <c r="BY442" i="1"/>
  <c r="BY443" i="1"/>
  <c r="BY444" i="1"/>
  <c r="BY445" i="1"/>
  <c r="BY446" i="1"/>
  <c r="BY447" i="1"/>
  <c r="BY448" i="1"/>
  <c r="BY449" i="1"/>
  <c r="BY450" i="1"/>
  <c r="BY451" i="1"/>
  <c r="BY452" i="1"/>
  <c r="BY453" i="1"/>
  <c r="BY454" i="1"/>
  <c r="BY455" i="1"/>
  <c r="BY456" i="1"/>
  <c r="BY457" i="1"/>
  <c r="BY458" i="1"/>
  <c r="BY459" i="1"/>
  <c r="BY460" i="1"/>
  <c r="BY461" i="1"/>
  <c r="BY462" i="1"/>
  <c r="BY463" i="1"/>
  <c r="BY464" i="1"/>
  <c r="BY465" i="1"/>
  <c r="BY466" i="1"/>
  <c r="BY467" i="1"/>
  <c r="BY468" i="1"/>
  <c r="BY469" i="1"/>
  <c r="BY21" i="1"/>
  <c r="BY470" i="1"/>
  <c r="BY471" i="1"/>
  <c r="BY472" i="1"/>
  <c r="BY473" i="1"/>
  <c r="BY474" i="1"/>
  <c r="BY475" i="1"/>
  <c r="BY23" i="1"/>
  <c r="BY476" i="1"/>
  <c r="BY477" i="1"/>
  <c r="BY478" i="1"/>
  <c r="BY479" i="1"/>
  <c r="BY480" i="1"/>
  <c r="BY481" i="1"/>
  <c r="BY482" i="1"/>
  <c r="BY483" i="1"/>
  <c r="BY484" i="1"/>
  <c r="BY485" i="1"/>
  <c r="BY486" i="1"/>
  <c r="BY487" i="1"/>
  <c r="BY488" i="1"/>
  <c r="BY489" i="1"/>
  <c r="BY490" i="1"/>
  <c r="BY491" i="1"/>
  <c r="BY492" i="1"/>
  <c r="BY493" i="1"/>
  <c r="BY494" i="1"/>
  <c r="BY495" i="1"/>
  <c r="BY496" i="1"/>
  <c r="BY497" i="1"/>
  <c r="BY498" i="1"/>
  <c r="BY499" i="1"/>
  <c r="BY500" i="1"/>
  <c r="BY501" i="1"/>
  <c r="BY70" i="1"/>
  <c r="BY71" i="1"/>
  <c r="BY72" i="1"/>
  <c r="BY73" i="1"/>
  <c r="BY74" i="1"/>
  <c r="BY75" i="1"/>
  <c r="BY76" i="1"/>
  <c r="BY77" i="1"/>
  <c r="BY78" i="1"/>
  <c r="BY79" i="1"/>
  <c r="BY80" i="1"/>
  <c r="BY81" i="1"/>
  <c r="BY82" i="1"/>
  <c r="BY83" i="1"/>
  <c r="BY84" i="1"/>
  <c r="BY85" i="1"/>
  <c r="BY86" i="1"/>
  <c r="BY87" i="1"/>
  <c r="BY88" i="1"/>
  <c r="BY89" i="1"/>
  <c r="BY90" i="1"/>
  <c r="BY91" i="1"/>
  <c r="BY92" i="1"/>
  <c r="BY93" i="1"/>
  <c r="BY94" i="1"/>
  <c r="BY95" i="1"/>
  <c r="BY96" i="1"/>
  <c r="BY97" i="1"/>
  <c r="BY98" i="1"/>
  <c r="BY99" i="1"/>
  <c r="BY100" i="1"/>
  <c r="BY101" i="1"/>
  <c r="BY102" i="1"/>
  <c r="BY103" i="1"/>
  <c r="BY104" i="1"/>
  <c r="BY105" i="1"/>
  <c r="BY106" i="1"/>
  <c r="BY107" i="1"/>
  <c r="BY108" i="1"/>
  <c r="BY109" i="1"/>
  <c r="BY110" i="1"/>
  <c r="BY111" i="1"/>
  <c r="BY112" i="1"/>
  <c r="BY113" i="1"/>
  <c r="BY114" i="1"/>
  <c r="BY115" i="1"/>
  <c r="BY116" i="1"/>
  <c r="BY117" i="1"/>
  <c r="BY118" i="1"/>
  <c r="BY119" i="1"/>
  <c r="BY120" i="1"/>
  <c r="BY121" i="1"/>
  <c r="BY122" i="1"/>
  <c r="BY123" i="1"/>
  <c r="BY124" i="1"/>
  <c r="BY125" i="1"/>
  <c r="BY126" i="1"/>
  <c r="BY127" i="1"/>
  <c r="BY128" i="1"/>
  <c r="BY129" i="1"/>
  <c r="BY130" i="1"/>
  <c r="BY131" i="1"/>
  <c r="BY132" i="1"/>
  <c r="BY133" i="1"/>
  <c r="BY134" i="1"/>
  <c r="BY135" i="1"/>
  <c r="BY136" i="1"/>
  <c r="BY137" i="1"/>
  <c r="BY138" i="1"/>
  <c r="BY139" i="1"/>
  <c r="BY140" i="1"/>
  <c r="BY141" i="1"/>
  <c r="BY142" i="1"/>
  <c r="BY143" i="1"/>
  <c r="BY144" i="1"/>
  <c r="BY145" i="1"/>
  <c r="BY146" i="1"/>
  <c r="BY147" i="1"/>
  <c r="BY148" i="1"/>
  <c r="BY149" i="1"/>
  <c r="BY150" i="1"/>
  <c r="BY151" i="1"/>
  <c r="BY152" i="1"/>
  <c r="BY153" i="1"/>
  <c r="BY154" i="1"/>
  <c r="BY155" i="1"/>
  <c r="BY156" i="1"/>
  <c r="BY157" i="1"/>
  <c r="BY158" i="1"/>
  <c r="BY159" i="1"/>
  <c r="BY48" i="1"/>
  <c r="BY160" i="1"/>
  <c r="BY161" i="1"/>
  <c r="BY162" i="1"/>
  <c r="BY163" i="1"/>
  <c r="BY164" i="1"/>
  <c r="BY165" i="1"/>
  <c r="BY166" i="1"/>
  <c r="BY167" i="1"/>
  <c r="BY168" i="1"/>
  <c r="BY169" i="1"/>
  <c r="BY170" i="1"/>
  <c r="BY171" i="1"/>
  <c r="BY172" i="1"/>
  <c r="BY173" i="1"/>
  <c r="BY174" i="1"/>
  <c r="BY175" i="1"/>
  <c r="BY176" i="1"/>
  <c r="BY177" i="1"/>
  <c r="BY178" i="1"/>
  <c r="BY179" i="1"/>
  <c r="BY180" i="1"/>
  <c r="BY181" i="1"/>
  <c r="BY182" i="1"/>
  <c r="BY183" i="1"/>
  <c r="BY184" i="1"/>
  <c r="BY185" i="1"/>
  <c r="BY186" i="1"/>
  <c r="BY187" i="1"/>
  <c r="BY188" i="1"/>
  <c r="BY189" i="1"/>
  <c r="BY190" i="1"/>
  <c r="BY191" i="1"/>
  <c r="BY192" i="1"/>
  <c r="BY193" i="1"/>
  <c r="BY194" i="1"/>
  <c r="BY195" i="1"/>
  <c r="BY196" i="1"/>
  <c r="BY197" i="1"/>
  <c r="BY198" i="1"/>
  <c r="BY199" i="1"/>
  <c r="BY27" i="1"/>
  <c r="BY200" i="1"/>
  <c r="BY201" i="1"/>
  <c r="BY202" i="1"/>
  <c r="BY203" i="1"/>
  <c r="BY204" i="1"/>
  <c r="BY205" i="1"/>
  <c r="BY206" i="1"/>
  <c r="BY207" i="1"/>
  <c r="BY208" i="1"/>
  <c r="BY209" i="1"/>
  <c r="BY210" i="1"/>
  <c r="BY211" i="1"/>
  <c r="BY212" i="1"/>
  <c r="BY213" i="1"/>
  <c r="BY214" i="1"/>
  <c r="BY215" i="1"/>
  <c r="BY216" i="1"/>
  <c r="BY217" i="1"/>
  <c r="BY218" i="1"/>
  <c r="BY219" i="1"/>
  <c r="BY220" i="1"/>
  <c r="BY221" i="1"/>
  <c r="BY222" i="1"/>
  <c r="BY223" i="1"/>
  <c r="BY224" i="1"/>
  <c r="BY225" i="1"/>
  <c r="BY226" i="1"/>
  <c r="BY227" i="1"/>
  <c r="BY228" i="1"/>
  <c r="BY229" i="1"/>
  <c r="BY230" i="1"/>
  <c r="BY231" i="1"/>
  <c r="BY232" i="1"/>
  <c r="BY233" i="1"/>
  <c r="BY234" i="1"/>
  <c r="BY235" i="1"/>
  <c r="BY236" i="1"/>
  <c r="BY237" i="1"/>
  <c r="BY238" i="1"/>
  <c r="BY239" i="1"/>
  <c r="BY240" i="1"/>
  <c r="BY241" i="1"/>
  <c r="BY242" i="1"/>
  <c r="BY243" i="1"/>
  <c r="BY244" i="1"/>
  <c r="BY245" i="1"/>
  <c r="BY246" i="1"/>
  <c r="BY247" i="1"/>
  <c r="BY248" i="1"/>
  <c r="BY249" i="1"/>
  <c r="BY250" i="1"/>
  <c r="BY251" i="1"/>
  <c r="BY252" i="1"/>
  <c r="BY253" i="1"/>
  <c r="BY254" i="1"/>
  <c r="BY255" i="1"/>
  <c r="BY256" i="1"/>
  <c r="BY257" i="1"/>
  <c r="BY258" i="1"/>
  <c r="BY259" i="1"/>
  <c r="BY260" i="1"/>
  <c r="BY261" i="1"/>
  <c r="BY262" i="1"/>
  <c r="BY263" i="1"/>
  <c r="BY264" i="1"/>
  <c r="BY265" i="1"/>
  <c r="BY266" i="1"/>
  <c r="BY267" i="1"/>
  <c r="BY268" i="1"/>
  <c r="BY269" i="1"/>
  <c r="BY270" i="1"/>
  <c r="BY271" i="1"/>
  <c r="BY272" i="1"/>
  <c r="BY273" i="1"/>
  <c r="BY274" i="1"/>
  <c r="BY275" i="1"/>
  <c r="BY276" i="1"/>
  <c r="BY277" i="1"/>
  <c r="BY278" i="1"/>
  <c r="BY279" i="1"/>
  <c r="BY280" i="1"/>
  <c r="BY281" i="1"/>
  <c r="BY282" i="1"/>
  <c r="BY283" i="1"/>
  <c r="BY284" i="1"/>
  <c r="BY285" i="1"/>
  <c r="BY286" i="1"/>
  <c r="BY287" i="1"/>
  <c r="BY288" i="1"/>
  <c r="BY289" i="1"/>
  <c r="BY290" i="1"/>
  <c r="BY291" i="1"/>
  <c r="BY292" i="1"/>
  <c r="BY293" i="1"/>
  <c r="BY294" i="1"/>
  <c r="BY295" i="1"/>
  <c r="BY296" i="1"/>
  <c r="BY297" i="1"/>
  <c r="BY298" i="1"/>
  <c r="BY299" i="1"/>
  <c r="BY300" i="1"/>
  <c r="BY301" i="1"/>
  <c r="BY302" i="1"/>
  <c r="BY303" i="1"/>
  <c r="BY304" i="1"/>
  <c r="BY305" i="1"/>
  <c r="BY306" i="1"/>
  <c r="BY307" i="1"/>
  <c r="BY308" i="1"/>
  <c r="BY309" i="1"/>
  <c r="BY310" i="1"/>
  <c r="BY311" i="1"/>
  <c r="BY312" i="1"/>
  <c r="BY313" i="1"/>
  <c r="BY314" i="1"/>
  <c r="BY315" i="1"/>
  <c r="BY316" i="1"/>
  <c r="BY317" i="1"/>
  <c r="BY318" i="1"/>
  <c r="BY319" i="1"/>
  <c r="BY320" i="1"/>
  <c r="BY321" i="1"/>
  <c r="BY322" i="1"/>
  <c r="BY323" i="1"/>
  <c r="BY324" i="1"/>
  <c r="BY325" i="1"/>
  <c r="BY326" i="1"/>
  <c r="BY327" i="1"/>
  <c r="BY328" i="1"/>
  <c r="BY329" i="1"/>
  <c r="BY330" i="1"/>
  <c r="BY331" i="1"/>
  <c r="BY332" i="1"/>
  <c r="BY333" i="1"/>
  <c r="BY334" i="1"/>
  <c r="BY335" i="1"/>
  <c r="BY336" i="1"/>
  <c r="BY337" i="1"/>
  <c r="BY338" i="1"/>
  <c r="BY339" i="1"/>
  <c r="BY340" i="1"/>
  <c r="BY341" i="1"/>
  <c r="BY342" i="1"/>
  <c r="BY343" i="1"/>
  <c r="BY344" i="1"/>
  <c r="BY345" i="1"/>
  <c r="BY346" i="1"/>
  <c r="BY347" i="1"/>
  <c r="BY348" i="1"/>
  <c r="BY349" i="1"/>
  <c r="BY350" i="1"/>
  <c r="BY351" i="1"/>
  <c r="BY67" i="1"/>
  <c r="BY352" i="1"/>
  <c r="BY353" i="1"/>
  <c r="BY354" i="1"/>
  <c r="BY355" i="1"/>
  <c r="BY356" i="1"/>
  <c r="BY357" i="1"/>
  <c r="BY358" i="1"/>
  <c r="BY359" i="1"/>
  <c r="BY69" i="1"/>
  <c r="BY360" i="1"/>
  <c r="BY361" i="1"/>
  <c r="BY362" i="1"/>
  <c r="BY363" i="1"/>
  <c r="BY364" i="1"/>
  <c r="BY365" i="1"/>
  <c r="BY366" i="1"/>
  <c r="BY367" i="1"/>
  <c r="BY368" i="1"/>
  <c r="BY369" i="1"/>
  <c r="BY370" i="1"/>
  <c r="BY371" i="1"/>
  <c r="BY372" i="1"/>
  <c r="BY373" i="1"/>
  <c r="BY374" i="1"/>
  <c r="BY375" i="1"/>
  <c r="BY376" i="1"/>
  <c r="BY377" i="1"/>
  <c r="BY378" i="1"/>
  <c r="BY379" i="1"/>
  <c r="BY380" i="1"/>
  <c r="BY59" i="1"/>
  <c r="BY381" i="1"/>
  <c r="BY382" i="1"/>
  <c r="BY383" i="1"/>
  <c r="BY384" i="1"/>
  <c r="BY385" i="1"/>
  <c r="BY386" i="1"/>
  <c r="BY387" i="1"/>
  <c r="BY388" i="1"/>
  <c r="BY389" i="1"/>
  <c r="BY390" i="1"/>
  <c r="BY391" i="1"/>
  <c r="BY392" i="1"/>
  <c r="BY11" i="1"/>
  <c r="BY393" i="1"/>
  <c r="BY394" i="1"/>
  <c r="BY60" i="1"/>
  <c r="BY50" i="1"/>
  <c r="BY502" i="1"/>
  <c r="BY503" i="1"/>
  <c r="BY395" i="1"/>
  <c r="BY504" i="1"/>
  <c r="BY46" i="1"/>
  <c r="BY29" i="1"/>
  <c r="BY24" i="1"/>
  <c r="BY34" i="1"/>
  <c r="BY61" i="1"/>
  <c r="BY65" i="1"/>
  <c r="BY40" i="1"/>
  <c r="BY51" i="1"/>
  <c r="BY31" i="1"/>
  <c r="BY505" i="1" l="1"/>
  <c r="BV6" i="1"/>
  <c r="BV26" i="1"/>
  <c r="BV22" i="1"/>
  <c r="BV5" i="1"/>
  <c r="BV63" i="1"/>
  <c r="BV35" i="1"/>
  <c r="BV43" i="1"/>
  <c r="BV41" i="1"/>
  <c r="BV47" i="1"/>
  <c r="BV30" i="1"/>
  <c r="BV17" i="1"/>
  <c r="BV8" i="1"/>
  <c r="BV16" i="1"/>
  <c r="BV64" i="1"/>
  <c r="BV66" i="1"/>
  <c r="BV68" i="1"/>
  <c r="BV13" i="1"/>
  <c r="BV32" i="1"/>
  <c r="BV50" i="1"/>
  <c r="BV7" i="1" l="1"/>
  <c r="BV33" i="1"/>
  <c r="BV37" i="1"/>
  <c r="Q62" i="5" a="1"/>
  <c r="Q62" i="5" s="1"/>
  <c r="Q63" i="5" a="1"/>
  <c r="Q63" i="5" s="1"/>
  <c r="L63" i="5" a="1"/>
  <c r="L63" i="5" s="1"/>
  <c r="L62" i="5" a="1"/>
  <c r="L62" i="5" s="1"/>
  <c r="G63" i="5" a="1"/>
  <c r="G63" i="5" s="1"/>
  <c r="G62" i="5" a="1"/>
  <c r="G62" i="5" s="1"/>
  <c r="B62" i="5" a="1"/>
  <c r="B62" i="5" s="1"/>
  <c r="B63" i="5" a="1"/>
  <c r="B63" i="5" s="1"/>
  <c r="AC16" i="11"/>
  <c r="DB16" i="11" s="1"/>
  <c r="DC16" i="11" s="1"/>
  <c r="DD16" i="11" s="1"/>
  <c r="DE16" i="11" s="1"/>
  <c r="DF16" i="11" s="1"/>
  <c r="DG16" i="11" s="1"/>
  <c r="DH16" i="11" s="1"/>
  <c r="DI16" i="11" s="1"/>
  <c r="BA57" i="11"/>
  <c r="T35" i="12" s="1"/>
  <c r="AS66" i="11"/>
  <c r="AS62" i="11"/>
  <c r="AS58" i="11"/>
  <c r="AS53" i="11"/>
  <c r="N34" i="12" s="1"/>
  <c r="AS17" i="11"/>
  <c r="AK66" i="11"/>
  <c r="AK62" i="11"/>
  <c r="AK58" i="11"/>
  <c r="AK53" i="11"/>
  <c r="H34" i="12" s="1"/>
  <c r="AK17" i="11"/>
  <c r="AC66" i="11"/>
  <c r="AC62" i="11"/>
  <c r="AC58" i="11"/>
  <c r="AC53" i="11"/>
  <c r="AC17" i="11"/>
  <c r="AC69" i="11"/>
  <c r="AC56" i="11"/>
  <c r="BA17" i="11"/>
  <c r="AK63" i="11"/>
  <c r="AK54" i="11"/>
  <c r="AC67" i="11"/>
  <c r="AC59" i="11"/>
  <c r="AC18" i="11"/>
  <c r="AS57" i="11"/>
  <c r="N35" i="12" s="1"/>
  <c r="AS69" i="11"/>
  <c r="AS65" i="11"/>
  <c r="AS61" i="11"/>
  <c r="AS56" i="11"/>
  <c r="AS52" i="11"/>
  <c r="N33" i="12" s="1"/>
  <c r="AK69" i="11"/>
  <c r="AK65" i="11"/>
  <c r="AK61" i="11"/>
  <c r="AK56" i="11"/>
  <c r="AK52" i="11"/>
  <c r="H33" i="12" s="1"/>
  <c r="AC65" i="11"/>
  <c r="AC61" i="11"/>
  <c r="AC52" i="11"/>
  <c r="AK67" i="11"/>
  <c r="AK59" i="11"/>
  <c r="AK18" i="11"/>
  <c r="AK57" i="11"/>
  <c r="H35" i="12" s="1"/>
  <c r="AS68" i="11"/>
  <c r="N36" i="12" s="1"/>
  <c r="AS64" i="11"/>
  <c r="AS60" i="11"/>
  <c r="AS55" i="11"/>
  <c r="AS51" i="11"/>
  <c r="AK68" i="11"/>
  <c r="H36" i="12" s="1"/>
  <c r="AK64" i="11"/>
  <c r="AK60" i="11"/>
  <c r="AK55" i="11"/>
  <c r="AK51" i="11"/>
  <c r="H32" i="12" s="1"/>
  <c r="AC68" i="11"/>
  <c r="AC64" i="11"/>
  <c r="AC60" i="11"/>
  <c r="AC55" i="11"/>
  <c r="AC51" i="11"/>
  <c r="AC57" i="11"/>
  <c r="E35" i="12" s="1"/>
  <c r="AS67" i="11"/>
  <c r="AS63" i="11"/>
  <c r="AS59" i="11"/>
  <c r="AS54" i="11"/>
  <c r="AS18" i="11"/>
  <c r="AC63" i="11"/>
  <c r="AC54" i="11"/>
  <c r="BA69" i="11"/>
  <c r="BA55" i="11"/>
  <c r="BA51" i="11"/>
  <c r="BA68" i="11"/>
  <c r="T36" i="12" s="1"/>
  <c r="BA67" i="11"/>
  <c r="BA66" i="11"/>
  <c r="BA65" i="11"/>
  <c r="BA64" i="11"/>
  <c r="BA63" i="11"/>
  <c r="BA62" i="11"/>
  <c r="BA59" i="11"/>
  <c r="BA60" i="11"/>
  <c r="BA54" i="11"/>
  <c r="BT505" i="1"/>
  <c r="BA61" i="11"/>
  <c r="BA58" i="11"/>
  <c r="BA53" i="11"/>
  <c r="T34" i="12" s="1"/>
  <c r="BA56" i="11"/>
  <c r="BA52" i="11"/>
  <c r="T33" i="12" s="1"/>
  <c r="Q73" i="5"/>
  <c r="Q69" i="5"/>
  <c r="Q60" i="5"/>
  <c r="Q56" i="5"/>
  <c r="Q52" i="5"/>
  <c r="BA37" i="11" s="1"/>
  <c r="T25" i="12" s="1"/>
  <c r="Q45" i="5"/>
  <c r="Q41" i="5"/>
  <c r="Q35" i="5"/>
  <c r="Q31" i="5"/>
  <c r="Q19" i="5"/>
  <c r="Q15" i="5"/>
  <c r="Q7" i="5"/>
  <c r="L72" i="5"/>
  <c r="L68" i="5"/>
  <c r="L59" i="5"/>
  <c r="L55" i="5"/>
  <c r="L51" i="5"/>
  <c r="AS33" i="11" s="1"/>
  <c r="N27" i="12" s="1"/>
  <c r="L44" i="5"/>
  <c r="L40" i="5"/>
  <c r="L34" i="5"/>
  <c r="L30" i="5"/>
  <c r="L24" i="5"/>
  <c r="L18" i="5"/>
  <c r="L12" i="5"/>
  <c r="G75" i="5"/>
  <c r="G71" i="5"/>
  <c r="G67" i="5"/>
  <c r="G58" i="5"/>
  <c r="G54" i="5"/>
  <c r="AK24" i="11" s="1"/>
  <c r="H26" i="12" s="1"/>
  <c r="G50" i="5"/>
  <c r="G43" i="5"/>
  <c r="G37" i="5"/>
  <c r="G33" i="5"/>
  <c r="G17" i="5"/>
  <c r="G11" i="5"/>
  <c r="B60" i="5"/>
  <c r="B56" i="5"/>
  <c r="B52" i="5"/>
  <c r="B45" i="5"/>
  <c r="B41" i="5"/>
  <c r="B35" i="5"/>
  <c r="B31" i="5"/>
  <c r="B19" i="5"/>
  <c r="B15" i="5"/>
  <c r="B7" i="5"/>
  <c r="Q75" i="5"/>
  <c r="Q71" i="5"/>
  <c r="Q67" i="5"/>
  <c r="Q58" i="5"/>
  <c r="Q54" i="5"/>
  <c r="BA24" i="11" s="1"/>
  <c r="T26" i="12" s="1"/>
  <c r="Q50" i="5"/>
  <c r="Q43" i="5"/>
  <c r="Q37" i="5"/>
  <c r="Q33" i="5"/>
  <c r="Q17" i="5"/>
  <c r="Q11" i="5"/>
  <c r="L74" i="5"/>
  <c r="L70" i="5"/>
  <c r="L61" i="5"/>
  <c r="L57" i="5"/>
  <c r="L53" i="5"/>
  <c r="AS29" i="11" s="1"/>
  <c r="N28" i="12" s="1"/>
  <c r="Q70" i="5"/>
  <c r="Q57" i="5"/>
  <c r="Q49" i="5"/>
  <c r="BA25" i="11" s="1"/>
  <c r="T21" i="12" s="1"/>
  <c r="U21" i="12" s="1"/>
  <c r="Q36" i="5"/>
  <c r="Q16" i="5"/>
  <c r="L73" i="5"/>
  <c r="L60" i="5"/>
  <c r="L52" i="5"/>
  <c r="AS37" i="11" s="1"/>
  <c r="N25" i="12" s="1"/>
  <c r="L43" i="5"/>
  <c r="L36" i="5"/>
  <c r="L31" i="5"/>
  <c r="L23" i="5"/>
  <c r="L16" i="5"/>
  <c r="L7" i="5"/>
  <c r="G70" i="5"/>
  <c r="G60" i="5"/>
  <c r="G55" i="5"/>
  <c r="G49" i="5"/>
  <c r="AK25" i="11" s="1"/>
  <c r="H21" i="12" s="1"/>
  <c r="I21" i="12" s="1"/>
  <c r="G41" i="5"/>
  <c r="G34" i="5"/>
  <c r="G19" i="5"/>
  <c r="G12" i="5"/>
  <c r="B59" i="5"/>
  <c r="B54" i="5"/>
  <c r="B49" i="5"/>
  <c r="B40" i="5"/>
  <c r="B33" i="5"/>
  <c r="B18" i="5"/>
  <c r="B11" i="5"/>
  <c r="AS15" i="11"/>
  <c r="Q59" i="5"/>
  <c r="Q18" i="5"/>
  <c r="L75" i="5"/>
  <c r="L45" i="5"/>
  <c r="L17" i="5"/>
  <c r="G72" i="5"/>
  <c r="G51" i="5"/>
  <c r="AK33" i="11" s="1"/>
  <c r="H27" i="12" s="1"/>
  <c r="G30" i="5"/>
  <c r="B61" i="5"/>
  <c r="B42" i="5"/>
  <c r="BA15" i="11"/>
  <c r="Q68" i="5"/>
  <c r="Q55" i="5"/>
  <c r="Q44" i="5"/>
  <c r="Q34" i="5"/>
  <c r="Q12" i="5"/>
  <c r="L71" i="5"/>
  <c r="L58" i="5"/>
  <c r="L50" i="5"/>
  <c r="L42" i="5"/>
  <c r="L35" i="5"/>
  <c r="L22" i="5"/>
  <c r="L15" i="5"/>
  <c r="G74" i="5"/>
  <c r="G69" i="5"/>
  <c r="G59" i="5"/>
  <c r="G53" i="5"/>
  <c r="AK29" i="11" s="1"/>
  <c r="H28" i="12" s="1"/>
  <c r="G45" i="5"/>
  <c r="G40" i="5"/>
  <c r="G32" i="5"/>
  <c r="G25" i="5"/>
  <c r="G18" i="5"/>
  <c r="G8" i="5"/>
  <c r="B58" i="5"/>
  <c r="B53" i="5"/>
  <c r="B44" i="5"/>
  <c r="B37" i="5"/>
  <c r="B32" i="5"/>
  <c r="B17" i="5"/>
  <c r="B8" i="5"/>
  <c r="AK15" i="11"/>
  <c r="Q51" i="5"/>
  <c r="BA33" i="11" s="1"/>
  <c r="T27" i="12" s="1"/>
  <c r="Q30" i="5"/>
  <c r="L54" i="5"/>
  <c r="AS24" i="11" s="1"/>
  <c r="N26" i="12" s="1"/>
  <c r="L37" i="5"/>
  <c r="L25" i="5"/>
  <c r="G56" i="5"/>
  <c r="G42" i="5"/>
  <c r="G22" i="5"/>
  <c r="B50" i="5"/>
  <c r="Q74" i="5"/>
  <c r="Q61" i="5"/>
  <c r="Q53" i="5"/>
  <c r="BA29" i="11" s="1"/>
  <c r="T28" i="12" s="1"/>
  <c r="Q42" i="5"/>
  <c r="Q32" i="5"/>
  <c r="Q8" i="5"/>
  <c r="L69" i="5"/>
  <c r="L56" i="5"/>
  <c r="L49" i="5"/>
  <c r="AS25" i="11" s="1"/>
  <c r="N21" i="12" s="1"/>
  <c r="O21" i="12" s="1"/>
  <c r="L41" i="5"/>
  <c r="L33" i="5"/>
  <c r="L26" i="5"/>
  <c r="L19" i="5"/>
  <c r="L11" i="5"/>
  <c r="G73" i="5"/>
  <c r="G68" i="5"/>
  <c r="G57" i="5"/>
  <c r="G52" i="5"/>
  <c r="AK37" i="11" s="1"/>
  <c r="H25" i="12" s="1"/>
  <c r="G44" i="5"/>
  <c r="G36" i="5"/>
  <c r="G31" i="5"/>
  <c r="G16" i="5"/>
  <c r="G7" i="5"/>
  <c r="B57" i="5"/>
  <c r="B51" i="5"/>
  <c r="B43" i="5"/>
  <c r="B36" i="5"/>
  <c r="B30" i="5"/>
  <c r="B16" i="5"/>
  <c r="AC15" i="11"/>
  <c r="Q72" i="5"/>
  <c r="Q40" i="5"/>
  <c r="L67" i="5"/>
  <c r="L32" i="5"/>
  <c r="L8" i="5"/>
  <c r="G61" i="5"/>
  <c r="G35" i="5"/>
  <c r="G15" i="5"/>
  <c r="B55" i="5"/>
  <c r="B34" i="5"/>
  <c r="B12" i="5"/>
  <c r="BA18" i="11"/>
  <c r="B74" i="5"/>
  <c r="B70" i="5"/>
  <c r="B73" i="5"/>
  <c r="B69" i="5"/>
  <c r="B75" i="5"/>
  <c r="B67" i="5"/>
  <c r="B72" i="5"/>
  <c r="B71" i="5"/>
  <c r="B68" i="5"/>
  <c r="CN53" i="10"/>
  <c r="P2" i="6" s="1"/>
  <c r="CN52" i="10"/>
  <c r="BS2" i="6" s="1"/>
  <c r="CN51" i="10"/>
  <c r="CG2" i="6" s="1"/>
  <c r="R69" i="5" l="1"/>
  <c r="R12" i="5"/>
  <c r="C32" i="5"/>
  <c r="R45" i="5"/>
  <c r="BA22" i="11"/>
  <c r="BB2" i="7" s="1"/>
  <c r="C12" i="5"/>
  <c r="R54" i="5"/>
  <c r="C50" i="5"/>
  <c r="R52" i="5"/>
  <c r="R72" i="5"/>
  <c r="BQ44" i="11" a="1"/>
  <c r="BQ44" i="11" s="1"/>
  <c r="BO2" i="7" s="1"/>
  <c r="H33" i="5"/>
  <c r="R42" i="5"/>
  <c r="M24" i="5"/>
  <c r="R74" i="5"/>
  <c r="R30" i="5"/>
  <c r="H30" i="5"/>
  <c r="M57" i="5"/>
  <c r="M52" i="5"/>
  <c r="H53" i="5"/>
  <c r="AK32" i="11" s="1"/>
  <c r="M51" i="5"/>
  <c r="R63" i="5" a="1"/>
  <c r="R63" i="5" s="1"/>
  <c r="R19" i="5"/>
  <c r="R37" i="5"/>
  <c r="R55" i="5"/>
  <c r="C19" i="5"/>
  <c r="C52" i="5"/>
  <c r="AC38" i="11" s="1"/>
  <c r="M25" i="5"/>
  <c r="M61" i="5"/>
  <c r="H62" i="5" a="1"/>
  <c r="H62" i="5" s="1"/>
  <c r="R62" i="5" a="1"/>
  <c r="R62" i="5" s="1"/>
  <c r="C49" i="5"/>
  <c r="DB26" i="11" s="1"/>
  <c r="H70" i="5"/>
  <c r="H60" i="5"/>
  <c r="H8" i="5"/>
  <c r="R15" i="5"/>
  <c r="R16" i="5"/>
  <c r="R60" i="5"/>
  <c r="R11" i="5"/>
  <c r="R58" i="5"/>
  <c r="R34" i="5"/>
  <c r="BI44" i="11" a="1"/>
  <c r="BI44" i="11" s="1"/>
  <c r="Z17" i="12" s="1"/>
  <c r="AA17" i="12" s="1"/>
  <c r="H56" i="5"/>
  <c r="C43" i="5"/>
  <c r="C33" i="5"/>
  <c r="C53" i="5"/>
  <c r="AC30" i="11" s="1"/>
  <c r="H16" i="5"/>
  <c r="C34" i="5"/>
  <c r="H74" i="5"/>
  <c r="H50" i="5"/>
  <c r="M68" i="5"/>
  <c r="C62" i="5" a="1"/>
  <c r="C62" i="5" s="1"/>
  <c r="R35" i="5"/>
  <c r="R7" i="5"/>
  <c r="R32" i="5"/>
  <c r="R33" i="5"/>
  <c r="R75" i="5"/>
  <c r="R51" i="5"/>
  <c r="BA34" i="11" s="1"/>
  <c r="DE44" i="11" a="1"/>
  <c r="DE44" i="11" s="1"/>
  <c r="W17" i="12" s="1"/>
  <c r="X17" i="12" s="1"/>
  <c r="M45" i="5"/>
  <c r="H41" i="5"/>
  <c r="C71" i="5"/>
  <c r="H34" i="5"/>
  <c r="H61" i="5"/>
  <c r="C59" i="5"/>
  <c r="M41" i="5"/>
  <c r="H75" i="5"/>
  <c r="AS22" i="11"/>
  <c r="BA2" i="7" s="1"/>
  <c r="BI42" i="11"/>
  <c r="Z15" i="12" s="1"/>
  <c r="AA15" i="12" s="1"/>
  <c r="AC22" i="11"/>
  <c r="AY2" i="7" s="1"/>
  <c r="C75" i="5"/>
  <c r="H68" i="5"/>
  <c r="C41" i="5"/>
  <c r="C57" i="5"/>
  <c r="M8" i="5"/>
  <c r="C54" i="5"/>
  <c r="C67" i="5"/>
  <c r="C58" i="5"/>
  <c r="H72" i="5"/>
  <c r="M35" i="5"/>
  <c r="C40" i="5"/>
  <c r="H18" i="5"/>
  <c r="M11" i="5"/>
  <c r="M74" i="5"/>
  <c r="H54" i="5"/>
  <c r="M30" i="5"/>
  <c r="M72" i="5"/>
  <c r="CG45" i="11"/>
  <c r="AW2" i="7" s="1"/>
  <c r="H63" i="5" a="1"/>
  <c r="H63" i="5" s="1"/>
  <c r="H19" i="5"/>
  <c r="M36" i="5"/>
  <c r="C35" i="5"/>
  <c r="H31" i="5"/>
  <c r="M50" i="5"/>
  <c r="C56" i="5"/>
  <c r="C17" i="5"/>
  <c r="H15" i="5"/>
  <c r="M42" i="5"/>
  <c r="H55" i="5"/>
  <c r="M67" i="5"/>
  <c r="C55" i="5"/>
  <c r="H45" i="5"/>
  <c r="M33" i="5"/>
  <c r="H71" i="5"/>
  <c r="M44" i="5"/>
  <c r="M73" i="5"/>
  <c r="BQ45" i="11"/>
  <c r="AF18" i="12" s="1"/>
  <c r="AG18" i="12" s="1"/>
  <c r="AS42" i="11"/>
  <c r="N15" i="12" s="1"/>
  <c r="O15" i="12" s="1"/>
  <c r="M62" i="5" a="1"/>
  <c r="M62" i="5" s="1"/>
  <c r="R49" i="5"/>
  <c r="BA26" i="11" s="1"/>
  <c r="T22" i="12" s="1"/>
  <c r="U22" i="12" s="1"/>
  <c r="R56" i="5"/>
  <c r="R36" i="5"/>
  <c r="R31" i="5"/>
  <c r="R73" i="5"/>
  <c r="R53" i="5"/>
  <c r="BA30" i="11" s="1"/>
  <c r="R17" i="5"/>
  <c r="R43" i="5"/>
  <c r="R67" i="5"/>
  <c r="R18" i="5"/>
  <c r="R40" i="5"/>
  <c r="R59" i="5"/>
  <c r="BA44" i="11" a="1"/>
  <c r="BA44" i="11" s="1"/>
  <c r="T17" i="12" s="1"/>
  <c r="U17" i="12" s="1"/>
  <c r="DF44" i="11" a="1"/>
  <c r="DF44" i="11" s="1"/>
  <c r="AC17" i="12" s="1"/>
  <c r="AD17" i="12" s="1"/>
  <c r="C61" i="5"/>
  <c r="H36" i="5"/>
  <c r="M7" i="5"/>
  <c r="M56" i="5"/>
  <c r="C60" i="5"/>
  <c r="C7" i="5"/>
  <c r="H12" i="5"/>
  <c r="H51" i="5"/>
  <c r="AK34" i="11" s="1"/>
  <c r="M31" i="5"/>
  <c r="M71" i="5"/>
  <c r="C70" i="5"/>
  <c r="C16" i="5"/>
  <c r="C73" i="5"/>
  <c r="C37" i="5"/>
  <c r="C69" i="5"/>
  <c r="H42" i="5"/>
  <c r="M15" i="5"/>
  <c r="M58" i="5"/>
  <c r="H35" i="5"/>
  <c r="H73" i="5"/>
  <c r="M43" i="5"/>
  <c r="C18" i="5"/>
  <c r="C44" i="5"/>
  <c r="C68" i="5"/>
  <c r="H32" i="5"/>
  <c r="H59" i="5"/>
  <c r="M19" i="5"/>
  <c r="M49" i="5"/>
  <c r="AS26" i="11" s="1"/>
  <c r="N22" i="12" s="1"/>
  <c r="O22" i="12" s="1"/>
  <c r="H11" i="5"/>
  <c r="H37" i="5"/>
  <c r="H58" i="5"/>
  <c r="M12" i="5"/>
  <c r="M34" i="5"/>
  <c r="M55" i="5"/>
  <c r="M60" i="5"/>
  <c r="BY45" i="11"/>
  <c r="AL18" i="12" s="1"/>
  <c r="AM18" i="12" s="1"/>
  <c r="AK22" i="11"/>
  <c r="H14" i="12" s="1"/>
  <c r="I14" i="12" s="1"/>
  <c r="BI45" i="11"/>
  <c r="C63" i="5" a="1"/>
  <c r="C63" i="5" s="1"/>
  <c r="R70" i="5"/>
  <c r="R57" i="5"/>
  <c r="R41" i="5"/>
  <c r="R8" i="5"/>
  <c r="R61" i="5"/>
  <c r="R50" i="5"/>
  <c r="R71" i="5"/>
  <c r="R44" i="5"/>
  <c r="R68" i="5"/>
  <c r="BQ42" i="11"/>
  <c r="AF15" i="12" s="1"/>
  <c r="AG15" i="12" s="1"/>
  <c r="AS44" i="11" a="1"/>
  <c r="AS44" i="11" s="1"/>
  <c r="N17" i="12" s="1"/>
  <c r="O17" i="12" s="1"/>
  <c r="DG44" i="11" a="1"/>
  <c r="DG44" i="11" s="1"/>
  <c r="AI17" i="12" s="1"/>
  <c r="AJ17" i="12" s="1"/>
  <c r="H7" i="5"/>
  <c r="H49" i="5"/>
  <c r="M17" i="5"/>
  <c r="M70" i="5"/>
  <c r="C15" i="5"/>
  <c r="C31" i="5"/>
  <c r="H57" i="5"/>
  <c r="M37" i="5"/>
  <c r="C11" i="5"/>
  <c r="C42" i="5"/>
  <c r="C36" i="5"/>
  <c r="C8" i="5"/>
  <c r="C45" i="5"/>
  <c r="C74" i="5"/>
  <c r="H52" i="5"/>
  <c r="AK38" i="11" s="1"/>
  <c r="M32" i="5"/>
  <c r="M75" i="5"/>
  <c r="H44" i="5"/>
  <c r="M16" i="5"/>
  <c r="M53" i="5"/>
  <c r="AS32" i="11" s="1"/>
  <c r="C30" i="5"/>
  <c r="C51" i="5"/>
  <c r="C72" i="5"/>
  <c r="H40" i="5"/>
  <c r="H69" i="5"/>
  <c r="M26" i="5"/>
  <c r="M54" i="5"/>
  <c r="H17" i="5"/>
  <c r="H43" i="5"/>
  <c r="H67" i="5"/>
  <c r="M18" i="5"/>
  <c r="M40" i="5"/>
  <c r="M59" i="5"/>
  <c r="M69" i="5"/>
  <c r="BA42" i="11"/>
  <c r="T15" i="12" s="1"/>
  <c r="U15" i="12" s="1"/>
  <c r="M63" i="5" a="1"/>
  <c r="M63" i="5" s="1"/>
  <c r="V63" i="5"/>
  <c r="V62" i="5"/>
  <c r="T10" i="12"/>
  <c r="U10" i="12" s="1"/>
  <c r="CE2" i="7"/>
  <c r="H7" i="12"/>
  <c r="I7" i="12" s="1"/>
  <c r="AK2" i="7"/>
  <c r="N10" i="12"/>
  <c r="O10" i="12" s="1"/>
  <c r="CD2" i="7"/>
  <c r="H10" i="12"/>
  <c r="I10" i="12" s="1"/>
  <c r="CC2" i="7"/>
  <c r="H9" i="12"/>
  <c r="G2" i="7"/>
  <c r="E10" i="12"/>
  <c r="F10" i="12" s="1"/>
  <c r="CB2" i="7"/>
  <c r="N7" i="12"/>
  <c r="O7" i="12" s="1"/>
  <c r="AL2" i="7"/>
  <c r="T9" i="12"/>
  <c r="I2" i="7"/>
  <c r="E9" i="12"/>
  <c r="F2" i="7"/>
  <c r="N9" i="12"/>
  <c r="H2" i="7"/>
  <c r="E7" i="12"/>
  <c r="F7" i="12" s="1"/>
  <c r="AJ2" i="7"/>
  <c r="T7" i="12"/>
  <c r="U7" i="12" s="1"/>
  <c r="AM2" i="7"/>
  <c r="E8" i="12"/>
  <c r="S2" i="7"/>
  <c r="AX8" i="12"/>
  <c r="DB57" i="11"/>
  <c r="DC57" i="11"/>
  <c r="K35" i="12" s="1"/>
  <c r="DE57" i="11"/>
  <c r="DD57" i="11"/>
  <c r="Q35" i="12" s="1"/>
  <c r="AC37" i="11"/>
  <c r="E25" i="12" s="1"/>
  <c r="DD37" i="11"/>
  <c r="Q25" i="12" s="1"/>
  <c r="DC37" i="11"/>
  <c r="K25" i="12" s="1"/>
  <c r="DB37" i="11"/>
  <c r="DE37" i="11"/>
  <c r="W25" i="12" s="1"/>
  <c r="AC33" i="11"/>
  <c r="E27" i="12" s="1"/>
  <c r="DD33" i="11"/>
  <c r="Q27" i="12" s="1"/>
  <c r="DC33" i="11"/>
  <c r="K27" i="12" s="1"/>
  <c r="DB33" i="11"/>
  <c r="DE33" i="11"/>
  <c r="W27" i="12" s="1"/>
  <c r="DE29" i="11"/>
  <c r="W28" i="12" s="1"/>
  <c r="DD29" i="11"/>
  <c r="Q28" i="12" s="1"/>
  <c r="DC29" i="11"/>
  <c r="K28" i="12" s="1"/>
  <c r="DB29" i="11"/>
  <c r="AC24" i="11"/>
  <c r="E26" i="12" s="1"/>
  <c r="DE24" i="11"/>
  <c r="W26" i="12" s="1"/>
  <c r="DD24" i="11"/>
  <c r="Q26" i="12" s="1"/>
  <c r="DC24" i="11"/>
  <c r="K26" i="12" s="1"/>
  <c r="DB24" i="11"/>
  <c r="DC51" i="11"/>
  <c r="K32" i="12" s="1"/>
  <c r="E32" i="12"/>
  <c r="DD51" i="11"/>
  <c r="Q32" i="12" s="1"/>
  <c r="DB51" i="11"/>
  <c r="DE51" i="11"/>
  <c r="DC68" i="11"/>
  <c r="K36" i="12" s="1"/>
  <c r="DB68" i="11"/>
  <c r="DD68" i="11"/>
  <c r="Q36" i="12" s="1"/>
  <c r="DE68" i="11"/>
  <c r="E36" i="12"/>
  <c r="DE52" i="11"/>
  <c r="E33" i="12"/>
  <c r="DB52" i="11"/>
  <c r="DD52" i="11"/>
  <c r="Q33" i="12" s="1"/>
  <c r="DC52" i="11"/>
  <c r="K33" i="12" s="1"/>
  <c r="DE53" i="11"/>
  <c r="DD53" i="11"/>
  <c r="Q34" i="12" s="1"/>
  <c r="DB53" i="11"/>
  <c r="DC53" i="11"/>
  <c r="K34" i="12" s="1"/>
  <c r="E34" i="12"/>
  <c r="T32" i="12"/>
  <c r="N32" i="12"/>
  <c r="DB17" i="11"/>
  <c r="DE17" i="11"/>
  <c r="DD17" i="11"/>
  <c r="Q9" i="12" s="1"/>
  <c r="DC17" i="11"/>
  <c r="K9" i="12" s="1"/>
  <c r="AC25" i="11"/>
  <c r="E21" i="12" s="1"/>
  <c r="F21" i="12" s="1"/>
  <c r="DD25" i="11"/>
  <c r="Q21" i="12" s="1"/>
  <c r="R21" i="12" s="1"/>
  <c r="DC25" i="11"/>
  <c r="K21" i="12" s="1"/>
  <c r="L21" i="12" s="1"/>
  <c r="DE25" i="11"/>
  <c r="DB25" i="11"/>
  <c r="DB18" i="11"/>
  <c r="DE18" i="11"/>
  <c r="DD18" i="11"/>
  <c r="Q10" i="12" s="1"/>
  <c r="R10" i="12" s="1"/>
  <c r="DC18" i="11"/>
  <c r="K10" i="12" s="1"/>
  <c r="L10" i="12" s="1"/>
  <c r="DB15" i="11"/>
  <c r="DE15" i="11"/>
  <c r="AW26" i="12" s="1"/>
  <c r="DD15" i="11"/>
  <c r="Q7" i="12" s="1"/>
  <c r="R7" i="12" s="1"/>
  <c r="DC15" i="11"/>
  <c r="K7" i="12" s="1"/>
  <c r="L7" i="12" s="1"/>
  <c r="V37" i="5"/>
  <c r="V30" i="5"/>
  <c r="V33" i="5"/>
  <c r="V53" i="5"/>
  <c r="AC29" i="11"/>
  <c r="E28" i="12" s="1"/>
  <c r="V50" i="5"/>
  <c r="V19" i="5"/>
  <c r="V18" i="5"/>
  <c r="V44" i="5"/>
  <c r="V45" i="5"/>
  <c r="V34" i="5"/>
  <c r="V32" i="5"/>
  <c r="V41" i="5"/>
  <c r="V43" i="5"/>
  <c r="V35" i="5"/>
  <c r="V31" i="5"/>
  <c r="V36" i="5"/>
  <c r="V40" i="5"/>
  <c r="V42" i="5"/>
  <c r="V72" i="5"/>
  <c r="V70" i="5"/>
  <c r="V54" i="5"/>
  <c r="V55" i="5"/>
  <c r="V58" i="5"/>
  <c r="V15" i="5"/>
  <c r="V75" i="5"/>
  <c r="V12" i="5"/>
  <c r="V68" i="5"/>
  <c r="V57" i="5"/>
  <c r="V67" i="5"/>
  <c r="V60" i="5"/>
  <c r="V69" i="5"/>
  <c r="V59" i="5"/>
  <c r="V74" i="5"/>
  <c r="V61" i="5"/>
  <c r="V73" i="5"/>
  <c r="V71" i="5"/>
  <c r="V51" i="5"/>
  <c r="V56" i="5"/>
  <c r="V49" i="5"/>
  <c r="V52" i="5"/>
  <c r="V17" i="5"/>
  <c r="V16" i="5"/>
  <c r="AZ54" i="10"/>
  <c r="D2" i="6" s="1"/>
  <c r="AR54" i="10"/>
  <c r="C2" i="6" s="1"/>
  <c r="AJ54" i="10"/>
  <c r="B2" i="6" s="1"/>
  <c r="D42" i="12"/>
  <c r="F42" i="12" s="1"/>
  <c r="T14" i="12" l="1"/>
  <c r="U14" i="12" s="1"/>
  <c r="BA38" i="11"/>
  <c r="AF17" i="12"/>
  <c r="AG17" i="12" s="1"/>
  <c r="AS38" i="11"/>
  <c r="AK30" i="11"/>
  <c r="AC26" i="11"/>
  <c r="E22" i="12" s="1"/>
  <c r="F22" i="12" s="1"/>
  <c r="W19" i="5"/>
  <c r="AQ2" i="7"/>
  <c r="BN2" i="7"/>
  <c r="DB22" i="11"/>
  <c r="AZ2" i="7"/>
  <c r="AO2" i="7"/>
  <c r="W52" i="5"/>
  <c r="AR2" i="7"/>
  <c r="W62" i="5"/>
  <c r="DC22" i="11"/>
  <c r="K14" i="12" s="1"/>
  <c r="L14" i="12" s="1"/>
  <c r="DD22" i="11"/>
  <c r="Q14" i="12" s="1"/>
  <c r="R14" i="12" s="1"/>
  <c r="BM2" i="7"/>
  <c r="N14" i="12"/>
  <c r="O14" i="12" s="1"/>
  <c r="DE42" i="11"/>
  <c r="W15" i="12" s="1"/>
  <c r="X15" i="12" s="1"/>
  <c r="AX17" i="12"/>
  <c r="AY17" i="12" s="1"/>
  <c r="AS28" i="11"/>
  <c r="N24" i="12" s="1"/>
  <c r="O24" i="12" s="1"/>
  <c r="DF42" i="11"/>
  <c r="AC15" i="12" s="1"/>
  <c r="AD15" i="12" s="1"/>
  <c r="AS34" i="11"/>
  <c r="AP2" i="7"/>
  <c r="W33" i="5"/>
  <c r="Y33" i="5" s="1"/>
  <c r="W44" i="5"/>
  <c r="DG42" i="11"/>
  <c r="DI42" i="11" s="1"/>
  <c r="W45" i="5"/>
  <c r="Y45" i="5" s="1"/>
  <c r="W30" i="5"/>
  <c r="Y30" i="5" s="1"/>
  <c r="W75" i="5"/>
  <c r="W69" i="5"/>
  <c r="W54" i="5"/>
  <c r="DD44" i="11"/>
  <c r="Q17" i="12" s="1"/>
  <c r="R17" i="12" s="1"/>
  <c r="BL2" i="7"/>
  <c r="W50" i="5"/>
  <c r="W34" i="5"/>
  <c r="DC26" i="11"/>
  <c r="DD42" i="11"/>
  <c r="Q15" i="12" s="1"/>
  <c r="R15" i="12" s="1"/>
  <c r="DE22" i="11"/>
  <c r="AX14" i="12" s="1"/>
  <c r="AY14" i="12" s="1"/>
  <c r="E14" i="12"/>
  <c r="F14" i="12" s="1"/>
  <c r="W15" i="5"/>
  <c r="AC34" i="11"/>
  <c r="W72" i="5"/>
  <c r="W12" i="5"/>
  <c r="W56" i="5"/>
  <c r="W37" i="5"/>
  <c r="W42" i="5"/>
  <c r="Y42" i="5" s="1"/>
  <c r="W16" i="5"/>
  <c r="W18" i="5"/>
  <c r="W35" i="5"/>
  <c r="Y35" i="5" s="1"/>
  <c r="W74" i="5"/>
  <c r="W67" i="5"/>
  <c r="W41" i="5"/>
  <c r="DE26" i="11"/>
  <c r="W22" i="12" s="1"/>
  <c r="X22" i="12" s="1"/>
  <c r="W51" i="5"/>
  <c r="AV2" i="7"/>
  <c r="AU2" i="7"/>
  <c r="DI45" i="11"/>
  <c r="AU18" i="12" s="1"/>
  <c r="AV18" i="12" s="1"/>
  <c r="W49" i="5"/>
  <c r="DD26" i="11"/>
  <c r="AR18" i="12"/>
  <c r="AS18" i="12" s="1"/>
  <c r="W70" i="5"/>
  <c r="W36" i="5"/>
  <c r="Y36" i="5" s="1"/>
  <c r="W73" i="5"/>
  <c r="W60" i="5"/>
  <c r="W61" i="5"/>
  <c r="W57" i="5"/>
  <c r="W63" i="5"/>
  <c r="W55" i="5"/>
  <c r="W32" i="5"/>
  <c r="Y32" i="5" s="1"/>
  <c r="W17" i="5"/>
  <c r="W40" i="5"/>
  <c r="Y40" i="5" s="1"/>
  <c r="W68" i="5"/>
  <c r="DH45" i="11"/>
  <c r="AO18" i="12" s="1"/>
  <c r="AP18" i="12" s="1"/>
  <c r="W59" i="5"/>
  <c r="W58" i="5"/>
  <c r="W71" i="5"/>
  <c r="W43" i="5"/>
  <c r="W31" i="5"/>
  <c r="DF45" i="11"/>
  <c r="AC18" i="12" s="1"/>
  <c r="AD18" i="12" s="1"/>
  <c r="AT2" i="7"/>
  <c r="W53" i="5"/>
  <c r="DG45" i="11"/>
  <c r="AI18" i="12" s="1"/>
  <c r="AJ18" i="12" s="1"/>
  <c r="Z18" i="12"/>
  <c r="AA18" i="12" s="1"/>
  <c r="AS30" i="11"/>
  <c r="W9" i="12"/>
  <c r="AX9" i="12"/>
  <c r="W35" i="12"/>
  <c r="AX35" i="12"/>
  <c r="AY35" i="12" s="1"/>
  <c r="DG57" i="11"/>
  <c r="DF57" i="11"/>
  <c r="DI57" i="11"/>
  <c r="DH57" i="11"/>
  <c r="AY27" i="12"/>
  <c r="DH33" i="11"/>
  <c r="DG33" i="11"/>
  <c r="DF33" i="11"/>
  <c r="DI33" i="11"/>
  <c r="AX27" i="12" s="1"/>
  <c r="DI24" i="11"/>
  <c r="AX26" i="12" s="1"/>
  <c r="AY26" i="12"/>
  <c r="DH24" i="11"/>
  <c r="DG24" i="11"/>
  <c r="DF24" i="11"/>
  <c r="DI29" i="11"/>
  <c r="AX28" i="12" s="1"/>
  <c r="AY28" i="12"/>
  <c r="DH29" i="11"/>
  <c r="DG29" i="11"/>
  <c r="DF29" i="11"/>
  <c r="DH37" i="11"/>
  <c r="DG37" i="11"/>
  <c r="DF37" i="11"/>
  <c r="DI37" i="11"/>
  <c r="AX25" i="12" s="1"/>
  <c r="AY25" i="12" s="1"/>
  <c r="DG53" i="11"/>
  <c r="W34" i="12"/>
  <c r="DF53" i="11"/>
  <c r="DI53" i="11"/>
  <c r="AX34" i="12"/>
  <c r="AY34" i="12" s="1"/>
  <c r="DH53" i="11"/>
  <c r="AX21" i="12"/>
  <c r="AY21" i="12" s="1"/>
  <c r="W21" i="12"/>
  <c r="X21" i="12" s="1"/>
  <c r="DI52" i="11"/>
  <c r="AX33" i="12"/>
  <c r="AY33" i="12" s="1"/>
  <c r="DF52" i="11"/>
  <c r="W33" i="12"/>
  <c r="DH52" i="11"/>
  <c r="DG52" i="11"/>
  <c r="W7" i="12"/>
  <c r="X7" i="12" s="1"/>
  <c r="AX7" i="12"/>
  <c r="AY7" i="12" s="1"/>
  <c r="W10" i="12"/>
  <c r="X10" i="12" s="1"/>
  <c r="AX10" i="12"/>
  <c r="AY10" i="12" s="1"/>
  <c r="DH68" i="11"/>
  <c r="W36" i="12"/>
  <c r="DI68" i="11"/>
  <c r="DG68" i="11"/>
  <c r="AX36" i="12"/>
  <c r="AY36" i="12" s="1"/>
  <c r="DF68" i="11"/>
  <c r="AX32" i="12"/>
  <c r="AY32" i="12" s="1"/>
  <c r="DG51" i="11"/>
  <c r="DH51" i="11"/>
  <c r="DF51" i="11"/>
  <c r="W32" i="12"/>
  <c r="DI51" i="11"/>
  <c r="AZ55" i="10"/>
  <c r="S42" i="12"/>
  <c r="U42" i="12" s="1"/>
  <c r="AJ55" i="10"/>
  <c r="G42" i="12"/>
  <c r="I42" i="12" s="1"/>
  <c r="AR55" i="10"/>
  <c r="M42" i="12"/>
  <c r="O42" i="12" s="1"/>
  <c r="AB55" i="10"/>
  <c r="DA54" i="10"/>
  <c r="DD54" i="10"/>
  <c r="DB54" i="10"/>
  <c r="J42" i="12" s="1"/>
  <c r="L42" i="12" s="1"/>
  <c r="DC54" i="10"/>
  <c r="P42" i="12" s="1"/>
  <c r="R42" i="12" s="1"/>
  <c r="DH44" i="11"/>
  <c r="DI44" i="11"/>
  <c r="DH25" i="11"/>
  <c r="DG25" i="11"/>
  <c r="DI25" i="11"/>
  <c r="DF25" i="11"/>
  <c r="DF15" i="11"/>
  <c r="DG15" i="11"/>
  <c r="DI15" i="11"/>
  <c r="DH15" i="11"/>
  <c r="DF18" i="11"/>
  <c r="DG18" i="11"/>
  <c r="DI18" i="11"/>
  <c r="DH18" i="11"/>
  <c r="DF17" i="11"/>
  <c r="DG17" i="11"/>
  <c r="DH17" i="11"/>
  <c r="DI17" i="11"/>
  <c r="DE43" i="11" l="1"/>
  <c r="DF43" i="11"/>
  <c r="AC16" i="12" s="1"/>
  <c r="AD16" i="12" s="1"/>
  <c r="AI15" i="12"/>
  <c r="AJ15" i="12" s="1"/>
  <c r="AK26" i="11"/>
  <c r="H22" i="12" s="1"/>
  <c r="I22" i="12" s="1"/>
  <c r="DH42" i="11"/>
  <c r="AX18" i="12"/>
  <c r="AY18" i="12" s="1"/>
  <c r="AX15" i="12"/>
  <c r="AY15" i="12" s="1"/>
  <c r="W14" i="12"/>
  <c r="X14" i="12" s="1"/>
  <c r="K22" i="12"/>
  <c r="L22" i="12" s="1"/>
  <c r="DG22" i="11"/>
  <c r="DF22" i="11"/>
  <c r="DH22" i="11"/>
  <c r="DG43" i="11"/>
  <c r="DH43" i="11" s="1"/>
  <c r="DI22" i="11"/>
  <c r="DD43" i="11"/>
  <c r="Q16" i="12" s="1"/>
  <c r="R16" i="12" s="1"/>
  <c r="DH26" i="11"/>
  <c r="DI46" i="11"/>
  <c r="AU19" i="12" s="1"/>
  <c r="AV19" i="12" s="1"/>
  <c r="DI26" i="11"/>
  <c r="DF26" i="11"/>
  <c r="AX22" i="12"/>
  <c r="AY22" i="12" s="1"/>
  <c r="Q22" i="12"/>
  <c r="R22" i="12" s="1"/>
  <c r="DG26" i="11"/>
  <c r="DH46" i="11"/>
  <c r="AO19" i="12" s="1"/>
  <c r="AP19" i="12" s="1"/>
  <c r="DF46" i="11"/>
  <c r="Z19" i="12" s="1"/>
  <c r="AA19" i="12" s="1"/>
  <c r="DG46" i="11"/>
  <c r="AI19" i="12" s="1"/>
  <c r="AJ19" i="12" s="1"/>
  <c r="D43" i="12"/>
  <c r="F43" i="12" s="1"/>
  <c r="DK2" i="6"/>
  <c r="G43" i="12"/>
  <c r="I43" i="12" s="1"/>
  <c r="DL2" i="6"/>
  <c r="M43" i="12"/>
  <c r="O43" i="12" s="1"/>
  <c r="DM2" i="6"/>
  <c r="S43" i="12"/>
  <c r="U43" i="12" s="1"/>
  <c r="DN2" i="6"/>
  <c r="V42" i="12"/>
  <c r="X42" i="12" s="1"/>
  <c r="AW42" i="12"/>
  <c r="AY42" i="12" s="1"/>
  <c r="DE54" i="10"/>
  <c r="DF54" i="10"/>
  <c r="DG54" i="10"/>
  <c r="DH54" i="10"/>
  <c r="DA55" i="10"/>
  <c r="DD55" i="10"/>
  <c r="DB55" i="10"/>
  <c r="J43" i="12" s="1"/>
  <c r="L43" i="12" s="1"/>
  <c r="DC55" i="10"/>
  <c r="P43" i="12" s="1"/>
  <c r="R43" i="12" s="1"/>
  <c r="DB5" i="11"/>
  <c r="CU2" i="7" s="1"/>
  <c r="DI43" i="11" l="1"/>
  <c r="DJ43" i="11" s="1"/>
  <c r="AI16" i="12"/>
  <c r="AJ16" i="12" s="1"/>
  <c r="AX16" i="12"/>
  <c r="AY16" i="12" s="1"/>
  <c r="AX19" i="12"/>
  <c r="AY19" i="12" s="1"/>
  <c r="AC19" i="12"/>
  <c r="AD19" i="12" s="1"/>
  <c r="DJ57" i="11"/>
  <c r="DI43" i="10"/>
  <c r="DI47" i="10"/>
  <c r="DI46" i="10"/>
  <c r="DI48" i="10"/>
  <c r="DI44" i="10"/>
  <c r="DI45" i="10"/>
  <c r="DI29" i="10"/>
  <c r="DJ33" i="11"/>
  <c r="DJ37" i="11"/>
  <c r="DJ29" i="11"/>
  <c r="DJ24" i="11"/>
  <c r="AW43" i="12"/>
  <c r="AY43" i="12" s="1"/>
  <c r="V43" i="12"/>
  <c r="X43" i="12" s="1"/>
  <c r="CO14" i="11"/>
  <c r="M2" i="7" s="1"/>
  <c r="DJ52" i="11"/>
  <c r="CO52" i="11" s="1"/>
  <c r="DJ53" i="11"/>
  <c r="CO53" i="11" s="1"/>
  <c r="DJ51" i="11"/>
  <c r="CO51" i="11" s="1"/>
  <c r="DJ68" i="11"/>
  <c r="DE55" i="10"/>
  <c r="DI55" i="10" s="1"/>
  <c r="DH55" i="10"/>
  <c r="DG55" i="10"/>
  <c r="DF55" i="10"/>
  <c r="DJ75" i="11"/>
  <c r="CO75" i="11" s="1"/>
  <c r="E2" i="7" s="1"/>
  <c r="DJ76" i="11"/>
  <c r="CO76" i="11" s="1"/>
  <c r="CS2" i="7" s="1"/>
  <c r="DJ73" i="11"/>
  <c r="DJ72" i="11"/>
  <c r="DJ74" i="11"/>
  <c r="DI51" i="10"/>
  <c r="DI52" i="10"/>
  <c r="DI53" i="10"/>
  <c r="DI54" i="10"/>
  <c r="CO74" i="11"/>
  <c r="Y2" i="7" s="1"/>
  <c r="CO73" i="11"/>
  <c r="BK2" i="7" s="1"/>
  <c r="CO72" i="11"/>
  <c r="BV2" i="7" s="1"/>
  <c r="DJ42" i="11"/>
  <c r="DJ46" i="11"/>
  <c r="DI36" i="10"/>
  <c r="DI30" i="10"/>
  <c r="DJ44" i="11"/>
  <c r="DI31" i="10"/>
  <c r="DJ26" i="11"/>
  <c r="DJ45" i="11"/>
  <c r="DI32" i="10"/>
  <c r="DJ25" i="11"/>
  <c r="DI35" i="10"/>
  <c r="DI34" i="10"/>
  <c r="DI28" i="10"/>
  <c r="DI33" i="10"/>
  <c r="DJ16" i="11"/>
  <c r="DI27" i="10"/>
  <c r="BQ14" i="11"/>
  <c r="DI20" i="10"/>
  <c r="DJ13" i="11"/>
  <c r="DJ18" i="11"/>
  <c r="DI22" i="10"/>
  <c r="DI26" i="10"/>
  <c r="DI23" i="10"/>
  <c r="DI21" i="10"/>
  <c r="DJ15" i="11"/>
  <c r="DJ22" i="11"/>
  <c r="DJ17" i="11"/>
  <c r="DJ14" i="11"/>
  <c r="DI25" i="10"/>
  <c r="CO45" i="11"/>
  <c r="CO69" i="11"/>
  <c r="CO24" i="11"/>
  <c r="CO67" i="11"/>
  <c r="CO63" i="11"/>
  <c r="CO60" i="11"/>
  <c r="CO66" i="11"/>
  <c r="CO62" i="11"/>
  <c r="CO64" i="11"/>
  <c r="CO65" i="11"/>
  <c r="CO68" i="11"/>
  <c r="CO61" i="11"/>
  <c r="CO57" i="11"/>
  <c r="CO56" i="11"/>
  <c r="CO59" i="11"/>
  <c r="CO58" i="11"/>
  <c r="CO54" i="11"/>
  <c r="CO55" i="11"/>
  <c r="CO37" i="11"/>
  <c r="CO30" i="11"/>
  <c r="CO25" i="11"/>
  <c r="CO34" i="11"/>
  <c r="CO38" i="11"/>
  <c r="CO33" i="11"/>
  <c r="CO26" i="11"/>
  <c r="CO29" i="11"/>
  <c r="AB76" i="11" l="1"/>
  <c r="AB46" i="11"/>
  <c r="CO44" i="11"/>
  <c r="BP2" i="7" s="1"/>
  <c r="AB44" i="11"/>
  <c r="AB43" i="11"/>
  <c r="CO46" i="11"/>
  <c r="AI2" i="7" s="1"/>
  <c r="AX2" i="7"/>
  <c r="BY15" i="11"/>
  <c r="BU505" i="1"/>
  <c r="DF24" i="10" l="1"/>
  <c r="DH24" i="10"/>
  <c r="DG24" i="10"/>
  <c r="DE24" i="10"/>
  <c r="DI24" i="10" l="1"/>
  <c r="AW39" i="4"/>
  <c r="AS39" i="4"/>
  <c r="AU39" i="4" s="1"/>
  <c r="AV39" i="4" s="1"/>
  <c r="AW38" i="4"/>
  <c r="AS38" i="4"/>
  <c r="AU38" i="4" s="1"/>
  <c r="AV38" i="4" s="1"/>
  <c r="AW37" i="4"/>
  <c r="AS37" i="4"/>
  <c r="AU37" i="4" s="1"/>
  <c r="AV37" i="4" s="1"/>
  <c r="AW36" i="4"/>
  <c r="AS36" i="4"/>
  <c r="AU36" i="4" s="1"/>
  <c r="AV36" i="4" s="1"/>
  <c r="AW35" i="4"/>
  <c r="AS35" i="4"/>
  <c r="AU35" i="4" s="1"/>
  <c r="AV35" i="4" s="1"/>
  <c r="AW34" i="4"/>
  <c r="AS34" i="4"/>
  <c r="AU34" i="4" s="1"/>
  <c r="AV34" i="4" s="1"/>
  <c r="AW33" i="4"/>
  <c r="AS33" i="4"/>
  <c r="AU33" i="4" s="1"/>
  <c r="AV33" i="4" s="1"/>
  <c r="AW32" i="4"/>
  <c r="AS32" i="4"/>
  <c r="AU32" i="4" s="1"/>
  <c r="AV32" i="4" s="1"/>
  <c r="AW31" i="4"/>
  <c r="AS31" i="4"/>
  <c r="AU31" i="4" s="1"/>
  <c r="AV31" i="4" s="1"/>
  <c r="AW30" i="4"/>
  <c r="AS30" i="4"/>
  <c r="AU30" i="4" s="1"/>
  <c r="AV30" i="4" s="1"/>
  <c r="AW29" i="4"/>
  <c r="AS29" i="4"/>
  <c r="AU29" i="4" s="1"/>
  <c r="AV29" i="4" s="1"/>
  <c r="AW28" i="4"/>
  <c r="AS28" i="4"/>
  <c r="AU28" i="4" s="1"/>
  <c r="AV28" i="4" s="1"/>
  <c r="AW27" i="4"/>
  <c r="AS27" i="4"/>
  <c r="AU27" i="4" s="1"/>
  <c r="AV27" i="4" s="1"/>
  <c r="AW26" i="4"/>
  <c r="AS26" i="4"/>
  <c r="AU26" i="4" s="1"/>
  <c r="AV26" i="4" s="1"/>
  <c r="AW25" i="4"/>
  <c r="AS25" i="4"/>
  <c r="AU25" i="4" s="1"/>
  <c r="AV25" i="4" s="1"/>
  <c r="AW24" i="4"/>
  <c r="AS24" i="4"/>
  <c r="AU24" i="4" s="1"/>
  <c r="AV24" i="4" s="1"/>
  <c r="AW23" i="4"/>
  <c r="AS23" i="4"/>
  <c r="AU23" i="4" s="1"/>
  <c r="AV23" i="4" s="1"/>
  <c r="AW22" i="4"/>
  <c r="AS22" i="4"/>
  <c r="AU22" i="4" s="1"/>
  <c r="AV22" i="4" s="1"/>
  <c r="AW21" i="4"/>
  <c r="AS21" i="4"/>
  <c r="AU21" i="4" s="1"/>
  <c r="AV21" i="4" s="1"/>
  <c r="AW20" i="4"/>
  <c r="AS20" i="4"/>
  <c r="AU20" i="4" s="1"/>
  <c r="AV20" i="4" s="1"/>
  <c r="AW19" i="4"/>
  <c r="AS19" i="4"/>
  <c r="AU19" i="4" s="1"/>
  <c r="AV19" i="4" s="1"/>
  <c r="AW18" i="4"/>
  <c r="AS18" i="4"/>
  <c r="AU18" i="4" s="1"/>
  <c r="AV18" i="4" s="1"/>
  <c r="AW17" i="4"/>
  <c r="AS17" i="4"/>
  <c r="AU17" i="4" s="1"/>
  <c r="AV17" i="4" s="1"/>
  <c r="AW16" i="4"/>
  <c r="AS16" i="4"/>
  <c r="AU16" i="4" s="1"/>
  <c r="AV16" i="4" s="1"/>
  <c r="AW15" i="4"/>
  <c r="AS15" i="4"/>
  <c r="AU15" i="4" s="1"/>
  <c r="AV15" i="4" s="1"/>
  <c r="AW14" i="4"/>
  <c r="AS14" i="4"/>
  <c r="AU14" i="4" s="1"/>
  <c r="AV14" i="4" s="1"/>
  <c r="AW13" i="4"/>
  <c r="AS13" i="4"/>
  <c r="AU13" i="4" s="1"/>
  <c r="AV13" i="4" s="1"/>
  <c r="AW12" i="4"/>
  <c r="AS12" i="4"/>
  <c r="AU12" i="4" s="1"/>
  <c r="AV12" i="4" s="1"/>
  <c r="AW11" i="4"/>
  <c r="AS11" i="4"/>
  <c r="AU11" i="4" s="1"/>
  <c r="AV11" i="4" s="1"/>
  <c r="AW10" i="4"/>
  <c r="AS10" i="4"/>
  <c r="AU10" i="4" s="1"/>
  <c r="AV10" i="4" s="1"/>
  <c r="AW9" i="4"/>
  <c r="AS9" i="4"/>
  <c r="AU9" i="4" s="1"/>
  <c r="AV9" i="4" s="1"/>
  <c r="AW8" i="4"/>
  <c r="AS8" i="4"/>
  <c r="AU8" i="4" s="1"/>
  <c r="AV8" i="4" s="1"/>
  <c r="AW7" i="4"/>
  <c r="AS7" i="4"/>
  <c r="AU7" i="4" s="1"/>
  <c r="AV7" i="4" s="1"/>
  <c r="AW6" i="4"/>
  <c r="AS6" i="4"/>
  <c r="AU6" i="4" s="1"/>
  <c r="AV6" i="4" s="1"/>
  <c r="AW5" i="4"/>
  <c r="AS5" i="4"/>
  <c r="AU5" i="4" s="1"/>
  <c r="AV5" i="4" s="1"/>
  <c r="AW4" i="4"/>
  <c r="AS4" i="4"/>
  <c r="AU4" i="4" s="1"/>
  <c r="AV4" i="4" s="1"/>
  <c r="AW3" i="4"/>
  <c r="AS3" i="4"/>
  <c r="AU3" i="4" s="1"/>
  <c r="AV3" i="4" s="1"/>
  <c r="AW2" i="4"/>
  <c r="AS2" i="4"/>
  <c r="AU2" i="4" s="1"/>
  <c r="AV2" i="4" s="1"/>
  <c r="CO17" i="11" l="1"/>
  <c r="J2" i="7" s="1"/>
  <c r="CO15" i="11" l="1"/>
  <c r="AB15" i="11" s="1"/>
  <c r="CO18" i="11"/>
  <c r="CF2" i="7" s="1"/>
  <c r="W11" i="5"/>
  <c r="V11" i="5"/>
  <c r="AN2" i="7" l="1"/>
  <c r="AB24" i="11"/>
  <c r="BY24" i="11"/>
  <c r="W7" i="5"/>
  <c r="V7" i="5"/>
  <c r="W8" i="5"/>
  <c r="V8" i="5"/>
  <c r="CO16" i="11" l="1"/>
  <c r="T2" i="7" s="1"/>
  <c r="BK7" i="11"/>
  <c r="CN2" i="7" s="1"/>
  <c r="L7" i="11"/>
  <c r="BE2" i="7" s="1"/>
  <c r="CN54" i="10" l="1"/>
  <c r="E2" i="6" s="1"/>
  <c r="CN55" i="10" l="1"/>
  <c r="DO2" i="6" s="1"/>
  <c r="BA49" i="11" l="1"/>
  <c r="T31" i="12" s="1"/>
  <c r="AS49" i="11"/>
  <c r="N31" i="12" s="1"/>
  <c r="AC49" i="11"/>
  <c r="AK49" i="11"/>
  <c r="H31" i="12" s="1"/>
  <c r="CA505" i="1"/>
  <c r="BZ505" i="1"/>
  <c r="Z505" i="1"/>
  <c r="Y505" i="1"/>
  <c r="X505" i="1"/>
  <c r="M505" i="1"/>
  <c r="D505" i="1"/>
  <c r="C505" i="1"/>
  <c r="B505" i="1"/>
  <c r="A505" i="1"/>
  <c r="DE49" i="11" l="1"/>
  <c r="DB49" i="11"/>
  <c r="DD49" i="11"/>
  <c r="Q31" i="12" s="1"/>
  <c r="E31" i="12"/>
  <c r="DC49" i="11"/>
  <c r="K31" i="12" s="1"/>
  <c r="BK505" i="1"/>
  <c r="BJ505" i="1"/>
  <c r="BN505" i="1"/>
  <c r="BQ505" i="1"/>
  <c r="DI49" i="11" l="1"/>
  <c r="W31" i="12"/>
  <c r="DF49" i="11"/>
  <c r="AX31" i="12"/>
  <c r="AY31" i="12" s="1"/>
  <c r="DH49" i="11"/>
  <c r="DG49" i="11"/>
  <c r="CD505" i="1"/>
  <c r="CB505" i="1"/>
  <c r="CC505" i="1"/>
  <c r="AM2" i="4"/>
  <c r="AM3" i="4"/>
  <c r="AM4" i="4"/>
  <c r="AM5" i="4"/>
  <c r="AM6" i="4"/>
  <c r="AM7" i="4"/>
  <c r="AM8" i="4"/>
  <c r="AM9" i="4"/>
  <c r="AK2" i="4"/>
  <c r="AK3" i="4"/>
  <c r="AK4" i="4"/>
  <c r="AK5" i="4"/>
  <c r="AK6" i="4"/>
  <c r="AK7" i="4"/>
  <c r="AK8" i="4"/>
  <c r="AK9" i="4"/>
  <c r="BX6" i="1"/>
  <c r="BX40" i="1"/>
  <c r="BX51" i="1"/>
  <c r="BX7" i="1"/>
  <c r="BX26" i="1"/>
  <c r="BX45" i="1"/>
  <c r="BX5" i="1"/>
  <c r="BX31" i="1"/>
  <c r="BX37" i="1"/>
  <c r="BX63" i="1"/>
  <c r="BX22" i="1"/>
  <c r="BX35" i="1"/>
  <c r="BX43" i="1"/>
  <c r="BX41" i="1"/>
  <c r="BX47" i="1"/>
  <c r="BX33" i="1"/>
  <c r="BX25" i="1"/>
  <c r="BX30" i="1"/>
  <c r="BX17" i="1"/>
  <c r="BX39" i="1"/>
  <c r="BX8" i="1"/>
  <c r="BX15" i="1"/>
  <c r="BX44" i="1"/>
  <c r="BX16" i="1"/>
  <c r="BX18" i="1"/>
  <c r="BX55" i="1"/>
  <c r="BX56" i="1"/>
  <c r="BX57" i="1"/>
  <c r="BX58" i="1"/>
  <c r="BX62" i="1"/>
  <c r="BX12" i="1"/>
  <c r="BX14" i="1"/>
  <c r="BX64" i="1"/>
  <c r="BX66" i="1"/>
  <c r="BX68" i="1"/>
  <c r="BX13" i="1"/>
  <c r="BX28" i="1"/>
  <c r="BX36" i="1"/>
  <c r="BX54" i="1"/>
  <c r="BX42" i="1"/>
  <c r="BX38" i="1"/>
  <c r="BX32" i="1"/>
  <c r="BX52" i="1"/>
  <c r="BX49" i="1"/>
  <c r="BX20" i="1"/>
  <c r="BX10" i="1"/>
  <c r="BX396" i="1"/>
  <c r="BX19" i="1"/>
  <c r="BX397" i="1"/>
  <c r="BX398" i="1"/>
  <c r="BX399" i="1"/>
  <c r="BX400" i="1"/>
  <c r="BX9" i="1"/>
  <c r="BX401" i="1"/>
  <c r="BX402" i="1"/>
  <c r="BX403" i="1"/>
  <c r="BX404" i="1"/>
  <c r="BX405" i="1"/>
  <c r="BX406" i="1"/>
  <c r="BX407" i="1"/>
  <c r="BX408" i="1"/>
  <c r="BX409" i="1"/>
  <c r="BX410" i="1"/>
  <c r="BX411" i="1"/>
  <c r="BX412" i="1"/>
  <c r="BX413" i="1"/>
  <c r="BX414" i="1"/>
  <c r="BX415" i="1"/>
  <c r="BX416" i="1"/>
  <c r="BX417" i="1"/>
  <c r="BX418" i="1"/>
  <c r="BX419" i="1"/>
  <c r="BX420" i="1"/>
  <c r="BX53" i="1"/>
  <c r="BX421" i="1"/>
  <c r="BX422" i="1"/>
  <c r="BX423" i="1"/>
  <c r="BX424" i="1"/>
  <c r="BX425" i="1"/>
  <c r="BX426" i="1"/>
  <c r="BX427" i="1"/>
  <c r="BX428" i="1"/>
  <c r="BX429" i="1"/>
  <c r="BX430" i="1"/>
  <c r="BX431" i="1"/>
  <c r="BX432" i="1"/>
  <c r="BX433" i="1"/>
  <c r="BX434" i="1"/>
  <c r="BX435" i="1"/>
  <c r="BX436" i="1"/>
  <c r="BX437" i="1"/>
  <c r="BX438" i="1"/>
  <c r="BX439" i="1"/>
  <c r="BX440" i="1"/>
  <c r="BX441" i="1"/>
  <c r="BX442" i="1"/>
  <c r="BX443" i="1"/>
  <c r="BX444" i="1"/>
  <c r="BX445" i="1"/>
  <c r="BX446" i="1"/>
  <c r="BX447" i="1"/>
  <c r="BX448" i="1"/>
  <c r="BX449" i="1"/>
  <c r="BX450" i="1"/>
  <c r="BX451" i="1"/>
  <c r="BX452" i="1"/>
  <c r="BX453" i="1"/>
  <c r="BX454" i="1"/>
  <c r="BX455" i="1"/>
  <c r="BX456" i="1"/>
  <c r="BX457" i="1"/>
  <c r="BX458" i="1"/>
  <c r="BX459" i="1"/>
  <c r="BX460" i="1"/>
  <c r="BX461" i="1"/>
  <c r="BX462" i="1"/>
  <c r="BX463" i="1"/>
  <c r="BX464" i="1"/>
  <c r="BX465" i="1"/>
  <c r="BX466" i="1"/>
  <c r="BX467" i="1"/>
  <c r="BX468" i="1"/>
  <c r="BX469" i="1"/>
  <c r="BX21" i="1"/>
  <c r="BX470" i="1"/>
  <c r="BX471" i="1"/>
  <c r="BX472" i="1"/>
  <c r="BX473" i="1"/>
  <c r="BX474" i="1"/>
  <c r="BX475" i="1"/>
  <c r="BX23" i="1"/>
  <c r="BX476" i="1"/>
  <c r="BX477" i="1"/>
  <c r="BX478" i="1"/>
  <c r="BX479" i="1"/>
  <c r="BX480" i="1"/>
  <c r="BX481" i="1"/>
  <c r="BX482" i="1"/>
  <c r="BX483" i="1"/>
  <c r="BX484" i="1"/>
  <c r="BX485" i="1"/>
  <c r="BX486" i="1"/>
  <c r="BX487" i="1"/>
  <c r="BX488" i="1"/>
  <c r="BX489" i="1"/>
  <c r="BX490" i="1"/>
  <c r="BX491" i="1"/>
  <c r="BX492" i="1"/>
  <c r="BX493" i="1"/>
  <c r="BX494" i="1"/>
  <c r="BX495" i="1"/>
  <c r="BX496" i="1"/>
  <c r="BX497" i="1"/>
  <c r="BX498" i="1"/>
  <c r="BX499" i="1"/>
  <c r="BX500" i="1"/>
  <c r="BX501" i="1"/>
  <c r="BX70" i="1"/>
  <c r="BX71" i="1"/>
  <c r="BX72" i="1"/>
  <c r="BX73" i="1"/>
  <c r="BX74" i="1"/>
  <c r="BX75" i="1"/>
  <c r="BX76" i="1"/>
  <c r="BX77" i="1"/>
  <c r="BX78" i="1"/>
  <c r="BX79" i="1"/>
  <c r="BX80" i="1"/>
  <c r="BX81" i="1"/>
  <c r="BX82" i="1"/>
  <c r="BX83" i="1"/>
  <c r="BX84" i="1"/>
  <c r="BX85" i="1"/>
  <c r="BX86" i="1"/>
  <c r="BX87" i="1"/>
  <c r="BX88" i="1"/>
  <c r="BX89" i="1"/>
  <c r="BX90" i="1"/>
  <c r="BX91" i="1"/>
  <c r="BX92" i="1"/>
  <c r="BX93" i="1"/>
  <c r="BX94" i="1"/>
  <c r="BX95" i="1"/>
  <c r="BX96" i="1"/>
  <c r="BX97" i="1"/>
  <c r="BX98" i="1"/>
  <c r="BX99" i="1"/>
  <c r="BX100" i="1"/>
  <c r="BX101" i="1"/>
  <c r="BX102" i="1"/>
  <c r="BX103" i="1"/>
  <c r="BX104" i="1"/>
  <c r="BX105" i="1"/>
  <c r="BX106" i="1"/>
  <c r="BX107" i="1"/>
  <c r="BX108" i="1"/>
  <c r="BX109" i="1"/>
  <c r="BX110" i="1"/>
  <c r="BX111" i="1"/>
  <c r="BX112" i="1"/>
  <c r="BX113" i="1"/>
  <c r="BX114" i="1"/>
  <c r="BX115" i="1"/>
  <c r="BX116" i="1"/>
  <c r="BX117" i="1"/>
  <c r="BX118" i="1"/>
  <c r="BX119" i="1"/>
  <c r="BX120" i="1"/>
  <c r="BX121" i="1"/>
  <c r="BX122" i="1"/>
  <c r="BX123" i="1"/>
  <c r="BX124" i="1"/>
  <c r="BX125" i="1"/>
  <c r="BX126" i="1"/>
  <c r="BX127" i="1"/>
  <c r="BX128" i="1"/>
  <c r="BX129" i="1"/>
  <c r="BX130" i="1"/>
  <c r="BX131" i="1"/>
  <c r="BX132" i="1"/>
  <c r="BX133" i="1"/>
  <c r="BX134" i="1"/>
  <c r="BX135" i="1"/>
  <c r="BX136" i="1"/>
  <c r="BX137" i="1"/>
  <c r="BX138" i="1"/>
  <c r="BX139" i="1"/>
  <c r="BX140" i="1"/>
  <c r="BX141" i="1"/>
  <c r="BX142" i="1"/>
  <c r="BX143" i="1"/>
  <c r="BX144" i="1"/>
  <c r="BX145" i="1"/>
  <c r="BX146" i="1"/>
  <c r="BX147" i="1"/>
  <c r="BX148" i="1"/>
  <c r="BX149" i="1"/>
  <c r="BX150" i="1"/>
  <c r="BX151" i="1"/>
  <c r="BX152" i="1"/>
  <c r="BX153" i="1"/>
  <c r="BX154" i="1"/>
  <c r="BX155" i="1"/>
  <c r="BX156" i="1"/>
  <c r="BX157" i="1"/>
  <c r="BX158" i="1"/>
  <c r="BX159" i="1"/>
  <c r="BX48" i="1"/>
  <c r="BX160" i="1"/>
  <c r="BX161" i="1"/>
  <c r="BX162" i="1"/>
  <c r="BX163" i="1"/>
  <c r="BX164" i="1"/>
  <c r="BX165" i="1"/>
  <c r="BX166" i="1"/>
  <c r="BX167" i="1"/>
  <c r="BX168" i="1"/>
  <c r="BX169" i="1"/>
  <c r="BX170" i="1"/>
  <c r="BX171" i="1"/>
  <c r="BX172" i="1"/>
  <c r="BX173" i="1"/>
  <c r="BX174" i="1"/>
  <c r="BX175" i="1"/>
  <c r="BX176" i="1"/>
  <c r="BX177" i="1"/>
  <c r="BX178" i="1"/>
  <c r="BX179" i="1"/>
  <c r="BX180" i="1"/>
  <c r="BX181" i="1"/>
  <c r="BX182" i="1"/>
  <c r="BX183" i="1"/>
  <c r="BX184" i="1"/>
  <c r="BX185" i="1"/>
  <c r="BX186" i="1"/>
  <c r="BX187" i="1"/>
  <c r="BX188" i="1"/>
  <c r="BX189" i="1"/>
  <c r="BX190" i="1"/>
  <c r="BX191" i="1"/>
  <c r="BX192" i="1"/>
  <c r="BX193" i="1"/>
  <c r="BX194" i="1"/>
  <c r="BX195" i="1"/>
  <c r="BX196" i="1"/>
  <c r="BX197" i="1"/>
  <c r="BX198" i="1"/>
  <c r="BX199" i="1"/>
  <c r="BX27" i="1"/>
  <c r="BX200" i="1"/>
  <c r="BX201" i="1"/>
  <c r="BX202" i="1"/>
  <c r="BX203" i="1"/>
  <c r="BX204" i="1"/>
  <c r="BX205" i="1"/>
  <c r="BX206" i="1"/>
  <c r="BX207" i="1"/>
  <c r="BX208" i="1"/>
  <c r="BX209" i="1"/>
  <c r="BX210" i="1"/>
  <c r="BX211" i="1"/>
  <c r="BX212" i="1"/>
  <c r="BX213" i="1"/>
  <c r="BX214" i="1"/>
  <c r="BX215" i="1"/>
  <c r="BX216" i="1"/>
  <c r="BX217" i="1"/>
  <c r="BX218" i="1"/>
  <c r="BX219" i="1"/>
  <c r="BX220" i="1"/>
  <c r="BX221" i="1"/>
  <c r="BX222" i="1"/>
  <c r="BX223" i="1"/>
  <c r="BX224" i="1"/>
  <c r="BX225" i="1"/>
  <c r="BX226" i="1"/>
  <c r="BX227" i="1"/>
  <c r="BX228" i="1"/>
  <c r="BX229" i="1"/>
  <c r="BX230" i="1"/>
  <c r="BX231" i="1"/>
  <c r="BX232" i="1"/>
  <c r="BX233" i="1"/>
  <c r="BX234" i="1"/>
  <c r="BX235" i="1"/>
  <c r="BX236" i="1"/>
  <c r="BX237" i="1"/>
  <c r="BX238" i="1"/>
  <c r="BX239" i="1"/>
  <c r="BX240" i="1"/>
  <c r="BX241" i="1"/>
  <c r="BX242" i="1"/>
  <c r="BX243" i="1"/>
  <c r="BX244" i="1"/>
  <c r="BX245" i="1"/>
  <c r="BX246" i="1"/>
  <c r="BX247" i="1"/>
  <c r="BX248" i="1"/>
  <c r="BX249" i="1"/>
  <c r="BX250" i="1"/>
  <c r="BX251" i="1"/>
  <c r="BX252" i="1"/>
  <c r="BX253" i="1"/>
  <c r="BX254" i="1"/>
  <c r="BX255" i="1"/>
  <c r="BX256" i="1"/>
  <c r="BX257" i="1"/>
  <c r="BX258" i="1"/>
  <c r="BX259" i="1"/>
  <c r="BX260" i="1"/>
  <c r="BX261" i="1"/>
  <c r="BX262" i="1"/>
  <c r="BX263" i="1"/>
  <c r="BX264" i="1"/>
  <c r="BX265" i="1"/>
  <c r="BX266" i="1"/>
  <c r="BX267" i="1"/>
  <c r="BX268" i="1"/>
  <c r="BX269" i="1"/>
  <c r="BX270" i="1"/>
  <c r="BX271" i="1"/>
  <c r="BX272" i="1"/>
  <c r="BX273" i="1"/>
  <c r="BX274" i="1"/>
  <c r="BX275" i="1"/>
  <c r="BX276" i="1"/>
  <c r="BX277" i="1"/>
  <c r="BX278" i="1"/>
  <c r="BX279" i="1"/>
  <c r="BX280" i="1"/>
  <c r="BX281" i="1"/>
  <c r="BX282" i="1"/>
  <c r="BX283" i="1"/>
  <c r="BX284" i="1"/>
  <c r="BX285" i="1"/>
  <c r="BX286" i="1"/>
  <c r="BX287" i="1"/>
  <c r="BX288" i="1"/>
  <c r="BX289" i="1"/>
  <c r="BX290" i="1"/>
  <c r="BX291" i="1"/>
  <c r="BX292" i="1"/>
  <c r="BX293" i="1"/>
  <c r="BX294" i="1"/>
  <c r="BX295" i="1"/>
  <c r="BX296" i="1"/>
  <c r="BX297" i="1"/>
  <c r="BX298" i="1"/>
  <c r="BX299" i="1"/>
  <c r="BX300" i="1"/>
  <c r="BX301" i="1"/>
  <c r="BX302" i="1"/>
  <c r="BX303" i="1"/>
  <c r="BX304" i="1"/>
  <c r="BX305" i="1"/>
  <c r="BX306" i="1"/>
  <c r="BX307" i="1"/>
  <c r="BX308" i="1"/>
  <c r="BX309" i="1"/>
  <c r="BX310" i="1"/>
  <c r="BX311" i="1"/>
  <c r="BX312" i="1"/>
  <c r="BX313" i="1"/>
  <c r="BX314" i="1"/>
  <c r="BX315" i="1"/>
  <c r="BX316" i="1"/>
  <c r="BX317" i="1"/>
  <c r="BX318" i="1"/>
  <c r="BX319" i="1"/>
  <c r="BX320" i="1"/>
  <c r="BX321" i="1"/>
  <c r="BX322" i="1"/>
  <c r="BX323" i="1"/>
  <c r="BX324" i="1"/>
  <c r="BX325" i="1"/>
  <c r="BX326" i="1"/>
  <c r="BX327" i="1"/>
  <c r="BX328" i="1"/>
  <c r="BX329" i="1"/>
  <c r="BX330" i="1"/>
  <c r="BX331" i="1"/>
  <c r="BX332" i="1"/>
  <c r="BX333" i="1"/>
  <c r="BX334" i="1"/>
  <c r="BX335" i="1"/>
  <c r="BX336" i="1"/>
  <c r="BX337" i="1"/>
  <c r="BX338" i="1"/>
  <c r="BX339" i="1"/>
  <c r="BX340" i="1"/>
  <c r="BX341" i="1"/>
  <c r="BX342" i="1"/>
  <c r="BX343" i="1"/>
  <c r="BX344" i="1"/>
  <c r="BX345" i="1"/>
  <c r="BX346" i="1"/>
  <c r="BX347" i="1"/>
  <c r="BX348" i="1"/>
  <c r="BX349" i="1"/>
  <c r="BX350" i="1"/>
  <c r="BX351" i="1"/>
  <c r="BX67" i="1"/>
  <c r="BX352" i="1"/>
  <c r="BX353" i="1"/>
  <c r="BX354" i="1"/>
  <c r="BX355" i="1"/>
  <c r="BX356" i="1"/>
  <c r="BX357" i="1"/>
  <c r="BX358" i="1"/>
  <c r="BX359" i="1"/>
  <c r="BX69" i="1"/>
  <c r="BX360" i="1"/>
  <c r="BX361" i="1"/>
  <c r="BX362" i="1"/>
  <c r="BX363" i="1"/>
  <c r="BX364" i="1"/>
  <c r="BX365" i="1"/>
  <c r="BX366" i="1"/>
  <c r="BX367" i="1"/>
  <c r="BX368" i="1"/>
  <c r="BX369" i="1"/>
  <c r="BX370" i="1"/>
  <c r="BX371" i="1"/>
  <c r="BX372" i="1"/>
  <c r="BX373" i="1"/>
  <c r="BX374" i="1"/>
  <c r="BX375" i="1"/>
  <c r="BX376" i="1"/>
  <c r="BX377" i="1"/>
  <c r="BX378" i="1"/>
  <c r="BX379" i="1"/>
  <c r="BX380" i="1"/>
  <c r="BX59" i="1"/>
  <c r="BX381" i="1"/>
  <c r="BX382" i="1"/>
  <c r="BX383" i="1"/>
  <c r="BX384" i="1"/>
  <c r="BX385" i="1"/>
  <c r="BX386" i="1"/>
  <c r="BX387" i="1"/>
  <c r="BX388" i="1"/>
  <c r="BX389" i="1"/>
  <c r="BX390" i="1"/>
  <c r="BX391" i="1"/>
  <c r="BX392" i="1"/>
  <c r="BX11" i="1"/>
  <c r="BX393" i="1"/>
  <c r="BX394" i="1"/>
  <c r="BX60" i="1"/>
  <c r="BX50" i="1"/>
  <c r="BX502" i="1"/>
  <c r="BX503" i="1"/>
  <c r="BX395" i="1"/>
  <c r="BX504" i="1"/>
  <c r="BX46" i="1"/>
  <c r="BX29" i="1"/>
  <c r="BX24" i="1"/>
  <c r="BX34" i="1"/>
  <c r="BX61" i="1"/>
  <c r="BX65" i="1"/>
  <c r="H26" i="5" l="1"/>
  <c r="G24" i="5"/>
  <c r="G23" i="5"/>
  <c r="G26" i="5"/>
  <c r="C23" i="5"/>
  <c r="H22" i="5"/>
  <c r="H23" i="5"/>
  <c r="DJ49" i="11"/>
  <c r="CO49" i="11" s="1"/>
  <c r="CO50" i="11" s="1"/>
  <c r="DB50" i="11" s="1"/>
  <c r="DI50" i="11" s="1"/>
  <c r="Q26" i="5"/>
  <c r="R26" i="5"/>
  <c r="R25" i="5"/>
  <c r="R23" i="5"/>
  <c r="R24" i="5"/>
  <c r="R22" i="5"/>
  <c r="Q27" i="5"/>
  <c r="Q24" i="5"/>
  <c r="Q25" i="5"/>
  <c r="Q22" i="5"/>
  <c r="Q23" i="5"/>
  <c r="G27" i="5"/>
  <c r="C24" i="5"/>
  <c r="M22" i="5"/>
  <c r="M27" i="5"/>
  <c r="M23" i="5"/>
  <c r="C26" i="5"/>
  <c r="H25" i="5"/>
  <c r="H27" i="5"/>
  <c r="H24" i="5"/>
  <c r="C25" i="5"/>
  <c r="C27" i="5"/>
  <c r="C22" i="5"/>
  <c r="R27" i="5"/>
  <c r="L27" i="5"/>
  <c r="B24" i="5"/>
  <c r="B23" i="5"/>
  <c r="B26" i="5"/>
  <c r="B27" i="5"/>
  <c r="B22" i="5"/>
  <c r="B25" i="5"/>
  <c r="BX505" i="1"/>
  <c r="V26" i="5" l="1"/>
  <c r="DE50" i="11"/>
  <c r="DH50" i="11"/>
  <c r="DC50" i="11"/>
  <c r="DG50" i="11"/>
  <c r="AB50" i="11"/>
  <c r="DD50" i="11"/>
  <c r="DF50" i="11"/>
  <c r="W26" i="5"/>
  <c r="W23" i="5"/>
  <c r="Y23" i="5" s="1"/>
  <c r="V23" i="5"/>
  <c r="V24" i="5"/>
  <c r="V22" i="5"/>
  <c r="V25" i="5"/>
  <c r="W24" i="5"/>
  <c r="W25" i="5"/>
  <c r="Y25" i="5" s="1"/>
  <c r="W22" i="5"/>
  <c r="V27" i="5"/>
  <c r="W27" i="5"/>
  <c r="CE505" i="1"/>
  <c r="DJ50" i="11" l="1"/>
  <c r="BV505" i="1"/>
  <c r="X2" i="4"/>
  <c r="X3" i="4"/>
  <c r="BQ46" i="11" l="1"/>
  <c r="CG46" i="11"/>
  <c r="BI46" i="11"/>
  <c r="AE2" i="7" s="1"/>
  <c r="BY46" i="11"/>
  <c r="BA43" i="11"/>
  <c r="AA2" i="7" s="1"/>
  <c r="CO42" i="11"/>
  <c r="AS43" i="11"/>
  <c r="CO22" i="11"/>
  <c r="BI43" i="11"/>
  <c r="BQ43" i="11"/>
  <c r="CO43" i="11" l="1"/>
  <c r="AD2" i="7" s="1"/>
  <c r="AS2" i="7"/>
  <c r="AR19" i="12"/>
  <c r="AS19" i="12" s="1"/>
  <c r="AH2" i="7"/>
  <c r="BC2" i="7"/>
  <c r="AL19" i="12"/>
  <c r="AM19" i="12" s="1"/>
  <c r="AG2" i="7"/>
  <c r="N16" i="12"/>
  <c r="O16" i="12" s="1"/>
  <c r="Z2" i="7"/>
  <c r="AF16" i="12"/>
  <c r="AG16" i="12" s="1"/>
  <c r="AC2" i="7"/>
  <c r="Z16" i="12"/>
  <c r="AA16" i="12" s="1"/>
  <c r="AB2" i="7"/>
  <c r="AF19" i="12"/>
  <c r="AG19" i="12" s="1"/>
  <c r="AF2" i="7"/>
  <c r="W16" i="12"/>
  <c r="X16" i="12" s="1"/>
  <c r="T16" i="12"/>
  <c r="U16" i="12" s="1"/>
  <c r="AK36" i="11" l="1"/>
  <c r="Y24" i="5" l="1"/>
  <c r="D50" i="5" l="1"/>
  <c r="I31" i="5"/>
  <c r="T11" i="5"/>
  <c r="S30" i="5"/>
  <c r="D69" i="5"/>
  <c r="J72" i="5"/>
  <c r="J11" i="5"/>
  <c r="E25" i="5"/>
  <c r="T15" i="5"/>
  <c r="J59" i="5"/>
  <c r="I34" i="5"/>
  <c r="E40" i="5"/>
  <c r="D7" i="5"/>
  <c r="T57" i="5"/>
  <c r="O56" i="5"/>
  <c r="O59" i="5"/>
  <c r="J18" i="5"/>
  <c r="T44" i="5"/>
  <c r="T34" i="5"/>
  <c r="I26" i="5"/>
  <c r="J42" i="5"/>
  <c r="E15" i="5"/>
  <c r="O33" i="5"/>
  <c r="I19" i="5"/>
  <c r="E50" i="5"/>
  <c r="I24" i="5"/>
  <c r="J25" i="5"/>
  <c r="T69" i="5"/>
  <c r="J8" i="5"/>
  <c r="D60" i="5"/>
  <c r="I72" i="5"/>
  <c r="I49" i="5"/>
  <c r="N52" i="5"/>
  <c r="E75" i="5"/>
  <c r="O11" i="5"/>
  <c r="O31" i="5"/>
  <c r="T12" i="5"/>
  <c r="I11" i="5"/>
  <c r="N75" i="5"/>
  <c r="J31" i="5"/>
  <c r="T50" i="5"/>
  <c r="T53" i="5"/>
  <c r="N27" i="5"/>
  <c r="J58" i="5"/>
  <c r="O16" i="5"/>
  <c r="E22" i="5"/>
  <c r="T61" i="5"/>
  <c r="E23" i="5"/>
  <c r="E57" i="5"/>
  <c r="T52" i="5"/>
  <c r="D59" i="5"/>
  <c r="N42" i="5"/>
  <c r="S70" i="5"/>
  <c r="O23" i="5"/>
  <c r="O55" i="5"/>
  <c r="E53" i="5"/>
  <c r="N15" i="5"/>
  <c r="D72" i="5"/>
  <c r="E42" i="5"/>
  <c r="J73" i="5"/>
  <c r="E69" i="5"/>
  <c r="T36" i="5"/>
  <c r="J45" i="5"/>
  <c r="J43" i="5"/>
  <c r="E24" i="5"/>
  <c r="E72" i="5"/>
  <c r="T72" i="5"/>
  <c r="O15" i="5"/>
  <c r="O30" i="5"/>
  <c r="E18" i="5"/>
  <c r="D61" i="5"/>
  <c r="I58" i="5"/>
  <c r="N53" i="5"/>
  <c r="AS31" i="11" s="1"/>
  <c r="S71" i="5"/>
  <c r="O12" i="5"/>
  <c r="S22" i="5"/>
  <c r="T24" i="5"/>
  <c r="E52" i="5"/>
  <c r="I70" i="5"/>
  <c r="J67" i="5"/>
  <c r="O35" i="5"/>
  <c r="S67" i="5"/>
  <c r="O58" i="5"/>
  <c r="T8" i="5"/>
  <c r="J49" i="5"/>
  <c r="S34" i="5"/>
  <c r="E33" i="5"/>
  <c r="O70" i="5"/>
  <c r="BA20" i="11"/>
  <c r="E26" i="5"/>
  <c r="D56" i="5"/>
  <c r="O45" i="5"/>
  <c r="E11" i="5"/>
  <c r="J61" i="5"/>
  <c r="T27" i="5"/>
  <c r="AS20" i="11"/>
  <c r="O49" i="5"/>
  <c r="T18" i="5"/>
  <c r="O51" i="5"/>
  <c r="S56" i="5"/>
  <c r="E68" i="5"/>
  <c r="D25" i="5"/>
  <c r="AK20" i="11"/>
  <c r="N57" i="5"/>
  <c r="D16" i="5"/>
  <c r="N72" i="5"/>
  <c r="J60" i="5"/>
  <c r="T45" i="5"/>
  <c r="N43" i="5"/>
  <c r="T71" i="5"/>
  <c r="I23" i="5"/>
  <c r="D26" i="5"/>
  <c r="I68" i="5"/>
  <c r="J26" i="5"/>
  <c r="N7" i="5"/>
  <c r="O67" i="5"/>
  <c r="N41" i="5"/>
  <c r="O43" i="5"/>
  <c r="O17" i="5"/>
  <c r="N34" i="5"/>
  <c r="N32" i="5"/>
  <c r="J41" i="5"/>
  <c r="S68" i="5"/>
  <c r="I57" i="5"/>
  <c r="T19" i="5"/>
  <c r="T58" i="5"/>
  <c r="J15" i="5"/>
  <c r="D73" i="5"/>
  <c r="O25" i="5"/>
  <c r="I25" i="5"/>
  <c r="E54" i="5"/>
  <c r="N59" i="5"/>
  <c r="N33" i="5"/>
  <c r="N67" i="5"/>
  <c r="D36" i="5"/>
  <c r="T17" i="5"/>
  <c r="E37" i="5"/>
  <c r="AK19" i="11"/>
  <c r="S50" i="5"/>
  <c r="J36" i="5"/>
  <c r="N36" i="5"/>
  <c r="O73" i="5"/>
  <c r="O32" i="5"/>
  <c r="D22" i="5"/>
  <c r="D70" i="5"/>
  <c r="E58" i="5"/>
  <c r="N31" i="5"/>
  <c r="N18" i="5"/>
  <c r="I52" i="5"/>
  <c r="T33" i="5"/>
  <c r="N54" i="5"/>
  <c r="T37" i="5"/>
  <c r="D53" i="5"/>
  <c r="E30" i="5"/>
  <c r="S60" i="5"/>
  <c r="J69" i="5"/>
  <c r="D8" i="5"/>
  <c r="D52" i="5"/>
  <c r="O75" i="5"/>
  <c r="S74" i="5"/>
  <c r="T41" i="5"/>
  <c r="S27" i="5"/>
  <c r="N49" i="5"/>
  <c r="AS27" i="11" s="1"/>
  <c r="N23" i="12" s="1"/>
  <c r="O23" i="12" s="1"/>
  <c r="N26" i="5"/>
  <c r="O36" i="5"/>
  <c r="S19" i="5"/>
  <c r="O40" i="5"/>
  <c r="S31" i="5"/>
  <c r="D40" i="5"/>
  <c r="I75" i="5"/>
  <c r="T7" i="5"/>
  <c r="O7" i="5"/>
  <c r="N58" i="5"/>
  <c r="O22" i="5"/>
  <c r="T30" i="5"/>
  <c r="I67" i="5"/>
  <c r="N8" i="5"/>
  <c r="S54" i="5"/>
  <c r="AC20" i="11"/>
  <c r="J32" i="5"/>
  <c r="E71" i="5"/>
  <c r="I45" i="5"/>
  <c r="D33" i="5"/>
  <c r="N68" i="5"/>
  <c r="S26" i="5"/>
  <c r="J34" i="5"/>
  <c r="J51" i="5"/>
  <c r="O50" i="5"/>
  <c r="I50" i="5"/>
  <c r="T51" i="5"/>
  <c r="E56" i="5"/>
  <c r="D18" i="5"/>
  <c r="J57" i="5"/>
  <c r="D30" i="5"/>
  <c r="D71" i="5"/>
  <c r="E51" i="5"/>
  <c r="D27" i="5"/>
  <c r="J75" i="5"/>
  <c r="S59" i="5"/>
  <c r="J71" i="5"/>
  <c r="I22" i="5"/>
  <c r="O74" i="5"/>
  <c r="N16" i="5"/>
  <c r="S41" i="5"/>
  <c r="D51" i="5"/>
  <c r="N37" i="5"/>
  <c r="D58" i="5"/>
  <c r="I37" i="5"/>
  <c r="N40" i="5"/>
  <c r="E41" i="5"/>
  <c r="I43" i="5"/>
  <c r="T60" i="5"/>
  <c r="I27" i="5"/>
  <c r="E35" i="5"/>
  <c r="E7" i="5"/>
  <c r="J68" i="5"/>
  <c r="S25" i="5"/>
  <c r="N25" i="5"/>
  <c r="I41" i="5"/>
  <c r="J35" i="5"/>
  <c r="I56" i="5"/>
  <c r="S36" i="5"/>
  <c r="J22" i="5"/>
  <c r="D34" i="5"/>
  <c r="S17" i="5"/>
  <c r="N73" i="5"/>
  <c r="I7" i="5"/>
  <c r="S53" i="5"/>
  <c r="I42" i="5"/>
  <c r="T42" i="5"/>
  <c r="T43" i="5"/>
  <c r="J24" i="5"/>
  <c r="S51" i="5"/>
  <c r="S61" i="5"/>
  <c r="O69" i="5"/>
  <c r="E61" i="5"/>
  <c r="S69" i="5"/>
  <c r="D41" i="5"/>
  <c r="N60" i="5"/>
  <c r="I12" i="5"/>
  <c r="E43" i="5"/>
  <c r="E8" i="5"/>
  <c r="T73" i="5"/>
  <c r="D23" i="5"/>
  <c r="I59" i="5"/>
  <c r="N30" i="5"/>
  <c r="J23" i="5"/>
  <c r="O72" i="5"/>
  <c r="N45" i="5"/>
  <c r="O57" i="5"/>
  <c r="T55" i="5"/>
  <c r="S8" i="5"/>
  <c r="D37" i="5"/>
  <c r="S12" i="5"/>
  <c r="E60" i="5"/>
  <c r="T56" i="5"/>
  <c r="E12" i="5"/>
  <c r="S37" i="5"/>
  <c r="S33" i="5"/>
  <c r="S45" i="5"/>
  <c r="I73" i="5"/>
  <c r="I60" i="5"/>
  <c r="E74" i="5"/>
  <c r="S57" i="5"/>
  <c r="T40" i="5"/>
  <c r="J54" i="5"/>
  <c r="E16" i="5"/>
  <c r="D57" i="5"/>
  <c r="AC19" i="11"/>
  <c r="I18" i="5"/>
  <c r="O61" i="5"/>
  <c r="I55" i="5"/>
  <c r="D55" i="5"/>
  <c r="I30" i="5"/>
  <c r="O37" i="5"/>
  <c r="J33" i="5"/>
  <c r="O54" i="5"/>
  <c r="S24" i="5"/>
  <c r="D17" i="5"/>
  <c r="E67" i="5"/>
  <c r="E59" i="5"/>
  <c r="D31" i="5"/>
  <c r="S40" i="5"/>
  <c r="T26" i="5"/>
  <c r="S35" i="5"/>
  <c r="S42" i="5"/>
  <c r="S23" i="5"/>
  <c r="O34" i="5"/>
  <c r="S32" i="5"/>
  <c r="D43" i="5"/>
  <c r="J53" i="5"/>
  <c r="D44" i="5"/>
  <c r="O52" i="5"/>
  <c r="J17" i="5"/>
  <c r="D11" i="5"/>
  <c r="BA19" i="11"/>
  <c r="E32" i="5"/>
  <c r="I35" i="5"/>
  <c r="N70" i="5"/>
  <c r="N12" i="5"/>
  <c r="S75" i="5"/>
  <c r="I15" i="5"/>
  <c r="O24" i="5"/>
  <c r="E73" i="5"/>
  <c r="N56" i="5"/>
  <c r="D74" i="5"/>
  <c r="T31" i="5"/>
  <c r="N19" i="5"/>
  <c r="I44" i="5"/>
  <c r="I8" i="5"/>
  <c r="N11" i="5"/>
  <c r="D45" i="5"/>
  <c r="N74" i="5"/>
  <c r="D35" i="5"/>
  <c r="S16" i="5"/>
  <c r="E31" i="5"/>
  <c r="I61" i="5"/>
  <c r="O42" i="5"/>
  <c r="T22" i="5"/>
  <c r="T70" i="5"/>
  <c r="T25" i="5"/>
  <c r="T16" i="5"/>
  <c r="D32" i="5"/>
  <c r="T74" i="5"/>
  <c r="N17" i="5"/>
  <c r="N35" i="5"/>
  <c r="S58" i="5"/>
  <c r="E17" i="5"/>
  <c r="O71" i="5"/>
  <c r="O68" i="5"/>
  <c r="N50" i="5"/>
  <c r="T35" i="5"/>
  <c r="T68" i="5"/>
  <c r="E70" i="5"/>
  <c r="N61" i="5"/>
  <c r="I32" i="5"/>
  <c r="I17" i="5"/>
  <c r="S43" i="5"/>
  <c r="E36" i="5"/>
  <c r="T59" i="5"/>
  <c r="I40" i="5"/>
  <c r="I36" i="5"/>
  <c r="J56" i="5"/>
  <c r="S7" i="5"/>
  <c r="D68" i="5"/>
  <c r="O27" i="5"/>
  <c r="I74" i="5"/>
  <c r="J44" i="5"/>
  <c r="S55" i="5"/>
  <c r="D15" i="5"/>
  <c r="E55" i="5"/>
  <c r="E49" i="5"/>
  <c r="O18" i="5"/>
  <c r="J12" i="5"/>
  <c r="J27" i="5"/>
  <c r="J19" i="5"/>
  <c r="AS19" i="11"/>
  <c r="N22" i="5"/>
  <c r="T54" i="5"/>
  <c r="E34" i="5"/>
  <c r="J37" i="5"/>
  <c r="E44" i="5"/>
  <c r="O26" i="5"/>
  <c r="I16" i="5"/>
  <c r="S49" i="5"/>
  <c r="S44" i="5"/>
  <c r="I54" i="5"/>
  <c r="I71" i="5"/>
  <c r="E27" i="5"/>
  <c r="N55" i="5"/>
  <c r="T32" i="5"/>
  <c r="T23" i="5"/>
  <c r="E45" i="5"/>
  <c r="S15" i="5"/>
  <c r="I69" i="5"/>
  <c r="O44" i="5"/>
  <c r="D75" i="5"/>
  <c r="D12" i="5"/>
  <c r="D42" i="5"/>
  <c r="O60" i="5"/>
  <c r="J50" i="5"/>
  <c r="J74" i="5"/>
  <c r="N69" i="5"/>
  <c r="N44" i="5"/>
  <c r="J40" i="5"/>
  <c r="T75" i="5"/>
  <c r="J7" i="5"/>
  <c r="N51" i="5"/>
  <c r="E19" i="5"/>
  <c r="N23" i="5"/>
  <c r="O19" i="5"/>
  <c r="S73" i="5"/>
  <c r="S72" i="5"/>
  <c r="J55" i="5"/>
  <c r="S52" i="5"/>
  <c r="J52" i="5"/>
  <c r="T67" i="5"/>
  <c r="I33" i="5"/>
  <c r="O8" i="5"/>
  <c r="S11" i="5"/>
  <c r="O53" i="5"/>
  <c r="D54" i="5"/>
  <c r="D19" i="5"/>
  <c r="T49" i="5"/>
  <c r="J30" i="5"/>
  <c r="D49" i="5"/>
  <c r="J16" i="5"/>
  <c r="D24" i="5"/>
  <c r="N71" i="5"/>
  <c r="D67" i="5"/>
  <c r="J70" i="5"/>
  <c r="I53" i="5"/>
  <c r="AK31" i="11" s="1"/>
  <c r="I51" i="5"/>
  <c r="AK35" i="11" s="1"/>
  <c r="O41" i="5"/>
  <c r="S18" i="5"/>
  <c r="N24" i="5"/>
  <c r="BW161" i="1"/>
  <c r="BW73" i="1"/>
  <c r="BW302" i="1"/>
  <c r="BW174" i="1"/>
  <c r="BW62" i="1"/>
  <c r="BW381" i="1"/>
  <c r="BW494" i="1"/>
  <c r="BW307" i="1"/>
  <c r="BW423" i="1"/>
  <c r="BW76" i="1"/>
  <c r="BW415" i="1"/>
  <c r="BW310" i="1"/>
  <c r="BW234" i="1"/>
  <c r="BW375" i="1"/>
  <c r="BW299" i="1"/>
  <c r="BW481" i="1"/>
  <c r="BW194" i="1"/>
  <c r="BW92" i="1"/>
  <c r="BW207" i="1"/>
  <c r="BW431" i="1"/>
  <c r="BW347" i="1"/>
  <c r="BW127" i="1"/>
  <c r="BW126" i="1"/>
  <c r="BW465" i="1"/>
  <c r="BW100" i="1"/>
  <c r="BW502" i="1"/>
  <c r="BW468" i="1"/>
  <c r="BW102" i="1"/>
  <c r="BW16" i="1"/>
  <c r="BW389" i="1"/>
  <c r="BW404" i="1"/>
  <c r="BW358" i="1"/>
  <c r="BW170" i="1"/>
  <c r="BW221" i="1"/>
  <c r="BW453" i="1"/>
  <c r="BW176" i="1"/>
  <c r="BW373" i="1"/>
  <c r="BW138" i="1"/>
  <c r="BW31" i="1"/>
  <c r="BW88" i="1"/>
  <c r="BW300" i="1"/>
  <c r="BW125" i="1"/>
  <c r="BW323" i="1"/>
  <c r="BW306" i="1"/>
  <c r="BW58" i="1"/>
  <c r="BW124" i="1"/>
  <c r="BW26" i="1"/>
  <c r="BW370" i="1"/>
  <c r="BW153" i="1"/>
  <c r="BW276" i="1"/>
  <c r="BW39" i="1"/>
  <c r="BW254" i="1"/>
  <c r="BW67" i="1"/>
  <c r="BW409" i="1"/>
  <c r="BW145" i="1"/>
  <c r="BW200" i="1"/>
  <c r="BW104" i="1"/>
  <c r="BW394" i="1"/>
  <c r="BW162" i="1"/>
  <c r="BW253" i="1"/>
  <c r="BW93" i="1"/>
  <c r="BW303" i="1"/>
  <c r="BW430" i="1"/>
  <c r="BW340" i="1"/>
  <c r="BW77" i="1"/>
  <c r="BW326" i="1"/>
  <c r="BW305" i="1"/>
  <c r="BW406" i="1"/>
  <c r="BW339" i="1"/>
  <c r="BW379" i="1"/>
  <c r="BW427" i="1"/>
  <c r="BW416" i="1"/>
  <c r="BW177" i="1"/>
  <c r="BW223" i="1"/>
  <c r="BW355" i="1"/>
  <c r="BW151" i="1"/>
  <c r="BW19" i="1"/>
  <c r="BW232" i="1"/>
  <c r="BW259" i="1"/>
  <c r="BW37" i="1"/>
  <c r="BW451" i="1"/>
  <c r="BW155" i="1"/>
  <c r="BW25" i="1"/>
  <c r="BW252" i="1"/>
  <c r="BW20" i="1"/>
  <c r="BW342" i="1"/>
  <c r="BW353" i="1"/>
  <c r="BW55" i="1"/>
  <c r="BW492" i="1"/>
  <c r="BW21" i="1"/>
  <c r="BW185" i="1"/>
  <c r="BW363" i="1"/>
  <c r="BW329" i="1"/>
  <c r="BW478" i="1"/>
  <c r="BW231" i="1"/>
  <c r="BW393" i="1"/>
  <c r="BW30" i="1"/>
  <c r="BW443" i="1"/>
  <c r="BW368" i="1"/>
  <c r="BW473" i="1"/>
  <c r="BW137" i="1"/>
  <c r="BW183" i="1"/>
  <c r="BW17" i="1"/>
  <c r="BW328" i="1"/>
  <c r="BW208" i="1"/>
  <c r="BW218" i="1"/>
  <c r="BW414" i="1"/>
  <c r="BW107" i="1"/>
  <c r="BW15" i="1"/>
  <c r="BW117" i="1"/>
  <c r="BW217" i="1"/>
  <c r="BW242" i="1"/>
  <c r="BW110" i="1"/>
  <c r="BW209" i="1"/>
  <c r="BW384" i="1"/>
  <c r="BW464" i="1"/>
  <c r="BW22" i="1"/>
  <c r="BW238" i="1"/>
  <c r="BW54" i="1"/>
  <c r="BW457" i="1"/>
  <c r="BW485" i="1"/>
  <c r="BW250" i="1"/>
  <c r="BW446" i="1"/>
  <c r="BW181" i="1"/>
  <c r="BW220" i="1"/>
  <c r="BW101" i="1"/>
  <c r="BW32" i="1"/>
  <c r="BW114" i="1"/>
  <c r="BW319" i="1"/>
  <c r="BW120" i="1"/>
  <c r="BW199" i="1"/>
  <c r="BW103" i="1"/>
  <c r="BW297" i="1"/>
  <c r="BW230" i="1"/>
  <c r="BW459" i="1"/>
  <c r="BW8" i="1"/>
  <c r="BW78" i="1"/>
  <c r="BW262" i="1"/>
  <c r="BW288" i="1"/>
  <c r="BW44" i="1"/>
  <c r="BW112" i="1"/>
  <c r="BW72" i="1"/>
  <c r="BW435" i="1"/>
  <c r="BW439" i="1"/>
  <c r="BW157" i="1"/>
  <c r="BW437" i="1"/>
  <c r="BW255" i="1"/>
  <c r="BW487" i="1"/>
  <c r="BW248" i="1"/>
  <c r="BW420" i="1"/>
  <c r="BW70" i="1"/>
  <c r="BW357" i="1"/>
  <c r="BW293" i="1"/>
  <c r="BW94" i="1"/>
  <c r="BW497" i="1"/>
  <c r="BW278" i="1"/>
  <c r="BW172" i="1"/>
  <c r="BW130" i="1"/>
  <c r="BW205" i="1"/>
  <c r="BW6" i="1"/>
  <c r="BW134" i="1"/>
  <c r="BW133" i="1"/>
  <c r="BW203" i="1"/>
  <c r="BW298" i="1"/>
  <c r="BW418" i="1"/>
  <c r="BW260" i="1"/>
  <c r="BW489" i="1"/>
  <c r="BW503" i="1"/>
  <c r="BW79" i="1"/>
  <c r="BW283" i="1"/>
  <c r="BW91" i="1"/>
  <c r="BW258" i="1"/>
  <c r="BW402" i="1"/>
  <c r="BW308" i="1"/>
  <c r="BW69" i="1"/>
  <c r="BW81" i="1"/>
  <c r="BW149" i="1"/>
  <c r="BW97" i="1"/>
  <c r="BW359" i="1"/>
  <c r="BW251" i="1"/>
  <c r="BW9" i="1"/>
  <c r="BW271" i="1"/>
  <c r="BW263" i="1"/>
  <c r="BW89" i="1"/>
  <c r="BW387" i="1"/>
  <c r="BW477" i="1"/>
  <c r="BW57" i="1"/>
  <c r="BW467" i="1"/>
  <c r="BW372" i="1"/>
  <c r="BW296" i="1"/>
  <c r="BW49" i="1"/>
  <c r="BW495" i="1"/>
  <c r="BW213" i="1"/>
  <c r="BW434" i="1"/>
  <c r="BW272" i="1"/>
  <c r="BW498" i="1"/>
  <c r="BW290" i="1"/>
  <c r="BW158" i="1"/>
  <c r="BW317" i="1"/>
  <c r="BW84" i="1"/>
  <c r="BW376" i="1"/>
  <c r="BW428" i="1"/>
  <c r="BW281" i="1"/>
  <c r="BW249" i="1"/>
  <c r="BW182" i="1"/>
  <c r="BW95" i="1"/>
  <c r="BW132" i="1"/>
  <c r="BW392" i="1"/>
  <c r="BW202" i="1"/>
  <c r="BW186" i="1"/>
  <c r="BW173" i="1"/>
  <c r="BW419" i="1"/>
  <c r="BW499" i="1"/>
  <c r="BW480" i="1"/>
  <c r="BW60" i="1"/>
  <c r="BW279" i="1"/>
  <c r="BW371" i="1"/>
  <c r="BW46" i="1"/>
  <c r="BW282" i="1"/>
  <c r="BW277" i="1"/>
  <c r="BW424" i="1"/>
  <c r="BW191" i="1"/>
  <c r="BW367" i="1"/>
  <c r="BW391" i="1"/>
  <c r="BW188" i="1"/>
  <c r="BW318" i="1"/>
  <c r="BW41" i="1"/>
  <c r="BW380" i="1"/>
  <c r="BW245" i="1"/>
  <c r="BW486" i="1"/>
  <c r="BW228" i="1"/>
  <c r="BW314" i="1"/>
  <c r="BW215" i="1"/>
  <c r="BW458" i="1"/>
  <c r="BW275" i="1"/>
  <c r="BW377" i="1"/>
  <c r="BW7" i="1"/>
  <c r="BW338" i="1"/>
  <c r="BW395" i="1"/>
  <c r="BW167" i="1"/>
  <c r="BW445" i="1"/>
  <c r="BW501" i="1"/>
  <c r="BW237" i="1"/>
  <c r="BW10" i="1"/>
  <c r="BW399" i="1"/>
  <c r="BW47" i="1"/>
  <c r="BW147" i="1"/>
  <c r="BW401" i="1"/>
  <c r="BW50" i="1"/>
  <c r="BW148" i="1"/>
  <c r="BW193" i="1"/>
  <c r="BW413" i="1"/>
  <c r="BW64" i="1"/>
  <c r="BW450" i="1"/>
  <c r="BW466" i="1"/>
  <c r="BW350" i="1"/>
  <c r="BW301" i="1"/>
  <c r="BW18" i="1"/>
  <c r="BW156" i="1"/>
  <c r="BW421" i="1"/>
  <c r="BW115" i="1"/>
  <c r="BW364" i="1"/>
  <c r="BW343" i="1"/>
  <c r="BW460" i="1"/>
  <c r="BW504" i="1"/>
  <c r="BW187" i="1"/>
  <c r="BW210" i="1"/>
  <c r="BW136" i="1"/>
  <c r="BW351" i="1"/>
  <c r="BW118" i="1"/>
  <c r="BW500" i="1"/>
  <c r="BW311" i="1"/>
  <c r="BW166" i="1"/>
  <c r="BW476" i="1"/>
  <c r="BW144" i="1"/>
  <c r="BW374" i="1"/>
  <c r="BW68" i="1"/>
  <c r="BW131" i="1"/>
  <c r="BW261" i="1"/>
  <c r="BW444" i="1"/>
  <c r="BW82" i="1"/>
  <c r="BW74" i="1"/>
  <c r="BW247" i="1"/>
  <c r="BW285" i="1"/>
  <c r="BW201" i="1"/>
  <c r="BW344" i="1"/>
  <c r="BW294" i="1"/>
  <c r="BW280" i="1"/>
  <c r="BW493" i="1"/>
  <c r="BW422" i="1"/>
  <c r="BW267" i="1"/>
  <c r="BW410" i="1"/>
  <c r="BW360" i="1"/>
  <c r="BW426" i="1"/>
  <c r="BW29" i="1"/>
  <c r="BW382" i="1"/>
  <c r="BW224" i="1"/>
  <c r="BW109" i="1"/>
  <c r="BW352" i="1"/>
  <c r="BW336" i="1"/>
  <c r="BW5" i="1"/>
  <c r="BW206" i="1"/>
  <c r="BW436" i="1"/>
  <c r="BW295" i="1"/>
  <c r="BW287" i="1"/>
  <c r="BW366" i="1"/>
  <c r="BW365" i="1"/>
  <c r="BW179" i="1"/>
  <c r="BW442" i="1"/>
  <c r="BW121" i="1"/>
  <c r="BW390" i="1"/>
  <c r="BW246" i="1"/>
  <c r="BW28" i="1"/>
  <c r="BW292" i="1"/>
  <c r="BW378" i="1"/>
  <c r="BW397" i="1"/>
  <c r="BW484" i="1"/>
  <c r="BW219" i="1"/>
  <c r="BW354" i="1"/>
  <c r="BW321" i="1"/>
  <c r="BW23" i="1"/>
  <c r="BW240" i="1"/>
  <c r="BW345" i="1"/>
  <c r="BW165" i="1"/>
  <c r="BW99" i="1"/>
  <c r="BW45" i="1"/>
  <c r="BW65" i="1"/>
  <c r="BW33" i="1"/>
  <c r="BW85" i="1"/>
  <c r="BW244" i="1"/>
  <c r="BW284" i="1"/>
  <c r="BW204" i="1"/>
  <c r="BW48" i="1"/>
  <c r="BW12" i="1"/>
  <c r="BW309" i="1"/>
  <c r="BW400" i="1"/>
  <c r="BW150" i="1"/>
  <c r="BW433" i="1"/>
  <c r="BW341" i="1"/>
  <c r="BW216" i="1"/>
  <c r="BW83" i="1"/>
  <c r="BW304" i="1"/>
  <c r="BW180" i="1"/>
  <c r="BW369" i="1"/>
  <c r="BW470" i="1"/>
  <c r="BW42" i="1"/>
  <c r="BW452" i="1"/>
  <c r="BW432" i="1"/>
  <c r="BW196" i="1"/>
  <c r="BW429" i="1"/>
  <c r="BW51" i="1"/>
  <c r="BW482" i="1"/>
  <c r="BW87" i="1"/>
  <c r="BW461" i="1"/>
  <c r="BW313" i="1"/>
  <c r="BW325" i="1"/>
  <c r="BW113" i="1"/>
  <c r="BW212" i="1"/>
  <c r="BW175" i="1"/>
  <c r="BW13" i="1"/>
  <c r="BW171" i="1"/>
  <c r="BW56" i="1"/>
  <c r="BW324" i="1"/>
  <c r="BW388" i="1"/>
  <c r="BW411" i="1"/>
  <c r="BW195" i="1"/>
  <c r="BW38" i="1"/>
  <c r="BW105" i="1"/>
  <c r="BW335" i="1"/>
  <c r="BW269" i="1"/>
  <c r="BW320" i="1"/>
  <c r="BW14" i="1"/>
  <c r="BW80" i="1"/>
  <c r="BW266" i="1"/>
  <c r="BW398" i="1"/>
  <c r="BW407" i="1"/>
  <c r="BW273" i="1"/>
  <c r="BW456" i="1"/>
  <c r="BW53" i="1"/>
  <c r="BW168" i="1"/>
  <c r="BW315" i="1"/>
  <c r="BW356" i="1"/>
  <c r="BW142" i="1"/>
  <c r="BW312" i="1"/>
  <c r="BW160" i="1"/>
  <c r="BW337" i="1"/>
  <c r="BW178" i="1"/>
  <c r="BW405" i="1"/>
  <c r="BW98" i="1"/>
  <c r="BW140" i="1"/>
  <c r="BW474" i="1"/>
  <c r="BW106" i="1"/>
  <c r="BW483" i="1"/>
  <c r="BW225" i="1"/>
  <c r="BW334" i="1"/>
  <c r="BW462" i="1"/>
  <c r="BW471" i="1"/>
  <c r="BW27" i="1"/>
  <c r="BW346" i="1"/>
  <c r="BW289" i="1"/>
  <c r="BW164" i="1"/>
  <c r="BW34" i="1"/>
  <c r="BW197" i="1"/>
  <c r="BW152" i="1"/>
  <c r="BW265" i="1"/>
  <c r="BW75" i="1"/>
  <c r="BW440" i="1"/>
  <c r="BW268" i="1"/>
  <c r="BW90" i="1"/>
  <c r="BW330" i="1"/>
  <c r="BW361" i="1"/>
  <c r="BW154" i="1"/>
  <c r="BW403" i="1"/>
  <c r="BW454" i="1"/>
  <c r="BW286" i="1"/>
  <c r="BW386" i="1"/>
  <c r="BW143" i="1"/>
  <c r="BW385" i="1"/>
  <c r="BW348" i="1"/>
  <c r="BW36" i="1"/>
  <c r="BW316" i="1"/>
  <c r="BW227" i="1"/>
  <c r="BW190" i="1"/>
  <c r="BW491" i="1"/>
  <c r="BW396" i="1"/>
  <c r="BW71" i="1"/>
  <c r="BW111" i="1"/>
  <c r="BW226" i="1"/>
  <c r="BW233" i="1"/>
  <c r="BW86" i="1"/>
  <c r="BW229" i="1"/>
  <c r="BW362" i="1"/>
  <c r="BW35" i="1"/>
  <c r="BW59" i="1"/>
  <c r="BW256" i="1"/>
  <c r="BW383" i="1"/>
  <c r="BW349" i="1"/>
  <c r="BW257" i="1"/>
  <c r="BW236" i="1"/>
  <c r="BW469" i="1"/>
  <c r="BW159" i="1"/>
  <c r="BW264" i="1"/>
  <c r="BW235" i="1"/>
  <c r="BW184" i="1"/>
  <c r="BW129" i="1"/>
  <c r="BW441" i="1"/>
  <c r="BW448" i="1"/>
  <c r="BW332" i="1"/>
  <c r="BW123" i="1"/>
  <c r="BW61" i="1"/>
  <c r="BW40" i="1"/>
  <c r="BW447" i="1"/>
  <c r="BW270" i="1"/>
  <c r="BW189" i="1"/>
  <c r="BW122" i="1"/>
  <c r="BW135" i="1"/>
  <c r="BW417" i="1"/>
  <c r="BW322" i="1"/>
  <c r="BW214" i="1"/>
  <c r="BW463" i="1"/>
  <c r="BW241" i="1"/>
  <c r="BW222" i="1"/>
  <c r="BW169" i="1"/>
  <c r="BW488" i="1"/>
  <c r="BW24" i="1"/>
  <c r="BW139" i="1"/>
  <c r="BW198" i="1"/>
  <c r="BW146" i="1"/>
  <c r="BW96" i="1"/>
  <c r="BW496" i="1"/>
  <c r="BW211" i="1"/>
  <c r="BW141" i="1"/>
  <c r="BW331" i="1"/>
  <c r="BW425" i="1"/>
  <c r="BW472" i="1"/>
  <c r="BW66" i="1"/>
  <c r="BW291" i="1"/>
  <c r="BW11" i="1"/>
  <c r="BW108" i="1"/>
  <c r="BW116" i="1"/>
  <c r="BW479" i="1"/>
  <c r="BW239" i="1"/>
  <c r="BW449" i="1"/>
  <c r="BW438" i="1"/>
  <c r="BW408" i="1"/>
  <c r="BW455" i="1"/>
  <c r="BW128" i="1"/>
  <c r="BW475" i="1"/>
  <c r="BW43" i="1"/>
  <c r="BW243" i="1"/>
  <c r="BW274" i="1"/>
  <c r="BW63" i="1"/>
  <c r="BW192" i="1"/>
  <c r="BW52" i="1"/>
  <c r="BW163" i="1"/>
  <c r="BW412" i="1"/>
  <c r="BW327" i="1"/>
  <c r="BW119" i="1"/>
  <c r="BW333" i="1"/>
  <c r="BW490" i="1"/>
  <c r="T62" i="5" l="1" a="1"/>
  <c r="T62" i="5" s="1"/>
  <c r="N62" i="5" a="1"/>
  <c r="N62" i="5" s="1"/>
  <c r="O63" i="5" a="1"/>
  <c r="O63" i="5" s="1"/>
  <c r="J62" i="5" a="1"/>
  <c r="J62" i="5" s="1"/>
  <c r="D63" i="5" a="1"/>
  <c r="D63" i="5" s="1"/>
  <c r="D62" i="5" a="1"/>
  <c r="D62" i="5" s="1"/>
  <c r="N63" i="5" a="1"/>
  <c r="N63" i="5" s="1"/>
  <c r="J63" i="5" a="1"/>
  <c r="J63" i="5" s="1"/>
  <c r="I63" i="5" a="1"/>
  <c r="I63" i="5" s="1"/>
  <c r="E62" i="5" a="1"/>
  <c r="E62" i="5" s="1"/>
  <c r="E63" i="5" a="1"/>
  <c r="E63" i="5" s="1"/>
  <c r="O62" i="5" a="1"/>
  <c r="O62" i="5" s="1"/>
  <c r="I62" i="5" a="1"/>
  <c r="I62" i="5" s="1"/>
  <c r="T63" i="5" a="1"/>
  <c r="T63" i="5" s="1"/>
  <c r="S63" i="5" a="1"/>
  <c r="S63" i="5" s="1"/>
  <c r="X63" i="5" s="1"/>
  <c r="S62" i="5" a="1"/>
  <c r="S62" i="5" s="1"/>
  <c r="X62" i="5" s="1"/>
  <c r="BW505" i="1"/>
  <c r="A1" i="13" a="1"/>
  <c r="H167" i="13" s="1"/>
  <c r="X36" i="5"/>
  <c r="Z36" i="5" s="1"/>
  <c r="X42" i="5"/>
  <c r="Z42" i="5" s="1"/>
  <c r="X19" i="5"/>
  <c r="X67" i="5"/>
  <c r="Z67" i="5" s="1"/>
  <c r="X12" i="5"/>
  <c r="Z12" i="5" s="1"/>
  <c r="X68" i="5"/>
  <c r="Z68" i="5" s="1"/>
  <c r="X57" i="5"/>
  <c r="X32" i="5"/>
  <c r="Z32" i="5" s="1"/>
  <c r="X17" i="5"/>
  <c r="X71" i="5"/>
  <c r="Z71" i="5" s="1"/>
  <c r="BA40" i="11"/>
  <c r="BA39" i="11"/>
  <c r="Z17" i="5"/>
  <c r="Y17" i="5"/>
  <c r="X58" i="5"/>
  <c r="E12" i="12"/>
  <c r="F12" i="12" s="1"/>
  <c r="N2" i="7"/>
  <c r="Y12" i="5"/>
  <c r="X15" i="5"/>
  <c r="X35" i="5"/>
  <c r="Z35" i="5" s="1"/>
  <c r="X74" i="5"/>
  <c r="X43" i="5"/>
  <c r="X30" i="5"/>
  <c r="Z30" i="5" s="1"/>
  <c r="H11" i="12"/>
  <c r="I11" i="12" s="1"/>
  <c r="BX2" i="7"/>
  <c r="AK21" i="11"/>
  <c r="X25" i="5"/>
  <c r="Z25" i="5" s="1"/>
  <c r="X72" i="5"/>
  <c r="X60" i="5"/>
  <c r="N116" i="13"/>
  <c r="T131" i="13"/>
  <c r="L318" i="13"/>
  <c r="L132" i="13"/>
  <c r="P113" i="13"/>
  <c r="BA69" i="13"/>
  <c r="X6" i="13"/>
  <c r="AR67" i="13"/>
  <c r="BP148" i="13"/>
  <c r="AF91" i="13"/>
  <c r="BJ151" i="13"/>
  <c r="BC41" i="13"/>
  <c r="J256" i="13"/>
  <c r="F35" i="13"/>
  <c r="BK46" i="13"/>
  <c r="H25" i="13"/>
  <c r="N9" i="13"/>
  <c r="K91" i="13"/>
  <c r="BS126" i="13"/>
  <c r="BA38" i="13"/>
  <c r="BR39" i="13"/>
  <c r="BF47" i="13"/>
  <c r="AR52" i="13"/>
  <c r="N208" i="13"/>
  <c r="BC122" i="13"/>
  <c r="C64" i="13"/>
  <c r="O107" i="13"/>
  <c r="AL111" i="13"/>
  <c r="AC72" i="13"/>
  <c r="BL33" i="13"/>
  <c r="AT176" i="13"/>
  <c r="BK95" i="13"/>
  <c r="G44" i="13"/>
  <c r="AP31" i="13"/>
  <c r="R153" i="13"/>
  <c r="AE137" i="13"/>
  <c r="K47" i="13"/>
  <c r="AO84" i="13"/>
  <c r="AU48" i="13"/>
  <c r="B55" i="13"/>
  <c r="AS73" i="13"/>
  <c r="BH47" i="13"/>
  <c r="BK144" i="13"/>
  <c r="S29" i="13"/>
  <c r="BF54" i="13"/>
  <c r="AT287" i="13"/>
  <c r="BV270" i="13"/>
  <c r="K44" i="13"/>
  <c r="W73" i="13"/>
  <c r="H204" i="13"/>
  <c r="P317" i="13"/>
  <c r="AC62" i="13"/>
  <c r="AF32" i="13"/>
  <c r="BI10" i="13"/>
  <c r="BT10" i="13"/>
  <c r="BB58" i="13"/>
  <c r="BU40" i="13"/>
  <c r="P101" i="13"/>
  <c r="AE43" i="13"/>
  <c r="Q29" i="13"/>
  <c r="J62" i="13"/>
  <c r="BM223" i="13"/>
  <c r="BG109" i="13"/>
  <c r="S435" i="13"/>
  <c r="AE22" i="13"/>
  <c r="Y81" i="13"/>
  <c r="BJ54" i="13"/>
  <c r="BN69" i="13"/>
  <c r="AI79" i="13"/>
  <c r="AW95" i="13"/>
  <c r="S134" i="13"/>
  <c r="BE48" i="13"/>
  <c r="BV94" i="13"/>
  <c r="K119" i="13"/>
  <c r="BL126" i="13"/>
  <c r="AQ66" i="13"/>
  <c r="BW45" i="13"/>
  <c r="BM154" i="13"/>
  <c r="AS183" i="13"/>
  <c r="BQ70" i="13"/>
  <c r="AX119" i="13"/>
  <c r="BH74" i="13"/>
  <c r="O64" i="13"/>
  <c r="AV219" i="13"/>
  <c r="BT26" i="13"/>
  <c r="C38" i="13"/>
  <c r="AG37" i="13"/>
  <c r="X26" i="13"/>
  <c r="G107" i="13"/>
  <c r="AH54" i="13"/>
  <c r="AF269" i="13"/>
  <c r="G5" i="13"/>
  <c r="BI70" i="13"/>
  <c r="Z62" i="13"/>
  <c r="BG91" i="13"/>
  <c r="AW20" i="13"/>
  <c r="V58" i="13"/>
  <c r="AW90" i="13"/>
  <c r="AW139" i="13"/>
  <c r="BK42" i="13"/>
  <c r="AA92" i="13"/>
  <c r="Z38" i="13"/>
  <c r="C79" i="13"/>
  <c r="AX21" i="13"/>
  <c r="BD32" i="13"/>
  <c r="BG345" i="13"/>
  <c r="AO67" i="13"/>
  <c r="AM112" i="13"/>
  <c r="BU164" i="13"/>
  <c r="H7" i="13"/>
  <c r="U134" i="13"/>
  <c r="K55" i="13"/>
  <c r="BO160" i="13"/>
  <c r="AI115" i="13"/>
  <c r="BC105" i="13"/>
  <c r="Q108" i="13"/>
  <c r="P141" i="13"/>
  <c r="BD186" i="13"/>
  <c r="BH63" i="13"/>
  <c r="B467" i="13"/>
  <c r="AN40" i="13"/>
  <c r="BC136" i="13"/>
  <c r="E46" i="13"/>
  <c r="V113" i="13"/>
  <c r="AO184" i="13"/>
  <c r="X43" i="13"/>
  <c r="BH64" i="13"/>
  <c r="AJ126" i="13"/>
  <c r="N385" i="13"/>
  <c r="AV72" i="13"/>
  <c r="BP35" i="13"/>
  <c r="AB36" i="13"/>
  <c r="BB48" i="13"/>
  <c r="BL77" i="13"/>
  <c r="AV36" i="13"/>
  <c r="BV150" i="13"/>
  <c r="A78" i="13"/>
  <c r="AM36" i="13"/>
  <c r="BW160" i="13"/>
  <c r="O81" i="13"/>
  <c r="BF158" i="13"/>
  <c r="E50" i="13"/>
  <c r="BR245" i="13"/>
  <c r="BF100" i="13"/>
  <c r="AI317" i="13"/>
  <c r="BT22" i="13"/>
  <c r="AT14" i="13"/>
  <c r="M133" i="13"/>
  <c r="AQ97" i="13"/>
  <c r="AK56" i="13"/>
  <c r="AY153" i="13"/>
  <c r="K35" i="13"/>
  <c r="AJ26" i="13"/>
  <c r="AX81" i="13"/>
  <c r="AK41" i="13"/>
  <c r="BD305" i="13"/>
  <c r="AA55" i="13"/>
  <c r="AZ496" i="13"/>
  <c r="W95" i="13"/>
  <c r="AZ40" i="13"/>
  <c r="K46" i="13"/>
  <c r="C63" i="13"/>
  <c r="AP212" i="13"/>
  <c r="BV135" i="13"/>
  <c r="X97" i="13"/>
  <c r="I74" i="13"/>
  <c r="BV118" i="13"/>
  <c r="BS83" i="13"/>
  <c r="AH205" i="13"/>
  <c r="BC107" i="13"/>
  <c r="AK58" i="13"/>
  <c r="V38" i="13"/>
  <c r="AR124" i="13"/>
  <c r="N268" i="13"/>
  <c r="BH27" i="13"/>
  <c r="BD73" i="13"/>
  <c r="BN54" i="13"/>
  <c r="H55" i="13"/>
  <c r="D200" i="13"/>
  <c r="BF161" i="13"/>
  <c r="Q75" i="13"/>
  <c r="AU47" i="13"/>
  <c r="A183" i="13"/>
  <c r="AF141" i="13"/>
  <c r="AB214" i="13"/>
  <c r="BT258" i="13"/>
  <c r="AD398" i="13"/>
  <c r="R80" i="13"/>
  <c r="AF69" i="13"/>
  <c r="P27" i="13"/>
  <c r="AO27" i="13"/>
  <c r="J132" i="13"/>
  <c r="T294" i="13"/>
  <c r="BM31" i="13"/>
  <c r="BF71" i="13"/>
  <c r="AP50" i="13"/>
  <c r="D124" i="13"/>
  <c r="I98" i="13"/>
  <c r="AS2" i="13"/>
  <c r="BP339" i="13"/>
  <c r="AZ20" i="13"/>
  <c r="BJ25" i="13"/>
  <c r="C24" i="13"/>
  <c r="P48" i="13"/>
  <c r="W238" i="13"/>
  <c r="B173" i="13"/>
  <c r="AS150" i="13"/>
  <c r="D132" i="13"/>
  <c r="AQ192" i="13"/>
  <c r="BS120" i="13"/>
  <c r="AM166" i="13"/>
  <c r="AH169" i="13"/>
  <c r="BJ121" i="13"/>
  <c r="BG144" i="13"/>
  <c r="BE228" i="13"/>
  <c r="S226" i="13"/>
  <c r="AB118" i="13"/>
  <c r="BO43" i="13"/>
  <c r="G37" i="13"/>
  <c r="BP55" i="13"/>
  <c r="BS51" i="13"/>
  <c r="Z143" i="13"/>
  <c r="AD17" i="13"/>
  <c r="AE25" i="13"/>
  <c r="BP62" i="13"/>
  <c r="Z36" i="13"/>
  <c r="BI141" i="13"/>
  <c r="BW212" i="13"/>
  <c r="T32" i="13"/>
  <c r="AI68" i="13"/>
  <c r="AO37" i="13"/>
  <c r="AL302" i="13"/>
  <c r="B147" i="13"/>
  <c r="AF63" i="13"/>
  <c r="C51" i="13"/>
  <c r="AB202" i="13"/>
  <c r="A310" i="13"/>
  <c r="W367" i="13"/>
  <c r="BK115" i="13"/>
  <c r="BA99" i="13"/>
  <c r="F402" i="13"/>
  <c r="AW35" i="13"/>
  <c r="BR139" i="13"/>
  <c r="L219" i="13"/>
  <c r="J171" i="13"/>
  <c r="AA103" i="13"/>
  <c r="Q119" i="13"/>
  <c r="Y136" i="13"/>
  <c r="F34" i="13"/>
  <c r="AR160" i="13"/>
  <c r="N50" i="13"/>
  <c r="AZ126" i="13"/>
  <c r="BG149" i="13"/>
  <c r="AW179" i="13"/>
  <c r="AQ52" i="13"/>
  <c r="AZ497" i="13"/>
  <c r="BV17" i="13"/>
  <c r="BU117" i="13"/>
  <c r="G106" i="13"/>
  <c r="AX42" i="13"/>
  <c r="E109" i="13"/>
  <c r="AM21" i="13"/>
  <c r="D53" i="13"/>
  <c r="I42" i="13"/>
  <c r="AS64" i="13"/>
  <c r="J63" i="13"/>
  <c r="BK128" i="13"/>
  <c r="V248" i="13"/>
  <c r="AA371" i="13"/>
  <c r="L42" i="13"/>
  <c r="BW122" i="13"/>
  <c r="AT70" i="13"/>
  <c r="Q62" i="13"/>
  <c r="O159" i="13"/>
  <c r="M70" i="13"/>
  <c r="AY67" i="13"/>
  <c r="BO174" i="13"/>
  <c r="BQ81" i="13"/>
  <c r="R52" i="13"/>
  <c r="I70" i="13"/>
  <c r="BU55" i="13"/>
  <c r="Z101" i="13"/>
  <c r="AX24" i="13"/>
  <c r="BK109" i="13"/>
  <c r="AI245" i="13"/>
  <c r="V124" i="13"/>
  <c r="BQ20" i="13"/>
  <c r="BR118" i="13"/>
  <c r="Q50" i="13"/>
  <c r="BU82" i="13"/>
  <c r="AR57" i="13"/>
  <c r="BE72" i="13"/>
  <c r="Q5" i="13"/>
  <c r="BF84" i="13"/>
  <c r="BS147" i="13"/>
  <c r="H96" i="13"/>
  <c r="A196" i="13"/>
  <c r="L247" i="13"/>
  <c r="AR88" i="13"/>
  <c r="AH179" i="13"/>
  <c r="M8" i="13"/>
  <c r="AZ114" i="13"/>
  <c r="C33" i="13"/>
  <c r="K42" i="13"/>
  <c r="AT90" i="13"/>
  <c r="F80" i="13"/>
  <c r="L45" i="13"/>
  <c r="E34" i="13"/>
  <c r="N22" i="13"/>
  <c r="BG443" i="13"/>
  <c r="Q92" i="13"/>
  <c r="BP50" i="13"/>
  <c r="AD65" i="13"/>
  <c r="BR54" i="13"/>
  <c r="F20" i="13"/>
  <c r="S166" i="13"/>
  <c r="BE54" i="13"/>
  <c r="A107" i="13"/>
  <c r="BN30" i="13"/>
  <c r="AS100" i="13"/>
  <c r="BV110" i="13"/>
  <c r="BA80" i="13"/>
  <c r="AP150" i="13"/>
  <c r="BS166" i="13"/>
  <c r="BW48" i="13"/>
  <c r="BQ94" i="13"/>
  <c r="A56" i="13"/>
  <c r="AC51" i="13"/>
  <c r="R149" i="13"/>
  <c r="BQ54" i="13"/>
  <c r="AD83" i="13"/>
  <c r="BM191" i="13"/>
  <c r="AD112" i="13"/>
  <c r="F389" i="13"/>
  <c r="BQ16" i="13"/>
  <c r="BO42" i="13"/>
  <c r="Y73" i="13"/>
  <c r="H44" i="13"/>
  <c r="BG64" i="13"/>
  <c r="AQ112" i="13"/>
  <c r="BQ170" i="13"/>
  <c r="BT328" i="13"/>
  <c r="AA48" i="13"/>
  <c r="BT154" i="13"/>
  <c r="AS317" i="13"/>
  <c r="M130" i="13"/>
  <c r="AB48" i="13"/>
  <c r="BW103" i="13"/>
  <c r="AI72" i="13"/>
  <c r="Y131" i="13"/>
  <c r="BT57" i="13"/>
  <c r="BF108" i="13"/>
  <c r="K108" i="13"/>
  <c r="BU120" i="13"/>
  <c r="Q233" i="13"/>
  <c r="AL372" i="13"/>
  <c r="AJ61" i="13"/>
  <c r="BB95" i="13"/>
  <c r="AD50" i="13"/>
  <c r="BK55" i="13"/>
  <c r="G47" i="13"/>
  <c r="BR216" i="13"/>
  <c r="AP26" i="13"/>
  <c r="D71" i="13"/>
  <c r="Z228" i="13"/>
  <c r="C101" i="13"/>
  <c r="AI208" i="13"/>
  <c r="BL78" i="13"/>
  <c r="B213" i="13"/>
  <c r="AM65" i="13"/>
  <c r="AD48" i="13"/>
  <c r="K67" i="13"/>
  <c r="AY61" i="13"/>
  <c r="Q91" i="13"/>
  <c r="AU40" i="13"/>
  <c r="BR128" i="13"/>
  <c r="AF92" i="13"/>
  <c r="R64" i="13"/>
  <c r="BU44" i="13"/>
  <c r="B98" i="13"/>
  <c r="H73" i="13"/>
  <c r="I41" i="13"/>
  <c r="BG42" i="13"/>
  <c r="BK31" i="13"/>
  <c r="AT159" i="13"/>
  <c r="Z102" i="13"/>
  <c r="BL34" i="13"/>
  <c r="M42" i="13"/>
  <c r="BW156" i="13"/>
  <c r="BT104" i="13"/>
  <c r="BR35" i="13"/>
  <c r="E440" i="13"/>
  <c r="A48" i="13"/>
  <c r="AA257" i="13"/>
  <c r="AS60" i="13"/>
  <c r="AM87" i="13"/>
  <c r="AK275" i="13"/>
  <c r="U208" i="13"/>
  <c r="BH78" i="13"/>
  <c r="Q25" i="13"/>
  <c r="BG177" i="13"/>
  <c r="AT248" i="13"/>
  <c r="AQ73" i="13"/>
  <c r="P210" i="13"/>
  <c r="BJ23" i="13"/>
  <c r="BD215" i="13"/>
  <c r="BG32" i="13"/>
  <c r="AN51" i="13"/>
  <c r="BA394" i="13"/>
  <c r="BM107" i="13"/>
  <c r="BS248" i="13"/>
  <c r="AF93" i="13"/>
  <c r="AC136" i="13"/>
  <c r="AX221" i="13"/>
  <c r="K182" i="13"/>
  <c r="BB346" i="13"/>
  <c r="AP84" i="13"/>
  <c r="AW127" i="13"/>
  <c r="BK267" i="13"/>
  <c r="BH36" i="13"/>
  <c r="Z32" i="13"/>
  <c r="BI137" i="13"/>
  <c r="AW144" i="13"/>
  <c r="J46" i="13"/>
  <c r="AL217" i="13"/>
  <c r="BF32" i="13"/>
  <c r="AE16" i="13"/>
  <c r="AX46" i="13"/>
  <c r="AK158" i="13"/>
  <c r="AT69" i="13"/>
  <c r="J159" i="13"/>
  <c r="AD14" i="13"/>
  <c r="P64" i="13"/>
  <c r="AR115" i="13"/>
  <c r="Q130" i="13"/>
  <c r="D81" i="13"/>
  <c r="D48" i="13"/>
  <c r="BJ31" i="13"/>
  <c r="O123" i="13"/>
  <c r="BE297" i="13"/>
  <c r="AP41" i="13"/>
  <c r="L337" i="13"/>
  <c r="L104" i="13"/>
  <c r="BD85" i="13"/>
  <c r="AB240" i="13"/>
  <c r="BV76" i="13"/>
  <c r="T22" i="13"/>
  <c r="BN45" i="13"/>
  <c r="AL262" i="13"/>
  <c r="AN84" i="13"/>
  <c r="BT24" i="13"/>
  <c r="AK227" i="13"/>
  <c r="AO38" i="13"/>
  <c r="AR34" i="13"/>
  <c r="AE140" i="13"/>
  <c r="BL80" i="13"/>
  <c r="B284" i="13"/>
  <c r="BE418" i="13"/>
  <c r="BH325" i="13"/>
  <c r="BG150" i="13"/>
  <c r="K76" i="13"/>
  <c r="S32" i="13"/>
  <c r="A62" i="13"/>
  <c r="V18" i="13"/>
  <c r="N296" i="13"/>
  <c r="L225" i="13"/>
  <c r="BB42" i="13"/>
  <c r="AR339" i="13"/>
  <c r="AG303" i="13"/>
  <c r="BA71" i="13"/>
  <c r="C56" i="13"/>
  <c r="X34" i="13"/>
  <c r="AK82" i="13"/>
  <c r="BM42" i="13"/>
  <c r="AM13" i="13"/>
  <c r="AL93" i="13"/>
  <c r="AD212" i="13"/>
  <c r="I81" i="13"/>
  <c r="A20" i="13"/>
  <c r="U37" i="13"/>
  <c r="BQ172" i="13"/>
  <c r="BL250" i="13"/>
  <c r="AS234" i="13"/>
  <c r="BD40" i="13"/>
  <c r="B483" i="13"/>
  <c r="R117" i="13"/>
  <c r="AC76" i="13"/>
  <c r="BD49" i="13"/>
  <c r="AF36" i="13"/>
  <c r="BW126" i="13"/>
  <c r="AQ39" i="13"/>
  <c r="E24" i="13"/>
  <c r="BW179" i="13"/>
  <c r="BF119" i="13"/>
  <c r="BB66" i="13"/>
  <c r="Q14" i="13"/>
  <c r="D36" i="13"/>
  <c r="H100" i="13"/>
  <c r="AT165" i="13"/>
  <c r="BV121" i="13"/>
  <c r="AI218" i="13"/>
  <c r="BH188" i="13"/>
  <c r="Q54" i="13"/>
  <c r="B58" i="13"/>
  <c r="AM84" i="13"/>
  <c r="BJ101" i="13"/>
  <c r="AU34" i="13"/>
  <c r="G263" i="13"/>
  <c r="BV59" i="13"/>
  <c r="BQ24" i="13"/>
  <c r="BL22" i="13"/>
  <c r="S233" i="13"/>
  <c r="BV259" i="13"/>
  <c r="A114" i="13"/>
  <c r="AG240" i="13"/>
  <c r="AA110" i="13"/>
  <c r="K45" i="13"/>
  <c r="BV21" i="13"/>
  <c r="BI42" i="13"/>
  <c r="H250" i="13"/>
  <c r="AM29" i="13"/>
  <c r="E92" i="13"/>
  <c r="AK27" i="13"/>
  <c r="BS4" i="13"/>
  <c r="BR111" i="13"/>
  <c r="G66" i="13"/>
  <c r="AD79" i="13"/>
  <c r="F131" i="13"/>
  <c r="AG25" i="13"/>
  <c r="AT56" i="13"/>
  <c r="L163" i="13"/>
  <c r="AD39" i="13"/>
  <c r="BO115" i="13"/>
  <c r="AQ14" i="13"/>
  <c r="AR37" i="13"/>
  <c r="BI86" i="13"/>
  <c r="AX34" i="13"/>
  <c r="A118" i="13"/>
  <c r="J217" i="13"/>
  <c r="BH309" i="13"/>
  <c r="AK64" i="13"/>
  <c r="AZ108" i="13"/>
  <c r="BN125" i="13"/>
  <c r="J86" i="13"/>
  <c r="A75" i="13"/>
  <c r="BE258" i="13"/>
  <c r="S185" i="13"/>
  <c r="AM56" i="13"/>
  <c r="BQ343" i="13"/>
  <c r="BJ51" i="13"/>
  <c r="AP129" i="13"/>
  <c r="G116" i="13"/>
  <c r="BV275" i="13"/>
  <c r="BN29" i="13"/>
  <c r="N99" i="13"/>
  <c r="AK404" i="13"/>
  <c r="AL95" i="13"/>
  <c r="AI280" i="13"/>
  <c r="V74" i="13"/>
  <c r="BS73" i="13"/>
  <c r="BV114" i="13"/>
  <c r="AK86" i="13"/>
  <c r="AI217" i="13"/>
  <c r="AF59" i="13"/>
  <c r="BA81" i="13"/>
  <c r="BM477" i="13"/>
  <c r="BK165" i="13"/>
  <c r="BF65" i="13"/>
  <c r="O63" i="13"/>
  <c r="I91" i="13"/>
  <c r="BM93" i="13"/>
  <c r="F56" i="13"/>
  <c r="J53" i="13"/>
  <c r="V270" i="13"/>
  <c r="BU143" i="13"/>
  <c r="AX188" i="13"/>
  <c r="AV195" i="13"/>
  <c r="AE127" i="13"/>
  <c r="AN25" i="13"/>
  <c r="AI113" i="13"/>
  <c r="BI333" i="13"/>
  <c r="AO231" i="13"/>
  <c r="AM80" i="13"/>
  <c r="BD75" i="13"/>
  <c r="BF268" i="13"/>
  <c r="BM63" i="13"/>
  <c r="BQ113" i="13"/>
  <c r="AK213" i="13"/>
  <c r="BM60" i="13"/>
  <c r="F33" i="13"/>
  <c r="BU34" i="13"/>
  <c r="O84" i="13"/>
  <c r="R121" i="13"/>
  <c r="AQ356" i="13"/>
  <c r="BU371" i="13"/>
  <c r="P98" i="13"/>
  <c r="AQ382" i="13"/>
  <c r="AH81" i="13"/>
  <c r="AD85" i="13"/>
  <c r="BL305" i="13"/>
  <c r="AG8" i="13"/>
  <c r="A117" i="13"/>
  <c r="AJ7" i="13"/>
  <c r="AK282" i="13"/>
  <c r="BT102" i="13"/>
  <c r="AU59" i="13"/>
  <c r="BN158" i="13"/>
  <c r="U149" i="13"/>
  <c r="BO127" i="13"/>
  <c r="AS328" i="13"/>
  <c r="A136" i="13"/>
  <c r="AY140" i="13"/>
  <c r="U95" i="13"/>
  <c r="AU54" i="13"/>
  <c r="X105" i="13"/>
  <c r="AM75" i="13"/>
  <c r="AZ70" i="13"/>
  <c r="D151" i="13"/>
  <c r="BC18" i="13"/>
  <c r="BH291" i="13"/>
  <c r="AS85" i="13"/>
  <c r="B50" i="13"/>
  <c r="BB46" i="13"/>
  <c r="T30" i="13"/>
  <c r="AJ35" i="13"/>
  <c r="AJ117" i="13"/>
  <c r="BB47" i="13"/>
  <c r="AE4" i="13"/>
  <c r="BK370" i="13"/>
  <c r="BM17" i="13"/>
  <c r="AA33" i="13"/>
  <c r="AV159" i="13"/>
  <c r="D302" i="13"/>
  <c r="AV179" i="13"/>
  <c r="AA289" i="13"/>
  <c r="BU127" i="13"/>
  <c r="AM165" i="13"/>
  <c r="BQ93" i="13"/>
  <c r="AF231" i="13"/>
  <c r="BE168" i="13"/>
  <c r="AP74" i="13"/>
  <c r="M18" i="13"/>
  <c r="AL224" i="13"/>
  <c r="M24" i="13"/>
  <c r="AE98" i="13"/>
  <c r="AF163" i="13"/>
  <c r="E66" i="13"/>
  <c r="BP358" i="13"/>
  <c r="A115" i="13"/>
  <c r="AI63" i="13"/>
  <c r="BM13" i="13"/>
  <c r="B344" i="13"/>
  <c r="Y61" i="13"/>
  <c r="BQ254" i="13"/>
  <c r="BW201" i="13"/>
  <c r="W4" i="13"/>
  <c r="AV162" i="13"/>
  <c r="AE170" i="13"/>
  <c r="AS67" i="13"/>
  <c r="AL19" i="13"/>
  <c r="AB47" i="13"/>
  <c r="AK193" i="13"/>
  <c r="H74" i="13"/>
  <c r="BD76" i="13"/>
  <c r="BW33" i="13"/>
  <c r="AM120" i="13"/>
  <c r="BI37" i="13"/>
  <c r="BJ211" i="13"/>
  <c r="BH72" i="13"/>
  <c r="S43" i="13"/>
  <c r="BS43" i="13"/>
  <c r="BQ112" i="13"/>
  <c r="BE120" i="13"/>
  <c r="BI88" i="13"/>
  <c r="AG15" i="13"/>
  <c r="BQ412" i="13"/>
  <c r="F257" i="13"/>
  <c r="L47" i="13"/>
  <c r="AI36" i="13"/>
  <c r="T174" i="13"/>
  <c r="BB120" i="13"/>
  <c r="BS108" i="13"/>
  <c r="N284" i="13"/>
  <c r="AH212" i="13"/>
  <c r="H71" i="13"/>
  <c r="Q128" i="13"/>
  <c r="BO33" i="13"/>
  <c r="AX39" i="13"/>
  <c r="F96" i="13"/>
  <c r="AW60" i="13"/>
  <c r="L127" i="13"/>
  <c r="BR67" i="13"/>
  <c r="D25" i="13"/>
  <c r="AW54" i="13"/>
  <c r="O75" i="13"/>
  <c r="BA106" i="13"/>
  <c r="J45" i="13"/>
  <c r="BB71" i="13"/>
  <c r="AB64" i="13"/>
  <c r="AP224" i="13"/>
  <c r="O7" i="13"/>
  <c r="AL125" i="13"/>
  <c r="Y362" i="13"/>
  <c r="BB70" i="13"/>
  <c r="BD41" i="13"/>
  <c r="AA458" i="13"/>
  <c r="B64" i="13"/>
  <c r="B9" i="13"/>
  <c r="N61" i="13"/>
  <c r="G74" i="13"/>
  <c r="U73" i="13"/>
  <c r="AP36" i="13"/>
  <c r="AD94" i="13"/>
  <c r="P76" i="13"/>
  <c r="AB161" i="13"/>
  <c r="AO45" i="13"/>
  <c r="D11" i="13"/>
  <c r="AR127" i="13"/>
  <c r="B21" i="13"/>
  <c r="BE115" i="13"/>
  <c r="AG236" i="13"/>
  <c r="A95" i="13"/>
  <c r="AU127" i="13"/>
  <c r="N120" i="13"/>
  <c r="BT5" i="13"/>
  <c r="AN31" i="13"/>
  <c r="BV397" i="13"/>
  <c r="AD321" i="13"/>
  <c r="BH24" i="13"/>
  <c r="D129" i="13"/>
  <c r="BB209" i="13"/>
  <c r="BP48" i="13"/>
  <c r="Z83" i="13"/>
  <c r="AH498" i="13"/>
  <c r="B94" i="13"/>
  <c r="BA78" i="13"/>
  <c r="N46" i="13"/>
  <c r="BJ270" i="13"/>
  <c r="P77" i="13"/>
  <c r="AR92" i="13"/>
  <c r="BU167" i="13"/>
  <c r="BM121" i="13"/>
  <c r="AE51" i="13"/>
  <c r="AM243" i="13"/>
  <c r="T305" i="13"/>
  <c r="AS57" i="13"/>
  <c r="AE21" i="13"/>
  <c r="BK52" i="13"/>
  <c r="V352" i="13"/>
  <c r="H84" i="13"/>
  <c r="AB116" i="13"/>
  <c r="AJ33" i="13"/>
  <c r="BN110" i="13"/>
  <c r="F481" i="13"/>
  <c r="AL59" i="13"/>
  <c r="AJ223" i="13"/>
  <c r="AR222" i="13"/>
  <c r="BP95" i="13"/>
  <c r="T35" i="13"/>
  <c r="AJ251" i="13"/>
  <c r="BM369" i="13"/>
  <c r="BW387" i="13"/>
  <c r="Z381" i="13"/>
  <c r="S41" i="13"/>
  <c r="BU209" i="13"/>
  <c r="AQ63" i="13"/>
  <c r="AD205" i="13"/>
  <c r="AI19" i="13"/>
  <c r="V103" i="13"/>
  <c r="R27" i="13"/>
  <c r="N37" i="13"/>
  <c r="AO212" i="13"/>
  <c r="AN245" i="13"/>
  <c r="Z119" i="13"/>
  <c r="AM123" i="13"/>
  <c r="L12" i="13"/>
  <c r="AP287" i="13"/>
  <c r="R108" i="13"/>
  <c r="AT401" i="13"/>
  <c r="AH91" i="13"/>
  <c r="Q93" i="13"/>
  <c r="T123" i="13"/>
  <c r="AB51" i="13"/>
  <c r="B461" i="13"/>
  <c r="BJ12" i="13"/>
  <c r="AN118" i="13"/>
  <c r="AC43" i="13"/>
  <c r="AT25" i="13"/>
  <c r="AN423" i="13"/>
  <c r="BN96" i="13"/>
  <c r="M16" i="13"/>
  <c r="AP148" i="13"/>
  <c r="BI46" i="13"/>
  <c r="V145" i="13"/>
  <c r="AP95" i="13"/>
  <c r="AH55" i="13"/>
  <c r="T129" i="13"/>
  <c r="BA85" i="13"/>
  <c r="BM100" i="13"/>
  <c r="AH57" i="13"/>
  <c r="BA76" i="13"/>
  <c r="W98" i="13"/>
  <c r="BG38" i="13"/>
  <c r="AQ75" i="13"/>
  <c r="AU32" i="13"/>
  <c r="AT39" i="13"/>
  <c r="G126" i="13"/>
  <c r="BE31" i="13"/>
  <c r="AM48" i="13"/>
  <c r="BD294" i="13"/>
  <c r="N32" i="13"/>
  <c r="G109" i="13"/>
  <c r="BV163" i="13"/>
  <c r="BI82" i="13"/>
  <c r="AK60" i="13"/>
  <c r="AR496" i="13"/>
  <c r="AJ157" i="13"/>
  <c r="Z451" i="13"/>
  <c r="AD41" i="13"/>
  <c r="T197" i="13"/>
  <c r="AQ15" i="13"/>
  <c r="G23" i="13"/>
  <c r="X370" i="13"/>
  <c r="BH73" i="13"/>
  <c r="BI61" i="13"/>
  <c r="W31" i="13"/>
  <c r="S68" i="13"/>
  <c r="AL123" i="13"/>
  <c r="BJ49" i="13"/>
  <c r="L167" i="13"/>
  <c r="AM23" i="13"/>
  <c r="K225" i="13"/>
  <c r="BO63" i="13"/>
  <c r="D110" i="13"/>
  <c r="BE206" i="13"/>
  <c r="BA172" i="13"/>
  <c r="AV2" i="13"/>
  <c r="AC124" i="13"/>
  <c r="AG31" i="13"/>
  <c r="AY68" i="13"/>
  <c r="AY65" i="13"/>
  <c r="F48" i="13"/>
  <c r="BC5" i="13"/>
  <c r="D149" i="13"/>
  <c r="C205" i="13"/>
  <c r="P68" i="13"/>
  <c r="M202" i="13"/>
  <c r="AC101" i="13"/>
  <c r="M23" i="13"/>
  <c r="AN13" i="13"/>
  <c r="AU50" i="13"/>
  <c r="AP203" i="13"/>
  <c r="BF26" i="13"/>
  <c r="F70" i="13"/>
  <c r="AB492" i="13"/>
  <c r="AX62" i="13"/>
  <c r="BP161" i="13"/>
  <c r="C419" i="13"/>
  <c r="AO85" i="13"/>
  <c r="AP83" i="13"/>
  <c r="BI79" i="13"/>
  <c r="AG97" i="13"/>
  <c r="M75" i="13"/>
  <c r="AQ181" i="13"/>
  <c r="W51" i="13"/>
  <c r="BA46" i="13"/>
  <c r="BV30" i="13"/>
  <c r="AE86" i="13"/>
  <c r="AC44" i="13"/>
  <c r="BI87" i="13"/>
  <c r="AW96" i="13"/>
  <c r="M150" i="13"/>
  <c r="AN30" i="13"/>
  <c r="P276" i="13"/>
  <c r="BO198" i="13"/>
  <c r="AN134" i="13"/>
  <c r="AM111" i="13"/>
  <c r="BS125" i="13"/>
  <c r="AW30" i="13"/>
  <c r="T19" i="13"/>
  <c r="BW249" i="13"/>
  <c r="BF176" i="13"/>
  <c r="J117" i="13"/>
  <c r="AE57" i="13"/>
  <c r="G155" i="13"/>
  <c r="AW41" i="13"/>
  <c r="BM281" i="13"/>
  <c r="BJ185" i="13"/>
  <c r="Q41" i="13"/>
  <c r="AK278" i="13"/>
  <c r="AU9" i="13"/>
  <c r="BN382" i="13"/>
  <c r="D62" i="13"/>
  <c r="AC16" i="13"/>
  <c r="D281" i="13"/>
  <c r="I251" i="13"/>
  <c r="AU101" i="13"/>
  <c r="AZ26" i="13"/>
  <c r="BC96" i="13"/>
  <c r="BM25" i="13"/>
  <c r="AL14" i="13"/>
  <c r="AK120" i="13"/>
  <c r="AG96" i="13"/>
  <c r="AX58" i="13"/>
  <c r="BM164" i="13"/>
  <c r="AZ85" i="13"/>
  <c r="AC122" i="13"/>
  <c r="BW163" i="13"/>
  <c r="AF148" i="13"/>
  <c r="BL72" i="13"/>
  <c r="L113" i="13"/>
  <c r="A436" i="13"/>
  <c r="AW224" i="13"/>
  <c r="BM30" i="13"/>
  <c r="J103" i="13"/>
  <c r="BR90" i="13"/>
  <c r="AQ79" i="13"/>
  <c r="AU104" i="13"/>
  <c r="BS142" i="13"/>
  <c r="AT47" i="13"/>
  <c r="BV57" i="13"/>
  <c r="AV33" i="13"/>
  <c r="AV27" i="13"/>
  <c r="M31" i="13"/>
  <c r="AK290" i="13"/>
  <c r="V59" i="13"/>
  <c r="BV28" i="13"/>
  <c r="BR413" i="13"/>
  <c r="BW162" i="13"/>
  <c r="BH127" i="13"/>
  <c r="BI101" i="13"/>
  <c r="AO199" i="13"/>
  <c r="I65" i="13"/>
  <c r="BM36" i="13"/>
  <c r="N21" i="13"/>
  <c r="BO275" i="13"/>
  <c r="Z201" i="13"/>
  <c r="C107" i="13"/>
  <c r="AC14" i="13"/>
  <c r="AS130" i="13"/>
  <c r="U383" i="13"/>
  <c r="BC182" i="13"/>
  <c r="E111" i="13"/>
  <c r="BE77" i="13"/>
  <c r="M43" i="13"/>
  <c r="AA229" i="13"/>
  <c r="I75" i="13"/>
  <c r="H22" i="13"/>
  <c r="K215" i="13"/>
  <c r="E110" i="13"/>
  <c r="AY127" i="13"/>
  <c r="C60" i="13"/>
  <c r="BJ61" i="13"/>
  <c r="AT36" i="13"/>
  <c r="AL135" i="13"/>
  <c r="U211" i="13"/>
  <c r="AT83" i="13"/>
  <c r="P40" i="13"/>
  <c r="U132" i="13"/>
  <c r="BF125" i="13"/>
  <c r="AK59" i="13"/>
  <c r="BQ33" i="13"/>
  <c r="AM74" i="13"/>
  <c r="BK120" i="13"/>
  <c r="BN150" i="13"/>
  <c r="B40" i="13"/>
  <c r="BD16" i="13"/>
  <c r="BK30" i="13"/>
  <c r="AH14" i="13"/>
  <c r="A30" i="13"/>
  <c r="BH89" i="13"/>
  <c r="BT114" i="13"/>
  <c r="L140" i="13"/>
  <c r="AR203" i="13"/>
  <c r="M295" i="13"/>
  <c r="X56" i="13"/>
  <c r="C201" i="13"/>
  <c r="BE142" i="13"/>
  <c r="AK145" i="13"/>
  <c r="BD167" i="13"/>
  <c r="AD155" i="13"/>
  <c r="H107" i="13"/>
  <c r="O70" i="13"/>
  <c r="AY301" i="13"/>
  <c r="AU263" i="13"/>
  <c r="AB33" i="13"/>
  <c r="BG61" i="13"/>
  <c r="AS187" i="13"/>
  <c r="AA25" i="13"/>
  <c r="N31" i="13"/>
  <c r="Y77" i="13"/>
  <c r="BF312" i="13"/>
  <c r="AL81" i="13"/>
  <c r="D31" i="13"/>
  <c r="BP394" i="13"/>
  <c r="AH320" i="13"/>
  <c r="F356" i="13"/>
  <c r="AI15" i="13"/>
  <c r="Y55" i="13"/>
  <c r="AQ103" i="13"/>
  <c r="E117" i="13"/>
  <c r="AD113" i="13"/>
  <c r="BK300" i="13"/>
  <c r="BE252" i="13"/>
  <c r="F50" i="13"/>
  <c r="AR63" i="13"/>
  <c r="F146" i="13"/>
  <c r="AZ97" i="13"/>
  <c r="BO148" i="13"/>
  <c r="BB56" i="13"/>
  <c r="BO118" i="13"/>
  <c r="M245" i="13"/>
  <c r="I240" i="13"/>
  <c r="AQ162" i="13"/>
  <c r="B410" i="13"/>
  <c r="T99" i="13"/>
  <c r="AU91" i="13"/>
  <c r="AQ117" i="13"/>
  <c r="BE461" i="13"/>
  <c r="BM116" i="13"/>
  <c r="A388" i="13"/>
  <c r="Y97" i="13"/>
  <c r="BF19" i="13"/>
  <c r="BJ26" i="13"/>
  <c r="AL22" i="13"/>
  <c r="P14" i="13"/>
  <c r="R460" i="13"/>
  <c r="AP37" i="13"/>
  <c r="BB20" i="13"/>
  <c r="AQ292" i="13"/>
  <c r="AA130" i="13"/>
  <c r="T64" i="13"/>
  <c r="AO30" i="13"/>
  <c r="BW427" i="13"/>
  <c r="AW337" i="13"/>
  <c r="I43" i="13"/>
  <c r="O16" i="13"/>
  <c r="H298" i="13"/>
  <c r="Z53" i="13"/>
  <c r="AW48" i="13"/>
  <c r="BB25" i="13"/>
  <c r="T282" i="13"/>
  <c r="AP59" i="13"/>
  <c r="K236" i="13"/>
  <c r="B185" i="13"/>
  <c r="J14" i="13"/>
  <c r="BU211" i="13"/>
  <c r="N73" i="13"/>
  <c r="AE269" i="13"/>
  <c r="AF28" i="13"/>
  <c r="V11" i="13"/>
  <c r="BJ67" i="13"/>
  <c r="L147" i="13"/>
  <c r="BH14" i="13"/>
  <c r="BH29" i="13"/>
  <c r="BU432" i="13"/>
  <c r="X49" i="13"/>
  <c r="BW25" i="13"/>
  <c r="AZ222" i="13"/>
  <c r="V107" i="13"/>
  <c r="AH64" i="13"/>
  <c r="AE100" i="13"/>
  <c r="BJ115" i="13"/>
  <c r="AC178" i="13"/>
  <c r="BU150" i="13"/>
  <c r="Q57" i="13"/>
  <c r="BS19" i="13"/>
  <c r="R44" i="13"/>
  <c r="AP86" i="13"/>
  <c r="Y49" i="13"/>
  <c r="BF14" i="13"/>
  <c r="AK23" i="13"/>
  <c r="BT113" i="13"/>
  <c r="AW16" i="13"/>
  <c r="AP55" i="13"/>
  <c r="T274" i="13"/>
  <c r="S121" i="13"/>
  <c r="K111" i="13"/>
  <c r="P90" i="13"/>
  <c r="L334" i="13"/>
  <c r="BH40" i="13"/>
  <c r="A28" i="13"/>
  <c r="AM44" i="13"/>
  <c r="AN185" i="13"/>
  <c r="AX135" i="13"/>
  <c r="AF127" i="13"/>
  <c r="AT57" i="13"/>
  <c r="BJ134" i="13"/>
  <c r="B104" i="13"/>
  <c r="BC360" i="13"/>
  <c r="J131" i="13"/>
  <c r="AL58" i="13"/>
  <c r="AC388" i="13"/>
  <c r="AT218" i="13"/>
  <c r="AA122" i="13"/>
  <c r="AQ59" i="13"/>
  <c r="C26" i="13"/>
  <c r="AG75" i="13"/>
  <c r="AS7" i="13"/>
  <c r="I23" i="13"/>
  <c r="AJ113" i="13"/>
  <c r="AD117" i="13"/>
  <c r="BQ150" i="13"/>
  <c r="BM81" i="13"/>
  <c r="R114" i="13"/>
  <c r="AP99" i="13"/>
  <c r="BD64" i="13"/>
  <c r="AH79" i="13"/>
  <c r="Z23" i="13"/>
  <c r="AA266" i="13"/>
  <c r="AD115" i="13"/>
  <c r="AO52" i="13"/>
  <c r="B153" i="13"/>
  <c r="M58" i="13"/>
  <c r="AS61" i="13"/>
  <c r="AK16" i="13"/>
  <c r="AE72" i="13"/>
  <c r="AU21" i="13"/>
  <c r="V33" i="13"/>
  <c r="J244" i="13"/>
  <c r="Q94" i="13"/>
  <c r="AY169" i="13"/>
  <c r="AP101" i="13"/>
  <c r="BF197" i="13"/>
  <c r="BJ242" i="13"/>
  <c r="AX148" i="13"/>
  <c r="BT249" i="13"/>
  <c r="U295" i="13"/>
  <c r="Z298" i="13"/>
  <c r="BO79" i="13"/>
  <c r="E56" i="13"/>
  <c r="AU83" i="13"/>
  <c r="B162" i="13"/>
  <c r="M323" i="13"/>
  <c r="BS64" i="13"/>
  <c r="BO491" i="13"/>
  <c r="BV29" i="13"/>
  <c r="AD169" i="13"/>
  <c r="AM88" i="13"/>
  <c r="AM63" i="13"/>
  <c r="W48" i="13"/>
  <c r="BH80" i="13"/>
  <c r="G296" i="13"/>
  <c r="BV8" i="13"/>
  <c r="BA84" i="13"/>
  <c r="D107" i="13"/>
  <c r="U140" i="13"/>
  <c r="AI56" i="13"/>
  <c r="U17" i="13"/>
  <c r="BL24" i="13"/>
  <c r="Y259" i="13"/>
  <c r="Q37" i="13"/>
  <c r="BA348" i="13"/>
  <c r="Z66" i="13"/>
  <c r="I154" i="13"/>
  <c r="AO302" i="13"/>
  <c r="C198" i="13"/>
  <c r="BG17" i="13"/>
  <c r="G36" i="13"/>
  <c r="BF62" i="13"/>
  <c r="AM39" i="13"/>
  <c r="BB43" i="13"/>
  <c r="Y389" i="13"/>
  <c r="AE75" i="13"/>
  <c r="AR96" i="13"/>
  <c r="BU206" i="13"/>
  <c r="K104" i="13"/>
  <c r="AU252" i="13"/>
  <c r="BV33" i="13"/>
  <c r="I201" i="13"/>
  <c r="BA225" i="13"/>
  <c r="D268" i="13"/>
  <c r="AJ37" i="13"/>
  <c r="G115" i="13"/>
  <c r="AD55" i="13"/>
  <c r="BN20" i="13"/>
  <c r="AE47" i="13"/>
  <c r="AW33" i="13"/>
  <c r="BJ106" i="13"/>
  <c r="AF61" i="13"/>
  <c r="AZ11" i="13"/>
  <c r="X41" i="13"/>
  <c r="U334" i="13"/>
  <c r="AY40" i="13"/>
  <c r="BU67" i="13"/>
  <c r="AU114" i="13"/>
  <c r="AA59" i="13"/>
  <c r="AW302" i="13"/>
  <c r="BR92" i="13"/>
  <c r="Z300" i="13"/>
  <c r="T44" i="13"/>
  <c r="Y38" i="13"/>
  <c r="S107" i="13"/>
  <c r="BC46" i="13"/>
  <c r="C238" i="13"/>
  <c r="AE80" i="13"/>
  <c r="BN73" i="13"/>
  <c r="AH8" i="13"/>
  <c r="AH47" i="13"/>
  <c r="BJ30" i="13"/>
  <c r="E139" i="13"/>
  <c r="BU118" i="13"/>
  <c r="AD30" i="13"/>
  <c r="P140" i="13"/>
  <c r="AW248" i="13"/>
  <c r="BC6" i="13"/>
  <c r="P47" i="13"/>
  <c r="AC88" i="13"/>
  <c r="BS498" i="13"/>
  <c r="X75" i="13"/>
  <c r="L210" i="13"/>
  <c r="B297" i="13"/>
  <c r="AU140" i="13"/>
  <c r="BO218" i="13"/>
  <c r="BJ158" i="13"/>
  <c r="AH51" i="13"/>
  <c r="F83" i="13"/>
  <c r="AH29" i="13"/>
  <c r="BP36" i="13"/>
  <c r="X222" i="13"/>
  <c r="BB49" i="13"/>
  <c r="BW416" i="13"/>
  <c r="U41" i="13"/>
  <c r="I116" i="13"/>
  <c r="A185" i="13"/>
  <c r="F31" i="13"/>
  <c r="A94" i="13"/>
  <c r="C71" i="13"/>
  <c r="BF91" i="13"/>
  <c r="O230" i="13"/>
  <c r="AK55" i="13"/>
  <c r="Z88" i="13"/>
  <c r="BQ84" i="13"/>
  <c r="AH172" i="13"/>
  <c r="Z110" i="13"/>
  <c r="AT260" i="13"/>
  <c r="M173" i="13"/>
  <c r="E122" i="13"/>
  <c r="T23" i="13"/>
  <c r="AB146" i="13"/>
  <c r="AQ273" i="13"/>
  <c r="BW81" i="13"/>
  <c r="BM16" i="13"/>
  <c r="BI62" i="13"/>
  <c r="AF104" i="13"/>
  <c r="BV393" i="13"/>
  <c r="P226" i="13"/>
  <c r="AR55" i="13"/>
  <c r="AE174" i="13"/>
  <c r="G206" i="13"/>
  <c r="BB39" i="13"/>
  <c r="BF70" i="13"/>
  <c r="BM124" i="13"/>
  <c r="BU101" i="13"/>
  <c r="AL159" i="13"/>
  <c r="AT161" i="13"/>
  <c r="BC202" i="13"/>
  <c r="S52" i="13"/>
  <c r="AZ135" i="13"/>
  <c r="A145" i="13"/>
  <c r="AS260" i="13"/>
  <c r="BP71" i="13"/>
  <c r="BB62" i="13"/>
  <c r="AN82" i="13"/>
  <c r="T17" i="13"/>
  <c r="B19" i="13"/>
  <c r="AA11" i="13"/>
  <c r="AL114" i="13"/>
  <c r="N166" i="13"/>
  <c r="BF25" i="13"/>
  <c r="AZ203" i="13"/>
  <c r="R130" i="13"/>
  <c r="F161" i="13"/>
  <c r="BK23" i="13"/>
  <c r="AU489" i="13"/>
  <c r="BE25" i="13"/>
  <c r="S128" i="13"/>
  <c r="BG51" i="13"/>
  <c r="BC27" i="13"/>
  <c r="AM153" i="13"/>
  <c r="AW45" i="13"/>
  <c r="AQ198" i="13"/>
  <c r="AQ89" i="13"/>
  <c r="T195" i="13"/>
  <c r="AV76" i="13"/>
  <c r="K73" i="13"/>
  <c r="BJ429" i="13"/>
  <c r="AY50" i="13"/>
  <c r="BC201" i="13"/>
  <c r="BT45" i="13"/>
  <c r="AL238" i="13"/>
  <c r="AD33" i="13"/>
  <c r="BT271" i="13"/>
  <c r="W65" i="13"/>
  <c r="AI104" i="13"/>
  <c r="AV37" i="13"/>
  <c r="P15" i="13"/>
  <c r="AT102" i="13"/>
  <c r="C44" i="13"/>
  <c r="AF34" i="13"/>
  <c r="J43" i="13"/>
  <c r="I93" i="13"/>
  <c r="W39" i="13"/>
  <c r="I49" i="13"/>
  <c r="BV53" i="13"/>
  <c r="R120" i="13"/>
  <c r="AO11" i="13"/>
  <c r="K32" i="13"/>
  <c r="P169" i="13"/>
  <c r="F107" i="13"/>
  <c r="BR46" i="13"/>
  <c r="AA57" i="13"/>
  <c r="BK255" i="13"/>
  <c r="P149" i="13"/>
  <c r="BS177" i="13"/>
  <c r="AX25" i="13"/>
  <c r="U38" i="13"/>
  <c r="T113" i="13"/>
  <c r="W14" i="13"/>
  <c r="AN166" i="13"/>
  <c r="BG43" i="13"/>
  <c r="BG495" i="13"/>
  <c r="AS178" i="13"/>
  <c r="R168" i="13"/>
  <c r="AR40" i="13"/>
  <c r="BW35" i="13"/>
  <c r="P33" i="13"/>
  <c r="AA58" i="13"/>
  <c r="BF94" i="13"/>
  <c r="S47" i="13"/>
  <c r="BE14" i="13"/>
  <c r="AE160" i="13"/>
  <c r="Q161" i="13"/>
  <c r="BS214" i="13"/>
  <c r="L94" i="13"/>
  <c r="BT136" i="13"/>
  <c r="BJ395" i="13"/>
  <c r="AE10" i="13"/>
  <c r="AB133" i="13"/>
  <c r="U168" i="13"/>
  <c r="AB120" i="13"/>
  <c r="T20" i="13"/>
  <c r="T334" i="13"/>
  <c r="M183" i="13"/>
  <c r="AZ56" i="13"/>
  <c r="N323" i="13"/>
  <c r="T112" i="13"/>
  <c r="L182" i="13"/>
  <c r="BN318" i="13"/>
  <c r="F18" i="13"/>
  <c r="AP47" i="13"/>
  <c r="AW65" i="13"/>
  <c r="BL303" i="13"/>
  <c r="Y295" i="13"/>
  <c r="AB39" i="13"/>
  <c r="AT131" i="13"/>
  <c r="AS76" i="13"/>
  <c r="H93" i="13"/>
  <c r="D44" i="13"/>
  <c r="F167" i="13"/>
  <c r="BI21" i="13"/>
  <c r="L52" i="13"/>
  <c r="AH30" i="13"/>
  <c r="BB466" i="13"/>
  <c r="BQ149" i="13"/>
  <c r="AH59" i="13"/>
  <c r="Y111" i="13"/>
  <c r="BI134" i="13"/>
  <c r="A67" i="13"/>
  <c r="BK167" i="13"/>
  <c r="AV54" i="13"/>
  <c r="S81" i="13"/>
  <c r="BR11" i="13"/>
  <c r="AA84" i="13"/>
  <c r="D238" i="13"/>
  <c r="AX27" i="13"/>
  <c r="Z21" i="13"/>
  <c r="AB37" i="13"/>
  <c r="I68" i="13"/>
  <c r="BT440" i="13"/>
  <c r="C57" i="13"/>
  <c r="AH447" i="13"/>
  <c r="BB32" i="13"/>
  <c r="AX333" i="13"/>
  <c r="P175" i="13"/>
  <c r="AA218" i="13"/>
  <c r="C167" i="13"/>
  <c r="AW97" i="13"/>
  <c r="AV155" i="13"/>
  <c r="AG109" i="13"/>
  <c r="T104" i="13"/>
  <c r="AT106" i="13"/>
  <c r="BJ207" i="13"/>
  <c r="AG67" i="13"/>
  <c r="BW120" i="13"/>
  <c r="AN57" i="13"/>
  <c r="BP22" i="13"/>
  <c r="AF263" i="13"/>
  <c r="BC83" i="13"/>
  <c r="BA35" i="13"/>
  <c r="AR6" i="13"/>
  <c r="AP157" i="13"/>
  <c r="AT201" i="13"/>
  <c r="AF372" i="13"/>
  <c r="BW447" i="13"/>
  <c r="V482" i="13"/>
  <c r="F68" i="13"/>
  <c r="F82" i="13"/>
  <c r="AN154" i="13"/>
  <c r="I54" i="13"/>
  <c r="T61" i="13"/>
  <c r="AB233" i="13"/>
  <c r="BB57" i="13"/>
  <c r="S34" i="13"/>
  <c r="Y416" i="13"/>
  <c r="L24" i="13"/>
  <c r="R82" i="13"/>
  <c r="C95" i="13"/>
  <c r="BP70" i="13"/>
  <c r="BJ59" i="13"/>
  <c r="Z60" i="13"/>
  <c r="S160" i="13"/>
  <c r="Q31" i="13"/>
  <c r="M62" i="13"/>
  <c r="Q195" i="13"/>
  <c r="BI263" i="13"/>
  <c r="AO18" i="13"/>
  <c r="AV140" i="13"/>
  <c r="BG78" i="13"/>
  <c r="AW15" i="13"/>
  <c r="AI128" i="13"/>
  <c r="AU14" i="13"/>
  <c r="J52" i="13"/>
  <c r="AP117" i="13"/>
  <c r="J48" i="13"/>
  <c r="M315" i="13"/>
  <c r="U112" i="13"/>
  <c r="T98" i="13"/>
  <c r="K160" i="13"/>
  <c r="BR240" i="13"/>
  <c r="M161" i="13"/>
  <c r="BC31" i="13"/>
  <c r="AB181" i="13"/>
  <c r="O151" i="13"/>
  <c r="AP57" i="13"/>
  <c r="V36" i="13"/>
  <c r="AS34" i="13"/>
  <c r="BF113" i="13"/>
  <c r="AF72" i="13"/>
  <c r="AV93" i="13"/>
  <c r="AB88" i="13"/>
  <c r="BG146" i="13"/>
  <c r="BV111" i="13"/>
  <c r="B228" i="13"/>
  <c r="AE320" i="13"/>
  <c r="R57" i="13"/>
  <c r="AT145" i="13"/>
  <c r="AQ140" i="13"/>
  <c r="BD101" i="13"/>
  <c r="AK69" i="13"/>
  <c r="R62" i="13"/>
  <c r="D410" i="13"/>
  <c r="J178" i="13"/>
  <c r="BP440" i="13"/>
  <c r="C154" i="13"/>
  <c r="AC81" i="13"/>
  <c r="BS35" i="13"/>
  <c r="AU39" i="13"/>
  <c r="K266" i="13"/>
  <c r="AU480" i="13"/>
  <c r="AX30" i="13"/>
  <c r="BP21" i="13"/>
  <c r="BD74" i="13"/>
  <c r="BE137" i="13"/>
  <c r="Y42" i="13"/>
  <c r="AC107" i="13"/>
  <c r="AO167" i="13"/>
  <c r="Z105" i="13"/>
  <c r="BS26" i="13"/>
  <c r="P58" i="13"/>
  <c r="BQ237" i="13"/>
  <c r="AL74" i="13"/>
  <c r="C22" i="13"/>
  <c r="AB365" i="13"/>
  <c r="BR20" i="13"/>
  <c r="AS149" i="13"/>
  <c r="BL214" i="13"/>
  <c r="G9" i="13"/>
  <c r="BW42" i="13"/>
  <c r="AQ245" i="13"/>
  <c r="H36" i="13"/>
  <c r="BU64" i="13"/>
  <c r="T63" i="13"/>
  <c r="AZ19" i="13"/>
  <c r="AX76" i="13"/>
  <c r="Y166" i="13"/>
  <c r="P38" i="13"/>
  <c r="BF35" i="13"/>
  <c r="BG184" i="13"/>
  <c r="BC56" i="13"/>
  <c r="BN157" i="13"/>
  <c r="BQ10" i="13"/>
  <c r="AN32" i="13"/>
  <c r="BF90" i="13"/>
  <c r="G118" i="13"/>
  <c r="AM140" i="13"/>
  <c r="AE221" i="13"/>
  <c r="AY357" i="13"/>
  <c r="B30" i="13"/>
  <c r="BO106" i="13"/>
  <c r="K95" i="13"/>
  <c r="AU281" i="13"/>
  <c r="AL33" i="13"/>
  <c r="BI167" i="13"/>
  <c r="AW130" i="13"/>
  <c r="BR173" i="13"/>
  <c r="R31" i="13"/>
  <c r="D97" i="13"/>
  <c r="BE65" i="13"/>
  <c r="BC102" i="13"/>
  <c r="P150" i="13"/>
  <c r="D85" i="13"/>
  <c r="M17" i="13"/>
  <c r="BK86" i="13"/>
  <c r="BD139" i="13"/>
  <c r="AD353" i="13"/>
  <c r="AZ81" i="13"/>
  <c r="G221" i="13"/>
  <c r="BT483" i="13"/>
  <c r="X202" i="13"/>
  <c r="AE105" i="13"/>
  <c r="T115" i="13"/>
  <c r="S194" i="13"/>
  <c r="H323" i="13"/>
  <c r="AP78" i="13"/>
  <c r="BC35" i="13"/>
  <c r="BH259" i="13"/>
  <c r="AE311" i="13"/>
  <c r="AV369" i="13"/>
  <c r="AO51" i="13"/>
  <c r="BV165" i="13"/>
  <c r="P96" i="13"/>
  <c r="R454" i="13"/>
  <c r="AM90" i="13"/>
  <c r="BF191" i="13"/>
  <c r="AW253" i="13"/>
  <c r="AL11" i="13"/>
  <c r="BO249" i="13"/>
  <c r="BT50" i="13"/>
  <c r="AZ241" i="13"/>
  <c r="AE90" i="13"/>
  <c r="BG82" i="13"/>
  <c r="W62" i="13"/>
  <c r="V28" i="13"/>
  <c r="BJ131" i="13"/>
  <c r="L38" i="13"/>
  <c r="BV20" i="13"/>
  <c r="AJ24" i="13"/>
  <c r="S90" i="13"/>
  <c r="AX283" i="13"/>
  <c r="Y263" i="13"/>
  <c r="R142" i="13"/>
  <c r="A119" i="13"/>
  <c r="BB28" i="13"/>
  <c r="BG26" i="13"/>
  <c r="BN56" i="13"/>
  <c r="BJ55" i="13"/>
  <c r="BM122" i="13"/>
  <c r="AJ107" i="13"/>
  <c r="BM237" i="13"/>
  <c r="AD249" i="13"/>
  <c r="M40" i="13"/>
  <c r="W188" i="13"/>
  <c r="O279" i="13"/>
  <c r="BA126" i="13"/>
  <c r="E77" i="13"/>
  <c r="F37" i="13"/>
  <c r="T41" i="13"/>
  <c r="BU485" i="13"/>
  <c r="A31" i="13"/>
  <c r="AU86" i="13"/>
  <c r="F150" i="13"/>
  <c r="AM131" i="13"/>
  <c r="I459" i="13"/>
  <c r="AW50" i="13"/>
  <c r="AW61" i="13"/>
  <c r="BV240" i="13"/>
  <c r="R110" i="13"/>
  <c r="W155" i="13"/>
  <c r="AB290" i="13"/>
  <c r="H193" i="13"/>
  <c r="AO53" i="13"/>
  <c r="BF33" i="13"/>
  <c r="AU332" i="13"/>
  <c r="P41" i="13"/>
  <c r="C116" i="13"/>
  <c r="T45" i="13"/>
  <c r="S58" i="13"/>
  <c r="AH271" i="13"/>
  <c r="B320" i="13"/>
  <c r="BE71" i="13"/>
  <c r="AW134" i="13"/>
  <c r="BQ212" i="13"/>
  <c r="C8" i="13"/>
  <c r="BA143" i="13"/>
  <c r="AF238" i="13"/>
  <c r="V287" i="13"/>
  <c r="BT32" i="13"/>
  <c r="BR106" i="13"/>
  <c r="BL37" i="13"/>
  <c r="AL151" i="13"/>
  <c r="R48" i="13"/>
  <c r="AG501" i="13"/>
  <c r="BL41" i="13"/>
  <c r="AJ102" i="13"/>
  <c r="BO232" i="13"/>
  <c r="N106" i="13"/>
  <c r="B41" i="13"/>
  <c r="AW86" i="13"/>
  <c r="N71" i="13"/>
  <c r="BN131" i="13"/>
  <c r="AT130" i="13"/>
  <c r="L115" i="13"/>
  <c r="AM204" i="13"/>
  <c r="BU128" i="13"/>
  <c r="C102" i="13"/>
  <c r="BV6" i="13"/>
  <c r="BP40" i="13"/>
  <c r="A473" i="13"/>
  <c r="D336" i="13"/>
  <c r="AI50" i="13"/>
  <c r="AD401" i="13"/>
  <c r="Z165" i="13"/>
  <c r="BI32" i="13"/>
  <c r="J47" i="13"/>
  <c r="AU292" i="13"/>
  <c r="AX7" i="13"/>
  <c r="BN296" i="13"/>
  <c r="S146" i="13"/>
  <c r="S155" i="13"/>
  <c r="BC64" i="13"/>
  <c r="BF45" i="13"/>
  <c r="AZ332" i="13"/>
  <c r="AB87" i="13"/>
  <c r="C362" i="13"/>
  <c r="L7" i="13"/>
  <c r="U22" i="13"/>
  <c r="M41" i="13"/>
  <c r="BV38" i="13"/>
  <c r="AC74" i="13"/>
  <c r="AY38" i="13"/>
  <c r="AZ25" i="13"/>
  <c r="P163" i="13"/>
  <c r="BI11" i="13"/>
  <c r="AO348" i="13"/>
  <c r="BU98" i="13"/>
  <c r="W119" i="13"/>
  <c r="BR34" i="13"/>
  <c r="AL38" i="13"/>
  <c r="AX47" i="13"/>
  <c r="Y45" i="13"/>
  <c r="BC42" i="13"/>
  <c r="AY60" i="13"/>
  <c r="AQ217" i="13"/>
  <c r="AW99" i="13"/>
  <c r="AK67" i="13"/>
  <c r="AT128" i="13"/>
  <c r="BF200" i="13"/>
  <c r="K219" i="13"/>
  <c r="AW62" i="13"/>
  <c r="AB57" i="13"/>
  <c r="BR29" i="13"/>
  <c r="BU93" i="13"/>
  <c r="BB117" i="13"/>
  <c r="BE69" i="13"/>
  <c r="R179" i="13"/>
  <c r="AE175" i="13"/>
  <c r="N28" i="13"/>
  <c r="BJ39" i="13"/>
  <c r="AH108" i="13"/>
  <c r="AI117" i="13"/>
  <c r="AD96" i="13"/>
  <c r="AR76" i="13"/>
  <c r="AU79" i="13"/>
  <c r="H53" i="13"/>
  <c r="BA60" i="13"/>
  <c r="U162" i="13"/>
  <c r="AT121" i="13"/>
  <c r="P186" i="13"/>
  <c r="J104" i="13"/>
  <c r="AT146" i="13"/>
  <c r="BO238" i="13"/>
  <c r="S92" i="13"/>
  <c r="BC101" i="13"/>
  <c r="AW206" i="13"/>
  <c r="BI64" i="13"/>
  <c r="Z121" i="13"/>
  <c r="BN169" i="13"/>
  <c r="BO454" i="13"/>
  <c r="BS155" i="13"/>
  <c r="P100" i="13"/>
  <c r="U331" i="13"/>
  <c r="Q274" i="13"/>
  <c r="BD96" i="13"/>
  <c r="S118" i="13"/>
  <c r="L66" i="13"/>
  <c r="AJ497" i="13"/>
  <c r="G76" i="13"/>
  <c r="BH158" i="13"/>
  <c r="BO253" i="13"/>
  <c r="BS57" i="13"/>
  <c r="BL133" i="13"/>
  <c r="AN87" i="13"/>
  <c r="BU191" i="13"/>
  <c r="AN99" i="13"/>
  <c r="AI138" i="13"/>
  <c r="BM54" i="13"/>
  <c r="J114" i="13"/>
  <c r="X149" i="13"/>
  <c r="L159" i="13"/>
  <c r="BD155" i="13"/>
  <c r="AY179" i="13"/>
  <c r="AC64" i="13"/>
  <c r="BL230" i="13"/>
  <c r="BD360" i="13"/>
  <c r="AA111" i="13"/>
  <c r="BS56" i="13"/>
  <c r="G266" i="13"/>
  <c r="AY119" i="13"/>
  <c r="L189" i="13"/>
  <c r="AO386" i="13"/>
  <c r="V147" i="13"/>
  <c r="L203" i="13"/>
  <c r="AT15" i="13"/>
  <c r="AL96" i="13"/>
  <c r="G212" i="13"/>
  <c r="AV53" i="13"/>
  <c r="BD329" i="13"/>
  <c r="O83" i="13"/>
  <c r="E247" i="13"/>
  <c r="I238" i="13"/>
  <c r="AX104" i="13"/>
  <c r="BK320" i="13"/>
  <c r="AD63" i="13"/>
  <c r="O21" i="13"/>
  <c r="BJ191" i="13"/>
  <c r="R318" i="13"/>
  <c r="D9" i="13"/>
  <c r="AB139" i="13"/>
  <c r="Q336" i="13"/>
  <c r="AE37" i="13"/>
  <c r="BP165" i="13"/>
  <c r="BR62" i="13"/>
  <c r="AE266" i="13"/>
  <c r="BU457" i="13"/>
  <c r="V34" i="13"/>
  <c r="BK480" i="13"/>
  <c r="Y187" i="13"/>
  <c r="BW119" i="13"/>
  <c r="AP260" i="13"/>
  <c r="BI12" i="13"/>
  <c r="BE239" i="13"/>
  <c r="AC26" i="13"/>
  <c r="AL309" i="13"/>
  <c r="T109" i="13"/>
  <c r="L325" i="13"/>
  <c r="C293" i="13"/>
  <c r="AG73" i="13"/>
  <c r="AR31" i="13"/>
  <c r="L19" i="13"/>
  <c r="BL84" i="13"/>
  <c r="AU124" i="13"/>
  <c r="BS247" i="13"/>
  <c r="T76" i="13"/>
  <c r="BP382" i="13"/>
  <c r="S66" i="13"/>
  <c r="BN237" i="13"/>
  <c r="AF123" i="13"/>
  <c r="AO26" i="13"/>
  <c r="B158" i="13"/>
  <c r="Z413" i="13"/>
  <c r="G82" i="13"/>
  <c r="D37" i="13"/>
  <c r="AR174" i="13"/>
  <c r="Q188" i="13"/>
  <c r="B131" i="13"/>
  <c r="C123" i="13"/>
  <c r="X27" i="13"/>
  <c r="AG417" i="13"/>
  <c r="BP114" i="13"/>
  <c r="AQ26" i="13"/>
  <c r="BG254" i="13"/>
  <c r="BB203" i="13"/>
  <c r="AF47" i="13"/>
  <c r="Y17" i="13"/>
  <c r="BD129" i="13"/>
  <c r="BK398" i="13"/>
  <c r="B31" i="13"/>
  <c r="BB277" i="13"/>
  <c r="BW140" i="13"/>
  <c r="AR84" i="13"/>
  <c r="BK76" i="13"/>
  <c r="K60" i="13"/>
  <c r="AA145" i="13"/>
  <c r="AK79" i="13"/>
  <c r="BN283" i="13"/>
  <c r="BV332" i="13"/>
  <c r="D96" i="13"/>
  <c r="V386" i="13"/>
  <c r="AR41" i="13"/>
  <c r="AH95" i="13"/>
  <c r="BM26" i="13"/>
  <c r="AC41" i="13"/>
  <c r="Y30" i="13"/>
  <c r="AF137" i="13"/>
  <c r="N239" i="13"/>
  <c r="BE46" i="13"/>
  <c r="BP30" i="13"/>
  <c r="Y11" i="13"/>
  <c r="AS101" i="13"/>
  <c r="AY443" i="13"/>
  <c r="A68" i="13"/>
  <c r="S215" i="13"/>
  <c r="B113" i="13"/>
  <c r="AZ214" i="13"/>
  <c r="I269" i="13"/>
  <c r="AY466" i="13"/>
  <c r="Z34" i="13"/>
  <c r="AJ206" i="13"/>
  <c r="AL201" i="13"/>
  <c r="BL62" i="13"/>
  <c r="O78" i="13"/>
  <c r="A32" i="13"/>
  <c r="AT79" i="13"/>
  <c r="W9" i="13"/>
  <c r="AR130" i="13"/>
  <c r="AH188" i="13"/>
  <c r="K71" i="13"/>
  <c r="N72" i="13"/>
  <c r="BS237" i="13"/>
  <c r="E124" i="13"/>
  <c r="AL113" i="13"/>
  <c r="C489" i="13"/>
  <c r="BP137" i="13"/>
  <c r="BW177" i="13"/>
  <c r="AR101" i="13"/>
  <c r="AH283" i="13"/>
  <c r="Z29" i="13"/>
  <c r="AZ186" i="13"/>
  <c r="BQ92" i="13"/>
  <c r="M145" i="13"/>
  <c r="BE50" i="13"/>
  <c r="AS45" i="13"/>
  <c r="C42" i="13"/>
  <c r="AM45" i="13"/>
  <c r="BG88" i="13"/>
  <c r="AK321" i="13"/>
  <c r="AS21" i="13"/>
  <c r="AU243" i="13"/>
  <c r="AZ136" i="13"/>
  <c r="AE150" i="13"/>
  <c r="AY46" i="13"/>
  <c r="BG25" i="13"/>
  <c r="L213" i="13"/>
  <c r="AO42" i="13"/>
  <c r="G53" i="13"/>
  <c r="BQ131" i="13"/>
  <c r="N62" i="13"/>
  <c r="BO155" i="13"/>
  <c r="BR19" i="13"/>
  <c r="BK268" i="13"/>
  <c r="W68" i="13"/>
  <c r="AD11" i="13"/>
  <c r="AG351" i="13"/>
  <c r="F28" i="13"/>
  <c r="BP65" i="13"/>
  <c r="BD268" i="13"/>
  <c r="AU438" i="13"/>
  <c r="BV56" i="13"/>
  <c r="J141" i="13"/>
  <c r="BK123" i="13"/>
  <c r="V60" i="13"/>
  <c r="AV377" i="13"/>
  <c r="BB472" i="13"/>
  <c r="U77" i="13"/>
  <c r="BQ19" i="13"/>
  <c r="AS195" i="13"/>
  <c r="G292" i="13"/>
  <c r="AN75" i="13"/>
  <c r="BR85" i="13"/>
  <c r="AF187" i="13"/>
  <c r="AF87" i="13"/>
  <c r="AO286" i="13"/>
  <c r="AP391" i="13"/>
  <c r="AM456" i="13"/>
  <c r="BQ304" i="13"/>
  <c r="W30" i="13"/>
  <c r="BW451" i="13"/>
  <c r="D383" i="13"/>
  <c r="S19" i="13"/>
  <c r="X204" i="13"/>
  <c r="K106" i="13"/>
  <c r="G49" i="13"/>
  <c r="Y200" i="13"/>
  <c r="BJ75" i="13"/>
  <c r="BQ126" i="13"/>
  <c r="L153" i="13"/>
  <c r="O57" i="13"/>
  <c r="R25" i="13"/>
  <c r="AT40" i="13"/>
  <c r="BS28" i="13"/>
  <c r="AW286" i="13"/>
  <c r="D88" i="13"/>
  <c r="AU491" i="13"/>
  <c r="BP218" i="13"/>
  <c r="I58" i="13"/>
  <c r="AU251" i="13"/>
  <c r="P208" i="13"/>
  <c r="AI99" i="13"/>
  <c r="BG39" i="13"/>
  <c r="BL100" i="13"/>
  <c r="AQ296" i="13"/>
  <c r="J94" i="13"/>
  <c r="B59" i="13"/>
  <c r="AM103" i="13"/>
  <c r="AS35" i="13"/>
  <c r="BJ99" i="13"/>
  <c r="H57" i="13"/>
  <c r="G30" i="13"/>
  <c r="BS102" i="13"/>
  <c r="AK52" i="13"/>
  <c r="AT27" i="13"/>
  <c r="O82" i="13"/>
  <c r="AI31" i="13"/>
  <c r="L84" i="13"/>
  <c r="BM218" i="13"/>
  <c r="BS122" i="13"/>
  <c r="AH430" i="13"/>
  <c r="BF212" i="13"/>
  <c r="U302" i="13"/>
  <c r="AO61" i="13"/>
  <c r="S30" i="13"/>
  <c r="U123" i="13"/>
  <c r="BF51" i="13"/>
  <c r="AZ22" i="13"/>
  <c r="BT330" i="13"/>
  <c r="C150" i="13"/>
  <c r="BF81" i="13"/>
  <c r="AF142" i="13"/>
  <c r="AC172" i="13"/>
  <c r="AJ104" i="13"/>
  <c r="BF208" i="13"/>
  <c r="R39" i="13"/>
  <c r="BP34" i="13"/>
  <c r="AM110" i="13"/>
  <c r="BT133" i="13"/>
  <c r="R69" i="13"/>
  <c r="S38" i="13"/>
  <c r="AS134" i="13"/>
  <c r="AC238" i="13"/>
  <c r="BT79" i="13"/>
  <c r="E78" i="13"/>
  <c r="Y125" i="13"/>
  <c r="C157" i="13"/>
  <c r="P392" i="13"/>
  <c r="BW159" i="13"/>
  <c r="K163" i="13"/>
  <c r="AP159" i="13"/>
  <c r="AK37" i="13"/>
  <c r="AX118" i="13"/>
  <c r="BU23" i="13"/>
  <c r="AJ46" i="13"/>
  <c r="AD138" i="13"/>
  <c r="F54" i="13"/>
  <c r="S55" i="13"/>
  <c r="BV99" i="13"/>
  <c r="AM483" i="13"/>
  <c r="BN167" i="13"/>
  <c r="BQ96" i="13"/>
  <c r="BF34" i="13"/>
  <c r="AA4" i="13"/>
  <c r="X13" i="13"/>
  <c r="BF122" i="13"/>
  <c r="E37" i="13"/>
  <c r="AE31" i="13"/>
  <c r="N202" i="13"/>
  <c r="M262" i="13"/>
  <c r="U151" i="13"/>
  <c r="BN316" i="13"/>
  <c r="AA77" i="13"/>
  <c r="AM188" i="13"/>
  <c r="H66" i="13"/>
  <c r="BJ66" i="13"/>
  <c r="AR452" i="13"/>
  <c r="AY237" i="13"/>
  <c r="B91" i="13"/>
  <c r="BP144" i="13"/>
  <c r="BG44" i="13"/>
  <c r="BA232" i="13"/>
  <c r="AE167" i="13"/>
  <c r="AT89" i="13"/>
  <c r="AB43" i="13"/>
  <c r="AL415" i="13"/>
  <c r="BG320" i="13"/>
  <c r="G251" i="13"/>
  <c r="AX37" i="13"/>
  <c r="M226" i="13"/>
  <c r="BI96" i="13"/>
  <c r="J19" i="13"/>
  <c r="BO50" i="13"/>
  <c r="BN179" i="13"/>
  <c r="N264" i="13"/>
  <c r="AW204" i="13"/>
  <c r="BM69" i="13"/>
  <c r="B67" i="13"/>
  <c r="AO387" i="13"/>
  <c r="AJ82" i="13"/>
  <c r="AO100" i="13"/>
  <c r="AD256" i="13"/>
  <c r="BJ126" i="13"/>
  <c r="AN282" i="13"/>
  <c r="F76" i="13"/>
  <c r="BW77" i="13"/>
  <c r="BR308" i="13"/>
  <c r="BT348" i="13"/>
  <c r="AP185" i="13"/>
  <c r="BG324" i="13"/>
  <c r="AF133" i="13"/>
  <c r="BL218" i="13"/>
  <c r="N23" i="13"/>
  <c r="BL179" i="13"/>
  <c r="B149" i="13"/>
  <c r="AO144" i="13"/>
  <c r="W258" i="13"/>
  <c r="BV264" i="13"/>
  <c r="BB131" i="13"/>
  <c r="AA397" i="13"/>
  <c r="AA81" i="13"/>
  <c r="BO24" i="13"/>
  <c r="AA140" i="13"/>
  <c r="BS81" i="13"/>
  <c r="R140" i="13"/>
  <c r="AZ52" i="13"/>
  <c r="AO151" i="13"/>
  <c r="AZ298" i="13"/>
  <c r="AS39" i="13"/>
  <c r="AB239" i="13"/>
  <c r="Q216" i="13"/>
  <c r="AI24" i="13"/>
  <c r="X257" i="13"/>
  <c r="T299" i="13"/>
  <c r="J38" i="13"/>
  <c r="AH288" i="13"/>
  <c r="BT326" i="13"/>
  <c r="AA13" i="13"/>
  <c r="A104" i="13"/>
  <c r="BU358" i="13"/>
  <c r="BF105" i="13"/>
  <c r="E88" i="13"/>
  <c r="W464" i="13"/>
  <c r="BW56" i="13"/>
  <c r="BM75" i="13"/>
  <c r="L21" i="13"/>
  <c r="AI255" i="13"/>
  <c r="AL25" i="13"/>
  <c r="M311" i="13"/>
  <c r="AQ312" i="13"/>
  <c r="L480" i="13"/>
  <c r="AA147" i="13"/>
  <c r="W154" i="13"/>
  <c r="O170" i="13"/>
  <c r="AU33" i="13"/>
  <c r="BT96" i="13"/>
  <c r="J33" i="13"/>
  <c r="BR42" i="13"/>
  <c r="BB14" i="13"/>
  <c r="N291" i="13"/>
  <c r="A238" i="13"/>
  <c r="AC105" i="13"/>
  <c r="AD295" i="13"/>
  <c r="AE182" i="13"/>
  <c r="D471" i="13"/>
  <c r="AM3" i="13"/>
  <c r="C273" i="13"/>
  <c r="S340" i="13"/>
  <c r="AG104" i="13"/>
  <c r="BO179" i="13"/>
  <c r="Z362" i="13"/>
  <c r="L343" i="13"/>
  <c r="BF115" i="13"/>
  <c r="AX75" i="13"/>
  <c r="BA132" i="13"/>
  <c r="BC99" i="13"/>
  <c r="U67" i="13"/>
  <c r="BN19" i="13"/>
  <c r="AD75" i="13"/>
  <c r="AX101" i="13"/>
  <c r="H56" i="13"/>
  <c r="BA376" i="13"/>
  <c r="F86" i="13"/>
  <c r="M260" i="13"/>
  <c r="BA185" i="13"/>
  <c r="BD419" i="13"/>
  <c r="BC152" i="13"/>
  <c r="AX486" i="13"/>
  <c r="AQ36" i="13"/>
  <c r="AL63" i="13"/>
  <c r="Y25" i="13"/>
  <c r="AH156" i="13"/>
  <c r="BG129" i="13"/>
  <c r="L67" i="13"/>
  <c r="BE160" i="13"/>
  <c r="BE333" i="13"/>
  <c r="BQ106" i="13"/>
  <c r="X87" i="13"/>
  <c r="AN174" i="13"/>
  <c r="T49" i="13"/>
  <c r="Q187" i="13"/>
  <c r="BI109" i="13"/>
  <c r="AK319" i="13"/>
  <c r="AW235" i="13"/>
  <c r="J485" i="13"/>
  <c r="AU36" i="13"/>
  <c r="BM230" i="13"/>
  <c r="Z56" i="13"/>
  <c r="BJ2" i="13"/>
  <c r="AF89" i="13"/>
  <c r="AR46" i="13"/>
  <c r="BJ7" i="13"/>
  <c r="C310" i="13"/>
  <c r="C194" i="13"/>
  <c r="AT209" i="13"/>
  <c r="V192" i="13"/>
  <c r="BK5" i="13"/>
  <c r="N185" i="13"/>
  <c r="AE74" i="13"/>
  <c r="AE294" i="13"/>
  <c r="U250" i="13"/>
  <c r="AO180" i="13"/>
  <c r="BU73" i="13"/>
  <c r="E275" i="13"/>
  <c r="A52" i="13"/>
  <c r="A175" i="13"/>
  <c r="AF53" i="13"/>
  <c r="S437" i="13"/>
  <c r="AP123" i="13"/>
  <c r="S111" i="13"/>
  <c r="BH182" i="13"/>
  <c r="BF456" i="13"/>
  <c r="J28" i="13"/>
  <c r="AT200" i="13"/>
  <c r="BD154" i="13"/>
  <c r="BE446" i="13"/>
  <c r="V14" i="13"/>
  <c r="AK163" i="13"/>
  <c r="AW43" i="13"/>
  <c r="R103" i="13"/>
  <c r="BS48" i="13"/>
  <c r="I115" i="13"/>
  <c r="AR5" i="13"/>
  <c r="AL66" i="13"/>
  <c r="BI60" i="13"/>
  <c r="AV84" i="13"/>
  <c r="AR61" i="13"/>
  <c r="AL86" i="13"/>
  <c r="AJ390" i="13"/>
  <c r="G268" i="13"/>
  <c r="BB132" i="13"/>
  <c r="V121" i="13"/>
  <c r="BF344" i="13"/>
  <c r="AE252" i="13"/>
  <c r="BK85" i="13"/>
  <c r="BV422" i="13"/>
  <c r="G64" i="13"/>
  <c r="BQ53" i="13"/>
  <c r="BJ449" i="13"/>
  <c r="BC144" i="13"/>
  <c r="F139" i="13"/>
  <c r="AH41" i="13"/>
  <c r="AZ152" i="13"/>
  <c r="BP47" i="13"/>
  <c r="AT172" i="13"/>
  <c r="BH108" i="13"/>
  <c r="BQ220" i="13"/>
  <c r="P301" i="13"/>
  <c r="AD341" i="13"/>
  <c r="BA32" i="13"/>
  <c r="S16" i="13"/>
  <c r="S153" i="13"/>
  <c r="AD199" i="13"/>
  <c r="V130" i="13"/>
  <c r="BE62" i="13"/>
  <c r="BT295" i="13"/>
  <c r="X282" i="13"/>
  <c r="BB33" i="13"/>
  <c r="AK126" i="13"/>
  <c r="BC172" i="13"/>
  <c r="AJ60" i="13"/>
  <c r="I401" i="13"/>
  <c r="L476" i="13"/>
  <c r="J151" i="13"/>
  <c r="BF130" i="13"/>
  <c r="AT63" i="13"/>
  <c r="O31" i="13"/>
  <c r="K321" i="13"/>
  <c r="BO91" i="13"/>
  <c r="AM121" i="13"/>
  <c r="M228" i="13"/>
  <c r="BU48" i="13"/>
  <c r="AF56" i="13"/>
  <c r="AM370" i="13"/>
  <c r="BJ431" i="13"/>
  <c r="S85" i="13"/>
  <c r="AP76" i="13"/>
  <c r="AO49" i="13"/>
  <c r="BQ61" i="13"/>
  <c r="M280" i="13"/>
  <c r="BW73" i="13"/>
  <c r="BI85" i="13"/>
  <c r="AH15" i="13"/>
  <c r="G95" i="13"/>
  <c r="E86" i="13"/>
  <c r="AR186" i="13"/>
  <c r="AY197" i="13"/>
  <c r="BO62" i="13"/>
  <c r="B82" i="13"/>
  <c r="BF93" i="13"/>
  <c r="Y105" i="13"/>
  <c r="AC404" i="13"/>
  <c r="AF194" i="13"/>
  <c r="AE68" i="13"/>
  <c r="H156" i="13"/>
  <c r="BK210" i="13"/>
  <c r="AR89" i="13"/>
  <c r="J59" i="13"/>
  <c r="AM173" i="13"/>
  <c r="P250" i="13"/>
  <c r="AD229" i="13"/>
  <c r="AQ155" i="13"/>
  <c r="AL50" i="13"/>
  <c r="AS55" i="13"/>
  <c r="BM64" i="13"/>
  <c r="S99" i="13"/>
  <c r="BQ253" i="13"/>
  <c r="E323" i="13"/>
  <c r="B471" i="13"/>
  <c r="AA238" i="13"/>
  <c r="AH115" i="13"/>
  <c r="L70" i="13"/>
  <c r="BP255" i="13"/>
  <c r="BJ175" i="13"/>
  <c r="J198" i="13"/>
  <c r="BG387" i="13"/>
  <c r="AD323" i="13"/>
  <c r="AL208" i="13"/>
  <c r="AW199" i="13"/>
  <c r="BO55" i="13"/>
  <c r="V451" i="13"/>
  <c r="BK33" i="13"/>
  <c r="M151" i="13"/>
  <c r="U332" i="13"/>
  <c r="AE55" i="13"/>
  <c r="BH218" i="13"/>
  <c r="P25" i="13"/>
  <c r="AO28" i="13"/>
  <c r="AL154" i="13"/>
  <c r="AF363" i="13"/>
  <c r="AQ50" i="13"/>
  <c r="AM37" i="13"/>
  <c r="C140" i="13"/>
  <c r="P251" i="13"/>
  <c r="X37" i="13"/>
  <c r="BL108" i="13"/>
  <c r="AH337" i="13"/>
  <c r="BL156" i="13"/>
  <c r="F145" i="13"/>
  <c r="AI155" i="13"/>
  <c r="V340" i="13"/>
  <c r="J112" i="13"/>
  <c r="BS426" i="13"/>
  <c r="AK501" i="13"/>
  <c r="BN44" i="13"/>
  <c r="H187" i="13"/>
  <c r="BT78" i="13"/>
  <c r="X262" i="13"/>
  <c r="AX35" i="13"/>
  <c r="BJ164" i="13"/>
  <c r="BW43" i="13"/>
  <c r="BR22" i="13"/>
  <c r="AP19" i="13"/>
  <c r="BF59" i="13"/>
  <c r="BC112" i="13"/>
  <c r="AL378" i="13"/>
  <c r="E159" i="13"/>
  <c r="BR131" i="13"/>
  <c r="AM273" i="13"/>
  <c r="K341" i="13"/>
  <c r="AU210" i="13"/>
  <c r="M113" i="13"/>
  <c r="AR221" i="13"/>
  <c r="L165" i="13"/>
  <c r="AF384" i="13"/>
  <c r="BT151" i="13"/>
  <c r="E321" i="13"/>
  <c r="BG27" i="13"/>
  <c r="BI373" i="13"/>
  <c r="BG240" i="13"/>
  <c r="BU43" i="13"/>
  <c r="AJ269" i="13"/>
  <c r="BN86" i="13"/>
  <c r="AK308" i="13"/>
  <c r="L79" i="13"/>
  <c r="BH427" i="13"/>
  <c r="AY202" i="13"/>
  <c r="BN105" i="13"/>
  <c r="BC259" i="13"/>
  <c r="S491" i="13"/>
  <c r="Y32" i="13"/>
  <c r="AM79" i="13"/>
  <c r="N209" i="13"/>
  <c r="BV243" i="13"/>
  <c r="P247" i="13"/>
  <c r="BQ42" i="13"/>
  <c r="AB159" i="13"/>
  <c r="S492" i="13"/>
  <c r="O85" i="13"/>
  <c r="BM43" i="13"/>
  <c r="W183" i="13"/>
  <c r="AW101" i="13"/>
  <c r="AV40" i="13"/>
  <c r="BF123" i="13"/>
  <c r="BG253" i="13"/>
  <c r="AK257" i="13"/>
  <c r="Y283" i="13"/>
  <c r="AH142" i="13"/>
  <c r="BW65" i="13"/>
  <c r="E288" i="13"/>
  <c r="AB251" i="13"/>
  <c r="AR19" i="13"/>
  <c r="AB117" i="13"/>
  <c r="U179" i="13"/>
  <c r="BM224" i="13"/>
  <c r="AA343" i="13"/>
  <c r="BR266" i="13"/>
  <c r="C109" i="13"/>
  <c r="AW298" i="13"/>
  <c r="BS190" i="13"/>
  <c r="BS168" i="13"/>
  <c r="P111" i="13"/>
  <c r="M242" i="13"/>
  <c r="AX74" i="13"/>
  <c r="BN31" i="13"/>
  <c r="U275" i="13"/>
  <c r="AN91" i="13"/>
  <c r="BT436" i="13"/>
  <c r="BU4" i="13"/>
  <c r="I71" i="13"/>
  <c r="BH472" i="13"/>
  <c r="AT46" i="13"/>
  <c r="X20" i="13"/>
  <c r="AJ215" i="13"/>
  <c r="BN60" i="13"/>
  <c r="BA180" i="13"/>
  <c r="BH343" i="13"/>
  <c r="BW173" i="13"/>
  <c r="V303" i="13"/>
  <c r="BT103" i="13"/>
  <c r="N11" i="13"/>
  <c r="W170" i="13"/>
  <c r="AB457" i="13"/>
  <c r="C163" i="13"/>
  <c r="N119" i="13"/>
  <c r="AH12" i="13"/>
  <c r="AV137" i="13"/>
  <c r="BU31" i="13"/>
  <c r="AY103" i="13"/>
  <c r="N58" i="13"/>
  <c r="AE216" i="13"/>
  <c r="BA266" i="13"/>
  <c r="AN52" i="13"/>
  <c r="M29" i="13"/>
  <c r="BT246" i="13"/>
  <c r="Y56" i="13"/>
  <c r="B449" i="13"/>
  <c r="BN376" i="13"/>
  <c r="H209" i="13"/>
  <c r="AD98" i="13"/>
  <c r="U243" i="13"/>
  <c r="AY166" i="13"/>
  <c r="H291" i="13"/>
  <c r="AY75" i="13"/>
  <c r="BA128" i="13"/>
  <c r="Q99" i="13"/>
  <c r="BH138" i="13"/>
  <c r="BU33" i="13"/>
  <c r="I88" i="13"/>
  <c r="G403" i="13"/>
  <c r="AH330" i="13"/>
  <c r="BH490" i="13"/>
  <c r="AZ132" i="13"/>
  <c r="BB418" i="13"/>
  <c r="AO73" i="13"/>
  <c r="AT205" i="13"/>
  <c r="AB65" i="13"/>
  <c r="H60" i="13"/>
  <c r="J243" i="13"/>
  <c r="AW165" i="13"/>
  <c r="U99" i="13"/>
  <c r="BA215" i="13"/>
  <c r="X40" i="13"/>
  <c r="BD79" i="13"/>
  <c r="AQ261" i="13"/>
  <c r="O305" i="13"/>
  <c r="BJ43" i="13"/>
  <c r="BW83" i="13"/>
  <c r="AU187" i="13"/>
  <c r="AH159" i="13"/>
  <c r="AC217" i="13"/>
  <c r="V109" i="13"/>
  <c r="BU176" i="13"/>
  <c r="V42" i="13"/>
  <c r="AD74" i="13"/>
  <c r="E144" i="13"/>
  <c r="AS74" i="13"/>
  <c r="BB167" i="13"/>
  <c r="BG233" i="13"/>
  <c r="AJ257" i="13"/>
  <c r="BH245" i="13"/>
  <c r="Z160" i="13"/>
  <c r="BN120" i="13"/>
  <c r="AF219" i="13"/>
  <c r="AS10" i="13"/>
  <c r="AX401" i="13"/>
  <c r="AM99" i="13"/>
  <c r="AZ61" i="13"/>
  <c r="AJ65" i="13"/>
  <c r="Y161" i="13"/>
  <c r="D2" i="13"/>
  <c r="AK61" i="13"/>
  <c r="BH100" i="13"/>
  <c r="AD44" i="13"/>
  <c r="BU58" i="13"/>
  <c r="F437" i="13"/>
  <c r="AD13" i="13"/>
  <c r="AI406" i="13"/>
  <c r="BA124" i="13"/>
  <c r="AS194" i="13"/>
  <c r="AL85" i="13"/>
  <c r="R38" i="13"/>
  <c r="BC181" i="13"/>
  <c r="BH198" i="13"/>
  <c r="J60" i="13"/>
  <c r="AK89" i="13"/>
  <c r="BN141" i="13"/>
  <c r="BC37" i="13"/>
  <c r="AQ467" i="13"/>
  <c r="AC192" i="13"/>
  <c r="BK16" i="13"/>
  <c r="X285" i="13"/>
  <c r="BG103" i="13"/>
  <c r="B97" i="13"/>
  <c r="L97" i="13"/>
  <c r="O251" i="13"/>
  <c r="AA429" i="13"/>
  <c r="AX33" i="13"/>
  <c r="BV370" i="13"/>
  <c r="N70" i="13"/>
  <c r="BU62" i="13"/>
  <c r="L88" i="13"/>
  <c r="AR151" i="13"/>
  <c r="BQ135" i="13"/>
  <c r="AF341" i="13"/>
  <c r="D106" i="13"/>
  <c r="BF52" i="13"/>
  <c r="AL79" i="13"/>
  <c r="BT29" i="13"/>
  <c r="BP295" i="13"/>
  <c r="F246" i="13"/>
  <c r="J23" i="13"/>
  <c r="BT145" i="13"/>
  <c r="G114" i="13"/>
  <c r="P102" i="13"/>
  <c r="U291" i="13"/>
  <c r="P183" i="13"/>
  <c r="U156" i="13"/>
  <c r="BK91" i="13"/>
  <c r="BV106" i="13"/>
  <c r="BN114" i="13"/>
  <c r="Q32" i="13"/>
  <c r="BS3" i="13"/>
  <c r="I103" i="13"/>
  <c r="BE75" i="13"/>
  <c r="Y109" i="13"/>
  <c r="X108" i="13"/>
  <c r="BO482" i="13"/>
  <c r="K87" i="13"/>
  <c r="AS301" i="13"/>
  <c r="AP90" i="13"/>
  <c r="G99" i="13"/>
  <c r="AX247" i="13"/>
  <c r="G43" i="13"/>
  <c r="Q109" i="13"/>
  <c r="AY74" i="13"/>
  <c r="AG106" i="13"/>
  <c r="F55" i="13"/>
  <c r="Z138" i="13"/>
  <c r="AQ123" i="13"/>
  <c r="AX40" i="13"/>
  <c r="AS267" i="13"/>
  <c r="V292" i="13"/>
  <c r="AU107" i="13"/>
  <c r="AU64" i="13"/>
  <c r="AG146" i="13"/>
  <c r="AP112" i="13"/>
  <c r="BN66" i="13"/>
  <c r="N34" i="13"/>
  <c r="B71" i="13"/>
  <c r="BC11" i="13"/>
  <c r="BO76" i="13"/>
  <c r="AG83" i="13"/>
  <c r="BA66" i="13"/>
  <c r="BT53" i="13"/>
  <c r="AW49" i="13"/>
  <c r="BW74" i="13"/>
  <c r="AL102" i="13"/>
  <c r="BC48" i="13"/>
  <c r="Z242" i="13"/>
  <c r="AS221" i="13"/>
  <c r="AA184" i="13"/>
  <c r="BN363" i="13"/>
  <c r="BM227" i="13"/>
  <c r="BL388" i="13"/>
  <c r="A82" i="13"/>
  <c r="AZ165" i="13"/>
  <c r="BU126" i="13"/>
  <c r="H163" i="13"/>
  <c r="L37" i="13"/>
  <c r="BE59" i="13"/>
  <c r="AA94" i="13"/>
  <c r="BL288" i="13"/>
  <c r="BT47" i="13"/>
  <c r="BO51" i="13"/>
  <c r="AB107" i="13"/>
  <c r="BG58" i="13"/>
  <c r="AK127" i="13"/>
  <c r="A363" i="13"/>
  <c r="AQ21" i="13"/>
  <c r="O59" i="13"/>
  <c r="AG43" i="13"/>
  <c r="BH32" i="13"/>
  <c r="AY42" i="13"/>
  <c r="D240" i="13"/>
  <c r="AU31" i="13"/>
  <c r="AC100" i="13"/>
  <c r="B374" i="13"/>
  <c r="V256" i="13"/>
  <c r="AO39" i="13"/>
  <c r="AO228" i="13"/>
  <c r="AU182" i="13"/>
  <c r="BB82" i="13"/>
  <c r="C25" i="13"/>
  <c r="BO336" i="13"/>
  <c r="AF16" i="13"/>
  <c r="L27" i="13"/>
  <c r="BM192" i="13"/>
  <c r="J245" i="13"/>
  <c r="AP51" i="13"/>
  <c r="AX111" i="13"/>
  <c r="BC378" i="13"/>
  <c r="AZ355" i="13"/>
  <c r="AS487" i="13"/>
  <c r="AU495" i="13"/>
  <c r="AE14" i="13"/>
  <c r="A121" i="13"/>
  <c r="AV198" i="13"/>
  <c r="K224" i="13"/>
  <c r="AC120" i="13"/>
  <c r="AW21" i="13"/>
  <c r="K120" i="13"/>
  <c r="BS39" i="13"/>
  <c r="V110" i="13"/>
  <c r="BS257" i="13"/>
  <c r="Y157" i="13"/>
  <c r="AF111" i="13"/>
  <c r="BL64" i="13"/>
  <c r="AQ246" i="13"/>
  <c r="W74" i="13"/>
  <c r="BN87" i="13"/>
  <c r="BT86" i="13"/>
  <c r="AN368" i="13"/>
  <c r="BJ159" i="13"/>
  <c r="BW137" i="13"/>
  <c r="BL193" i="13"/>
  <c r="AU169" i="13"/>
  <c r="AD159" i="13"/>
  <c r="BU159" i="13"/>
  <c r="BS105" i="13"/>
  <c r="C85" i="13"/>
  <c r="BR303" i="13"/>
  <c r="Y31" i="13"/>
  <c r="AH307" i="13"/>
  <c r="BD109" i="13"/>
  <c r="U104" i="13"/>
  <c r="BS21" i="13"/>
  <c r="W351" i="13"/>
  <c r="BD59" i="13"/>
  <c r="AJ57" i="13"/>
  <c r="BM56" i="13"/>
  <c r="AA362" i="13"/>
  <c r="AI214" i="13"/>
  <c r="BC399" i="13"/>
  <c r="BW21" i="13"/>
  <c r="BF66" i="13"/>
  <c r="J236" i="13"/>
  <c r="I120" i="13"/>
  <c r="A323" i="13"/>
  <c r="AZ262" i="13"/>
  <c r="BL292" i="13"/>
  <c r="T376" i="13"/>
  <c r="D133" i="13"/>
  <c r="O104" i="13"/>
  <c r="BT11" i="13"/>
  <c r="T83" i="13"/>
  <c r="N91" i="13"/>
  <c r="AZ147" i="13"/>
  <c r="BW400" i="13"/>
  <c r="L129" i="13"/>
  <c r="BW145" i="13"/>
  <c r="T161" i="13"/>
  <c r="AR85" i="13"/>
  <c r="AV112" i="13"/>
  <c r="BM58" i="13"/>
  <c r="I176" i="13"/>
  <c r="BL191" i="13"/>
  <c r="M120" i="13"/>
  <c r="T70" i="13"/>
  <c r="M53" i="13"/>
  <c r="U310" i="13"/>
  <c r="BJ140" i="13"/>
  <c r="AJ76" i="13"/>
  <c r="T271" i="13"/>
  <c r="BD78" i="13"/>
  <c r="BQ337" i="13"/>
  <c r="N63" i="13"/>
  <c r="BG145" i="13"/>
  <c r="AM105" i="13"/>
  <c r="G13" i="13"/>
  <c r="BR107" i="13"/>
  <c r="Z51" i="13"/>
  <c r="L60" i="13"/>
  <c r="T251" i="13"/>
  <c r="O43" i="13"/>
  <c r="Y151" i="13"/>
  <c r="BO10" i="13"/>
  <c r="L149" i="13"/>
  <c r="X58" i="13"/>
  <c r="BS189" i="13"/>
  <c r="Z224" i="13"/>
  <c r="BP91" i="13"/>
  <c r="O288" i="13"/>
  <c r="X123" i="13"/>
  <c r="AA112" i="13"/>
  <c r="BN205" i="13"/>
  <c r="BH351" i="13"/>
  <c r="BJ149" i="13"/>
  <c r="I123" i="13"/>
  <c r="O119" i="13"/>
  <c r="K10" i="13"/>
  <c r="S379" i="13"/>
  <c r="BC87" i="13"/>
  <c r="BT204" i="13"/>
  <c r="AQ234" i="13"/>
  <c r="AP296" i="13"/>
  <c r="AJ17" i="13"/>
  <c r="G65" i="13"/>
  <c r="R92" i="13"/>
  <c r="BB261" i="13"/>
  <c r="BS38" i="13"/>
  <c r="G105" i="13"/>
  <c r="A14" i="13"/>
  <c r="BU199" i="13"/>
  <c r="AO17" i="13"/>
  <c r="AD84" i="13"/>
  <c r="BU61" i="13"/>
  <c r="N92" i="13"/>
  <c r="AH43" i="13"/>
  <c r="B200" i="13"/>
  <c r="S120" i="13"/>
  <c r="AN109" i="13"/>
  <c r="BN58" i="13"/>
  <c r="AK96" i="13"/>
  <c r="AA337" i="13"/>
  <c r="BJ200" i="13"/>
  <c r="AQ160" i="13"/>
  <c r="V45" i="13"/>
  <c r="AL46" i="13"/>
  <c r="AL42" i="13"/>
  <c r="AQ40" i="13"/>
  <c r="AO395" i="13"/>
  <c r="BT34" i="13"/>
  <c r="BE49" i="13"/>
  <c r="M450" i="13"/>
  <c r="BD387" i="13"/>
  <c r="AR137" i="13"/>
  <c r="AD264" i="13"/>
  <c r="N229" i="13"/>
  <c r="AY44" i="13"/>
  <c r="Y229" i="13"/>
  <c r="BD33" i="13"/>
  <c r="BS80" i="13"/>
  <c r="BM169" i="13"/>
  <c r="V49" i="13"/>
  <c r="AS414" i="13"/>
  <c r="BD308" i="13"/>
  <c r="X129" i="13"/>
  <c r="AN42" i="13"/>
  <c r="O40" i="13"/>
  <c r="J91" i="13"/>
  <c r="BG106" i="13"/>
  <c r="M237" i="13"/>
  <c r="AV208" i="13"/>
  <c r="AL127" i="13"/>
  <c r="W346" i="13"/>
  <c r="AR15" i="13"/>
  <c r="BM97" i="13"/>
  <c r="D47" i="13"/>
  <c r="N460" i="13"/>
  <c r="BF3" i="13"/>
  <c r="BL122" i="13"/>
  <c r="Q255" i="13"/>
  <c r="M289" i="13"/>
  <c r="AW147" i="13"/>
  <c r="BD47" i="13"/>
  <c r="AW17" i="13"/>
  <c r="BU104" i="13"/>
  <c r="AZ473" i="13"/>
  <c r="BJ177" i="13"/>
  <c r="Y168" i="13"/>
  <c r="AC112" i="13"/>
  <c r="BV196" i="13"/>
  <c r="B268" i="13"/>
  <c r="BM270" i="13"/>
  <c r="AU163" i="13"/>
  <c r="AU30" i="13"/>
  <c r="AU94" i="13"/>
  <c r="BP49" i="13"/>
  <c r="BT36" i="13"/>
  <c r="Y24" i="13"/>
  <c r="BG41" i="13"/>
  <c r="B307" i="13"/>
  <c r="AT33" i="13"/>
  <c r="AL51" i="13"/>
  <c r="AQ368" i="13"/>
  <c r="Z59" i="13"/>
  <c r="T233" i="13"/>
  <c r="O58" i="13"/>
  <c r="S83" i="13"/>
  <c r="BK62" i="13"/>
  <c r="AI196" i="13"/>
  <c r="AX93" i="13"/>
  <c r="BL198" i="13"/>
  <c r="AQ189" i="13"/>
  <c r="BP231" i="13"/>
  <c r="L69" i="13"/>
  <c r="AD225" i="13"/>
  <c r="C36" i="13"/>
  <c r="C168" i="13"/>
  <c r="BP67" i="13"/>
  <c r="AA348" i="13"/>
  <c r="R16" i="13"/>
  <c r="AT317" i="13"/>
  <c r="BT119" i="13"/>
  <c r="T53" i="13"/>
  <c r="P496" i="13"/>
  <c r="AM205" i="13"/>
  <c r="N493" i="13"/>
  <c r="BT124" i="13"/>
  <c r="BS253" i="13"/>
  <c r="BD194" i="13"/>
  <c r="A171" i="13"/>
  <c r="B135" i="13"/>
  <c r="A303" i="13"/>
  <c r="AT98" i="13"/>
  <c r="AM135" i="13"/>
  <c r="J338" i="13"/>
  <c r="AY113" i="13"/>
  <c r="AX361" i="13"/>
  <c r="BL175" i="13"/>
  <c r="AU60" i="13"/>
  <c r="N466" i="13"/>
  <c r="AP62" i="13"/>
  <c r="AV32" i="13"/>
  <c r="BK407" i="13"/>
  <c r="C211" i="13"/>
  <c r="AF96" i="13"/>
  <c r="BS37" i="13"/>
  <c r="AU241" i="13"/>
  <c r="T175" i="13"/>
  <c r="O201" i="13"/>
  <c r="I84" i="13"/>
  <c r="AB208" i="13"/>
  <c r="AL77" i="13"/>
  <c r="X91" i="13"/>
  <c r="AC428" i="13"/>
  <c r="BU348" i="13"/>
  <c r="AY51" i="13"/>
  <c r="A165" i="13"/>
  <c r="BV195" i="13"/>
  <c r="AP126" i="13"/>
  <c r="H198" i="13"/>
  <c r="AJ471" i="13"/>
  <c r="J220" i="13"/>
  <c r="BJ197" i="13"/>
  <c r="BH143" i="13"/>
  <c r="AP438" i="13"/>
  <c r="AG94" i="13"/>
  <c r="X310" i="13"/>
  <c r="BV36" i="13"/>
  <c r="R87" i="13"/>
  <c r="T34" i="13"/>
  <c r="L341" i="13"/>
  <c r="BO57" i="13"/>
  <c r="N271" i="13"/>
  <c r="BT333" i="13"/>
  <c r="BW168" i="13"/>
  <c r="A161" i="13"/>
  <c r="AY111" i="13"/>
  <c r="BR166" i="13"/>
  <c r="AT155" i="13"/>
  <c r="BL220" i="13"/>
  <c r="AE226" i="13"/>
  <c r="B394" i="13"/>
  <c r="AJ64" i="13"/>
  <c r="AE383" i="13"/>
  <c r="AY117" i="13"/>
  <c r="AU143" i="13"/>
  <c r="BB36" i="13"/>
  <c r="S157" i="13"/>
  <c r="BH56" i="13"/>
  <c r="U263" i="13"/>
  <c r="BC169" i="13"/>
  <c r="F75" i="13"/>
  <c r="AY131" i="13"/>
  <c r="W54" i="13"/>
  <c r="AY49" i="13"/>
  <c r="M86" i="13"/>
  <c r="BT43" i="13"/>
  <c r="AJ362" i="13"/>
  <c r="AP303" i="13"/>
  <c r="BO352" i="13"/>
  <c r="BE79" i="13"/>
  <c r="BJ38" i="13"/>
  <c r="Y10" i="13"/>
  <c r="AA119" i="13"/>
  <c r="BO137" i="13"/>
  <c r="BP2" i="13"/>
  <c r="Z235" i="13"/>
  <c r="BF195" i="13"/>
  <c r="BT243" i="13"/>
  <c r="AL48" i="13"/>
  <c r="AG122" i="13"/>
  <c r="AH76" i="13"/>
  <c r="BJ132" i="13"/>
  <c r="AD372" i="13"/>
  <c r="Q168" i="13"/>
  <c r="AV68" i="13"/>
  <c r="P473" i="13"/>
  <c r="AV260" i="13"/>
  <c r="BT59" i="13"/>
  <c r="G83" i="13"/>
  <c r="AZ69" i="13"/>
  <c r="BU59" i="13"/>
  <c r="M11" i="13"/>
  <c r="BS283" i="13"/>
  <c r="U124" i="13"/>
  <c r="BO350" i="13"/>
  <c r="BN402" i="13"/>
  <c r="BV147" i="13"/>
  <c r="AR78" i="13"/>
  <c r="AA216" i="13"/>
  <c r="E94" i="13"/>
  <c r="Y86" i="13"/>
  <c r="W29" i="13"/>
  <c r="BE346" i="13"/>
  <c r="AS81" i="13"/>
  <c r="AY217" i="13"/>
  <c r="BA108" i="13"/>
  <c r="BS284" i="13"/>
  <c r="AQ220" i="13"/>
  <c r="BN51" i="13"/>
  <c r="U85" i="13"/>
  <c r="BJ130" i="13"/>
  <c r="Z190" i="13"/>
  <c r="AR65" i="13"/>
  <c r="Z63" i="13"/>
  <c r="K371" i="13"/>
  <c r="BB315" i="13"/>
  <c r="BF464" i="13"/>
  <c r="E196" i="13"/>
  <c r="AV17" i="13"/>
  <c r="AC375" i="13"/>
  <c r="BM153" i="13"/>
  <c r="W80" i="13"/>
  <c r="S178" i="13"/>
  <c r="AW32" i="13"/>
  <c r="BE147" i="13"/>
  <c r="E133" i="13"/>
  <c r="C105" i="13"/>
  <c r="AH9" i="13"/>
  <c r="AY244" i="13"/>
  <c r="AZ98" i="13"/>
  <c r="BB21" i="13"/>
  <c r="AX28" i="13"/>
  <c r="U437" i="13"/>
  <c r="N125" i="13"/>
  <c r="AZ255" i="13"/>
  <c r="AW152" i="13"/>
  <c r="BM188" i="13"/>
  <c r="H212" i="13"/>
  <c r="BO89" i="13"/>
  <c r="BF182" i="13"/>
  <c r="BE148" i="13"/>
  <c r="AA14" i="13"/>
  <c r="O209" i="13"/>
  <c r="T199" i="13"/>
  <c r="T278" i="13"/>
  <c r="BB7" i="13"/>
  <c r="BL162" i="13"/>
  <c r="J347" i="13"/>
  <c r="G21" i="13"/>
  <c r="AH119" i="13"/>
  <c r="BJ24" i="13"/>
  <c r="F264" i="13"/>
  <c r="BD322" i="13"/>
  <c r="BV97" i="13"/>
  <c r="AG138" i="13"/>
  <c r="BT38" i="13"/>
  <c r="BU97" i="13"/>
  <c r="J54" i="13"/>
  <c r="AY114" i="13"/>
  <c r="AY264" i="13"/>
  <c r="N93" i="13"/>
  <c r="AK285" i="13"/>
  <c r="BM23" i="13"/>
  <c r="BQ56" i="13"/>
  <c r="I10" i="13"/>
  <c r="BB370" i="13"/>
  <c r="AW89" i="13"/>
  <c r="BI102" i="13"/>
  <c r="AO113" i="13"/>
  <c r="AJ137" i="13"/>
  <c r="T207" i="13"/>
  <c r="G18" i="13"/>
  <c r="S87" i="13"/>
  <c r="E108" i="13"/>
  <c r="O136" i="13"/>
  <c r="BQ85" i="13"/>
  <c r="J228" i="13"/>
  <c r="BG161" i="13"/>
  <c r="AZ95" i="13"/>
  <c r="AS192" i="13"/>
  <c r="BR59" i="13"/>
  <c r="O80" i="13"/>
  <c r="AS62" i="13"/>
  <c r="BJ261" i="13"/>
  <c r="BL143" i="13"/>
  <c r="AY291" i="13"/>
  <c r="AI42" i="13"/>
  <c r="N55" i="13"/>
  <c r="AN100" i="13"/>
  <c r="AR77" i="13"/>
  <c r="AH98" i="13"/>
  <c r="AN162" i="13"/>
  <c r="BR50" i="13"/>
  <c r="Y204" i="13"/>
  <c r="AD128" i="13"/>
  <c r="AC89" i="13"/>
  <c r="AX73" i="13"/>
  <c r="BT222" i="13"/>
  <c r="U105" i="13"/>
  <c r="BK390" i="13"/>
  <c r="BW154" i="13"/>
  <c r="AV24" i="13"/>
  <c r="AK42" i="13"/>
  <c r="AS119" i="13"/>
  <c r="X98" i="13"/>
  <c r="AP253" i="13"/>
  <c r="AR36" i="13"/>
  <c r="AE11" i="13"/>
  <c r="U194" i="13"/>
  <c r="AJ68" i="13"/>
  <c r="P147" i="13"/>
  <c r="BQ90" i="13"/>
  <c r="AI16" i="13"/>
  <c r="BA218" i="13"/>
  <c r="D298" i="13"/>
  <c r="BJ90" i="13"/>
  <c r="BT259" i="13"/>
  <c r="BW332" i="13"/>
  <c r="AF37" i="13"/>
  <c r="BD63" i="13"/>
  <c r="Z130" i="13"/>
  <c r="BO22" i="13"/>
  <c r="M80" i="13"/>
  <c r="AJ261" i="13"/>
  <c r="BS217" i="13"/>
  <c r="V22" i="13"/>
  <c r="AP79" i="13"/>
  <c r="D68" i="13"/>
  <c r="N156" i="13"/>
  <c r="BP99" i="13"/>
  <c r="BO88" i="13"/>
  <c r="BE97" i="13"/>
  <c r="Q88" i="13"/>
  <c r="AS263" i="13"/>
  <c r="BN21" i="13"/>
  <c r="BA87" i="13"/>
  <c r="BA187" i="13"/>
  <c r="BJ180" i="13"/>
  <c r="O48" i="13"/>
  <c r="BK75" i="13"/>
  <c r="AF26" i="13"/>
  <c r="BR158" i="13"/>
  <c r="BL88" i="13"/>
  <c r="AA307" i="13"/>
  <c r="AB90" i="13"/>
  <c r="N234" i="13"/>
  <c r="BQ117" i="13"/>
  <c r="BM271" i="13"/>
  <c r="V81" i="13"/>
  <c r="BE38" i="13"/>
  <c r="BN121" i="13"/>
  <c r="AD288" i="13"/>
  <c r="BM7" i="13"/>
  <c r="BK88" i="13"/>
  <c r="AB294" i="13"/>
  <c r="X162" i="13"/>
  <c r="Y58" i="13"/>
  <c r="BF36" i="13"/>
  <c r="AG77" i="13"/>
  <c r="BB3" i="13"/>
  <c r="X12" i="13"/>
  <c r="AK243" i="13"/>
  <c r="AC393" i="13"/>
  <c r="BJ81" i="13"/>
  <c r="BO90" i="13"/>
  <c r="BM73" i="13"/>
  <c r="BB220" i="13"/>
  <c r="G414" i="13"/>
  <c r="L391" i="13"/>
  <c r="T40" i="13"/>
  <c r="AU317" i="13"/>
  <c r="AF75" i="13"/>
  <c r="W87" i="13"/>
  <c r="AN44" i="13"/>
  <c r="AD87" i="13"/>
  <c r="B406" i="13"/>
  <c r="A195" i="13"/>
  <c r="AO118" i="13"/>
  <c r="R253" i="13"/>
  <c r="AM35" i="13"/>
  <c r="AG311" i="13"/>
  <c r="AY471" i="13"/>
  <c r="W319" i="13"/>
  <c r="BH243" i="13"/>
  <c r="V399" i="13"/>
  <c r="BS220" i="13"/>
  <c r="Y155" i="13"/>
  <c r="I354" i="13"/>
  <c r="T15" i="13"/>
  <c r="W71" i="13"/>
  <c r="X125" i="13"/>
  <c r="AH111" i="13"/>
  <c r="C499" i="13"/>
  <c r="AP72" i="13"/>
  <c r="BG92" i="13"/>
  <c r="L268" i="13"/>
  <c r="BW116" i="13"/>
  <c r="BU27" i="13"/>
  <c r="AT140" i="13"/>
  <c r="AX45" i="13"/>
  <c r="K25" i="13"/>
  <c r="K96" i="13"/>
  <c r="BA123" i="13"/>
  <c r="AS433" i="13"/>
  <c r="X60" i="13"/>
  <c r="AE295" i="13"/>
  <c r="AX215" i="13"/>
  <c r="AZ129" i="13"/>
  <c r="AA252" i="13"/>
  <c r="BW257" i="13"/>
  <c r="AV70" i="13"/>
  <c r="AR24" i="13"/>
  <c r="AH395" i="13"/>
  <c r="BH65" i="13"/>
  <c r="AB285" i="13"/>
  <c r="BM226" i="13"/>
  <c r="E129" i="13"/>
  <c r="BG156" i="13"/>
  <c r="BU41" i="13"/>
  <c r="V47" i="13"/>
  <c r="BH139" i="13"/>
  <c r="BD43" i="13"/>
  <c r="C87" i="13"/>
  <c r="BU17" i="13"/>
  <c r="BA27" i="13"/>
  <c r="G78" i="13"/>
  <c r="AA83" i="13"/>
  <c r="BK151" i="13"/>
  <c r="AM126" i="13"/>
  <c r="M88" i="13"/>
  <c r="AB35" i="13"/>
  <c r="W227" i="13"/>
  <c r="S151" i="13"/>
  <c r="F194" i="13"/>
  <c r="BI48" i="13"/>
  <c r="K158" i="13"/>
  <c r="K267" i="13"/>
  <c r="BW296" i="13"/>
  <c r="BW27" i="13"/>
  <c r="AT78" i="13"/>
  <c r="AI466" i="13"/>
  <c r="AQ31" i="13"/>
  <c r="O87" i="13"/>
  <c r="BE96" i="13"/>
  <c r="BH232" i="13"/>
  <c r="BC237" i="13"/>
  <c r="AM82" i="13"/>
  <c r="C428" i="13"/>
  <c r="BQ65" i="13"/>
  <c r="BM219" i="13"/>
  <c r="AY33" i="13"/>
  <c r="S143" i="13"/>
  <c r="G31" i="13"/>
  <c r="A109" i="13"/>
  <c r="BA401" i="13"/>
  <c r="V481" i="13"/>
  <c r="AV83" i="13"/>
  <c r="M39" i="13"/>
  <c r="I150" i="13"/>
  <c r="BV51" i="13"/>
  <c r="F102" i="13"/>
  <c r="C40" i="13"/>
  <c r="BC93" i="13"/>
  <c r="BF43" i="13"/>
  <c r="AI241" i="13"/>
  <c r="BE100" i="13"/>
  <c r="BS93" i="13"/>
  <c r="AB75" i="13"/>
  <c r="AS95" i="13"/>
  <c r="AO154" i="13"/>
  <c r="BK39" i="13"/>
  <c r="AA66" i="13"/>
  <c r="BP427" i="13"/>
  <c r="AR47" i="13"/>
  <c r="AU41" i="13"/>
  <c r="AI5" i="13"/>
  <c r="AK66" i="13"/>
  <c r="T116" i="13"/>
  <c r="R346" i="13"/>
  <c r="AD89" i="13"/>
  <c r="B163" i="13"/>
  <c r="AC60" i="13"/>
  <c r="J125" i="13"/>
  <c r="Y311" i="13"/>
  <c r="X286" i="13"/>
  <c r="F77" i="13"/>
  <c r="G140" i="13"/>
  <c r="AY201" i="13"/>
  <c r="BD295" i="13"/>
  <c r="AC115" i="13"/>
  <c r="U87" i="13"/>
  <c r="AN140" i="13"/>
  <c r="C110" i="13"/>
  <c r="T85" i="13"/>
  <c r="U479" i="13"/>
  <c r="BV86" i="13"/>
  <c r="BV274" i="13"/>
  <c r="BA62" i="13"/>
  <c r="BC72" i="13"/>
  <c r="AX26" i="13"/>
  <c r="BV81" i="13"/>
  <c r="AG112" i="13"/>
  <c r="BO182" i="13"/>
  <c r="I501" i="13"/>
  <c r="AY57" i="13"/>
  <c r="AG227" i="13"/>
  <c r="X273" i="13"/>
  <c r="AN403" i="13"/>
  <c r="AO317" i="13"/>
  <c r="BE127" i="13"/>
  <c r="N60" i="13"/>
  <c r="AG349" i="13"/>
  <c r="AQ101" i="13"/>
  <c r="AH299" i="13"/>
  <c r="AC40" i="13"/>
  <c r="R102" i="13"/>
  <c r="BA195" i="13"/>
  <c r="J209" i="13"/>
  <c r="AY115" i="13"/>
  <c r="BD51" i="13"/>
  <c r="AY280" i="13"/>
  <c r="AZ78" i="13"/>
  <c r="BD149" i="13"/>
  <c r="BR493" i="13"/>
  <c r="AP80" i="13"/>
  <c r="BU107" i="13"/>
  <c r="BI310" i="13"/>
  <c r="L250" i="13"/>
  <c r="A216" i="13"/>
  <c r="BT23" i="13"/>
  <c r="AT49" i="13"/>
  <c r="Y298" i="13"/>
  <c r="BI78" i="13"/>
  <c r="AH389" i="13"/>
  <c r="G104" i="13"/>
  <c r="AZ107" i="13"/>
  <c r="BC282" i="13"/>
  <c r="AP180" i="13"/>
  <c r="K178" i="13"/>
  <c r="BH93" i="13"/>
  <c r="AB91" i="13"/>
  <c r="AJ182" i="13"/>
  <c r="BU308" i="13"/>
  <c r="AZ318" i="13"/>
  <c r="AQ113" i="13"/>
  <c r="G89" i="13"/>
  <c r="BE67" i="13"/>
  <c r="B54" i="13"/>
  <c r="BP141" i="13"/>
  <c r="M66" i="13"/>
  <c r="BV171" i="13"/>
  <c r="BU30" i="13"/>
  <c r="AE40" i="13"/>
  <c r="AK134" i="13"/>
  <c r="BV212" i="13"/>
  <c r="P32" i="13"/>
  <c r="AL43" i="13"/>
  <c r="AS46" i="13"/>
  <c r="O1" i="13"/>
  <c r="Y205" i="13"/>
  <c r="AD58" i="13"/>
  <c r="BN67" i="13"/>
  <c r="BF49" i="13"/>
  <c r="BJ221" i="13"/>
  <c r="AR275" i="13"/>
  <c r="D359" i="13"/>
  <c r="BU109" i="13"/>
  <c r="BA161" i="13"/>
  <c r="BQ148" i="13"/>
  <c r="AW225" i="13"/>
  <c r="S110" i="13"/>
  <c r="AT119" i="13"/>
  <c r="BH178" i="13"/>
  <c r="BJ240" i="13"/>
  <c r="W456" i="13"/>
  <c r="AI23" i="13"/>
  <c r="AO117" i="13"/>
  <c r="S253" i="13"/>
  <c r="BL44" i="13"/>
  <c r="BC67" i="13"/>
  <c r="A156" i="13"/>
  <c r="AN334" i="13"/>
  <c r="BN118" i="13"/>
  <c r="AQ91" i="13"/>
  <c r="BA281" i="13"/>
  <c r="BN202" i="13"/>
  <c r="BB287" i="13"/>
  <c r="BV125" i="13"/>
  <c r="H308" i="13"/>
  <c r="F250" i="13"/>
  <c r="B125" i="13"/>
  <c r="AX200" i="13"/>
  <c r="AQ83" i="13"/>
  <c r="AG36" i="13"/>
  <c r="O363" i="13"/>
  <c r="AB302" i="13"/>
  <c r="BE82" i="13"/>
  <c r="BJ46" i="13"/>
  <c r="AU43" i="13"/>
  <c r="BT28" i="13"/>
  <c r="BL23" i="13"/>
  <c r="Y83" i="13"/>
  <c r="BH167" i="13"/>
  <c r="BF63" i="13"/>
  <c r="AS326" i="13"/>
  <c r="AV225" i="13"/>
  <c r="H123" i="13"/>
  <c r="Y57" i="13"/>
  <c r="X16" i="13"/>
  <c r="AV116" i="13"/>
  <c r="J95" i="13"/>
  <c r="BS90" i="13"/>
  <c r="Z134" i="13"/>
  <c r="AS377" i="13"/>
  <c r="AT126" i="13"/>
  <c r="AE91" i="13"/>
  <c r="Z72" i="13"/>
  <c r="AE361" i="13"/>
  <c r="BJ76" i="13"/>
  <c r="AL397" i="13"/>
  <c r="AV264" i="13"/>
  <c r="G362" i="13"/>
  <c r="AK421" i="13"/>
  <c r="AR49" i="13"/>
  <c r="AC133" i="13"/>
  <c r="I436" i="13"/>
  <c r="AG46" i="13"/>
  <c r="BG152" i="13"/>
  <c r="AI166" i="13"/>
  <c r="BD474" i="13"/>
  <c r="Q155" i="13"/>
  <c r="H109" i="13"/>
  <c r="AQ431" i="13"/>
  <c r="BJ474" i="13"/>
  <c r="AY58" i="13"/>
  <c r="AR43" i="13"/>
  <c r="BO202" i="13"/>
  <c r="A169" i="13"/>
  <c r="BC40" i="13"/>
  <c r="V176" i="13"/>
  <c r="V134" i="13"/>
  <c r="BT44" i="13"/>
  <c r="BC220" i="13"/>
  <c r="AA63" i="13"/>
  <c r="AO128" i="13"/>
  <c r="U180" i="13"/>
  <c r="H474" i="13"/>
  <c r="F90" i="13"/>
  <c r="Y148" i="13"/>
  <c r="BP278" i="13"/>
  <c r="S67" i="13"/>
  <c r="O93" i="13"/>
  <c r="AR108" i="13"/>
  <c r="AB211" i="13"/>
  <c r="BK226" i="13"/>
  <c r="BT76" i="13"/>
  <c r="AU27" i="13"/>
  <c r="AW78" i="13"/>
  <c r="BL476" i="13"/>
  <c r="BP11" i="13"/>
  <c r="U36" i="13"/>
  <c r="AH135" i="13"/>
  <c r="Z286" i="13"/>
  <c r="U53" i="13"/>
  <c r="F156" i="13"/>
  <c r="BM373" i="13"/>
  <c r="Z90" i="13"/>
  <c r="AD283" i="13"/>
  <c r="BK6" i="13"/>
  <c r="AM214" i="13"/>
  <c r="AD133" i="13"/>
  <c r="AX61" i="13"/>
  <c r="BG56" i="13"/>
  <c r="BD227" i="13"/>
  <c r="BQ95" i="13"/>
  <c r="BJ202" i="13"/>
  <c r="AV67" i="13"/>
  <c r="BI198" i="13"/>
  <c r="BS89" i="13"/>
  <c r="AD32" i="13"/>
  <c r="AZ194" i="13"/>
  <c r="A111" i="13"/>
  <c r="S288" i="13"/>
  <c r="P391" i="13"/>
  <c r="AY485" i="13"/>
  <c r="BE420" i="13"/>
  <c r="D108" i="13"/>
  <c r="BS100" i="13"/>
  <c r="AS17" i="13"/>
  <c r="BN287" i="13"/>
  <c r="AE76" i="13"/>
  <c r="V310" i="13"/>
  <c r="M414" i="13"/>
  <c r="BS41" i="13"/>
  <c r="BV295" i="13"/>
  <c r="BM158" i="13"/>
  <c r="M287" i="13"/>
  <c r="AN26" i="13"/>
  <c r="AQ32" i="13"/>
  <c r="E194" i="13"/>
  <c r="AD180" i="13"/>
  <c r="AP299" i="13"/>
  <c r="Z423" i="13"/>
  <c r="BI45" i="13"/>
  <c r="BR279" i="13"/>
  <c r="B95" i="13"/>
  <c r="AB40" i="13"/>
  <c r="F113" i="13"/>
  <c r="BL149" i="13"/>
  <c r="AM12" i="13"/>
  <c r="K248" i="13"/>
  <c r="AS287" i="13"/>
  <c r="AU55" i="13"/>
  <c r="AG93" i="13"/>
  <c r="A162" i="13"/>
  <c r="AY378" i="13"/>
  <c r="AK160" i="13"/>
  <c r="BI112" i="13"/>
  <c r="H324" i="13"/>
  <c r="BA9" i="13"/>
  <c r="BC49" i="13"/>
  <c r="H172" i="13"/>
  <c r="F288" i="13"/>
  <c r="AI152" i="13"/>
  <c r="AR100" i="13"/>
  <c r="AD492" i="13"/>
  <c r="N206" i="13"/>
  <c r="BK159" i="13"/>
  <c r="BQ62" i="13"/>
  <c r="R146" i="13"/>
  <c r="E376" i="13"/>
  <c r="AD170" i="13"/>
  <c r="BW270" i="13"/>
  <c r="W102" i="13"/>
  <c r="AR449" i="13"/>
  <c r="G46" i="13"/>
  <c r="V70" i="13"/>
  <c r="AD51" i="13"/>
  <c r="C131" i="13"/>
  <c r="AJ321" i="13"/>
  <c r="BL42" i="13"/>
  <c r="BW44" i="13"/>
  <c r="U429" i="13"/>
  <c r="BE200" i="13"/>
  <c r="E226" i="13"/>
  <c r="AC143" i="13"/>
  <c r="AW116" i="13"/>
  <c r="AK113" i="13"/>
  <c r="BA149" i="13"/>
  <c r="L28" i="13"/>
  <c r="AY95" i="13"/>
  <c r="BT40" i="13"/>
  <c r="BW31" i="13"/>
  <c r="M60" i="13"/>
  <c r="Y87" i="13"/>
  <c r="BT33" i="13"/>
  <c r="O340" i="13"/>
  <c r="AL187" i="13"/>
  <c r="Q352" i="13"/>
  <c r="BQ37" i="13"/>
  <c r="X100" i="13"/>
  <c r="BW92" i="13"/>
  <c r="BB485" i="13"/>
  <c r="E123" i="13"/>
  <c r="H223" i="13"/>
  <c r="AG113" i="13"/>
  <c r="AB313" i="13"/>
  <c r="AM73" i="13"/>
  <c r="AQ186" i="13"/>
  <c r="AR23" i="13"/>
  <c r="L198" i="13"/>
  <c r="G352" i="13"/>
  <c r="T181" i="13"/>
  <c r="Y282" i="13"/>
  <c r="BW53" i="13"/>
  <c r="BB194" i="13"/>
  <c r="AO146" i="13"/>
  <c r="G316" i="13"/>
  <c r="BP26" i="13"/>
  <c r="AE53" i="13"/>
  <c r="BC59" i="13"/>
  <c r="BJ82" i="13"/>
  <c r="AE13" i="13"/>
  <c r="Q35" i="13"/>
  <c r="AL84" i="13"/>
  <c r="BL56" i="13"/>
  <c r="BL165" i="13"/>
  <c r="AS77" i="13"/>
  <c r="BQ327" i="13"/>
  <c r="AA54" i="13"/>
  <c r="BP52" i="13"/>
  <c r="H83" i="13"/>
  <c r="AT64" i="13"/>
  <c r="I44" i="13"/>
  <c r="W52" i="13"/>
  <c r="AU63" i="13"/>
  <c r="AF268" i="13"/>
  <c r="AL205" i="13"/>
  <c r="Q235" i="13"/>
  <c r="AN322" i="13"/>
  <c r="BG340" i="13"/>
  <c r="AE38" i="13"/>
  <c r="BW106" i="13"/>
  <c r="AT207" i="13"/>
  <c r="BA120" i="13"/>
  <c r="BA227" i="13"/>
  <c r="AZ57" i="13"/>
  <c r="Q95" i="13"/>
  <c r="C114" i="13"/>
  <c r="K135" i="13"/>
  <c r="X57" i="13"/>
  <c r="M33" i="13"/>
  <c r="AI8" i="13"/>
  <c r="BE56" i="13"/>
  <c r="I122" i="13"/>
  <c r="BU115" i="13"/>
  <c r="BB45" i="13"/>
  <c r="BG111" i="13"/>
  <c r="AG246" i="13"/>
  <c r="AD38" i="13"/>
  <c r="BG241" i="13"/>
  <c r="AM181" i="13"/>
  <c r="BF416" i="13"/>
  <c r="AV226" i="13"/>
  <c r="I40" i="13"/>
  <c r="BB104" i="13"/>
  <c r="BJ83" i="13"/>
  <c r="AQ64" i="13"/>
  <c r="N244" i="13"/>
  <c r="F32" i="13"/>
  <c r="BB201" i="13"/>
  <c r="AO274" i="13"/>
  <c r="BN346" i="13"/>
  <c r="P440" i="13"/>
  <c r="AP8" i="13"/>
  <c r="AI92" i="13"/>
  <c r="U185" i="13"/>
  <c r="BG259" i="13"/>
  <c r="BF42" i="13"/>
  <c r="AD101" i="13"/>
  <c r="BU105" i="13"/>
  <c r="BI372" i="13"/>
  <c r="BS460" i="13"/>
  <c r="BH131" i="13"/>
  <c r="AD62" i="13"/>
  <c r="S26" i="13"/>
  <c r="AH187" i="13"/>
  <c r="AZ290" i="13"/>
  <c r="AV30" i="13"/>
  <c r="BC206" i="13"/>
  <c r="AS140" i="13"/>
  <c r="BT156" i="13"/>
  <c r="BO47" i="13"/>
  <c r="B335" i="13"/>
  <c r="BV225" i="13"/>
  <c r="AE117" i="13"/>
  <c r="BV220" i="13"/>
  <c r="BK53" i="13"/>
  <c r="BK61" i="13"/>
  <c r="F377" i="13"/>
  <c r="BD13" i="13"/>
  <c r="BO65" i="13"/>
  <c r="M467" i="13"/>
  <c r="BA73" i="13"/>
  <c r="AJ488" i="13"/>
  <c r="AF100" i="13"/>
  <c r="AY63" i="13"/>
  <c r="F21" i="13"/>
  <c r="BP38" i="13"/>
  <c r="G313" i="13"/>
  <c r="BQ158" i="13"/>
  <c r="AE158" i="13"/>
  <c r="T121" i="13"/>
  <c r="X439" i="13"/>
  <c r="BF85" i="13"/>
  <c r="R83" i="13"/>
  <c r="B376" i="13"/>
  <c r="U414" i="13"/>
  <c r="J222" i="13"/>
  <c r="O229" i="13"/>
  <c r="AW81" i="13"/>
  <c r="AH297" i="13"/>
  <c r="BL429" i="13"/>
  <c r="F418" i="13"/>
  <c r="AV90" i="13"/>
  <c r="AQ444" i="13"/>
  <c r="AF98" i="13"/>
  <c r="AV267" i="13"/>
  <c r="AW108" i="13"/>
  <c r="W390" i="13"/>
  <c r="BH67" i="13"/>
  <c r="M119" i="13"/>
  <c r="BH128" i="13"/>
  <c r="BA116" i="13"/>
  <c r="R19" i="13"/>
  <c r="L323" i="13"/>
  <c r="Q23" i="13"/>
  <c r="BV14" i="13"/>
  <c r="S72" i="13"/>
  <c r="M324" i="13"/>
  <c r="BN88" i="13"/>
  <c r="BC455" i="13"/>
  <c r="BM101" i="13"/>
  <c r="BG252" i="13"/>
  <c r="AZ103" i="13"/>
  <c r="BV219" i="13"/>
  <c r="BE111" i="13"/>
  <c r="AY172" i="13"/>
  <c r="AU156" i="13"/>
  <c r="BA97" i="13"/>
  <c r="X31" i="13"/>
  <c r="Y60" i="13"/>
  <c r="BD490" i="13"/>
  <c r="AD106" i="13"/>
  <c r="AO361" i="13"/>
  <c r="BW297" i="13"/>
  <c r="P44" i="13"/>
  <c r="AI48" i="13"/>
  <c r="B295" i="13"/>
  <c r="AB277" i="13"/>
  <c r="AN160" i="13"/>
  <c r="AW237" i="13"/>
  <c r="W436" i="13"/>
  <c r="BG97" i="13"/>
  <c r="BT16" i="13"/>
  <c r="AW69" i="13"/>
  <c r="G144" i="13"/>
  <c r="H464" i="13"/>
  <c r="AE84" i="13"/>
  <c r="AO359" i="13"/>
  <c r="AB56" i="13"/>
  <c r="K142" i="13"/>
  <c r="J145" i="13"/>
  <c r="A144" i="13"/>
  <c r="AR154" i="13"/>
  <c r="AZ67" i="13"/>
  <c r="BS111" i="13"/>
  <c r="BR114" i="13"/>
  <c r="B27" i="13"/>
  <c r="K155" i="13"/>
  <c r="BP86" i="13"/>
  <c r="A22" i="13"/>
  <c r="AS54" i="13"/>
  <c r="M83" i="13"/>
  <c r="AT85" i="13"/>
  <c r="BN135" i="13"/>
  <c r="AJ417" i="13"/>
  <c r="M124" i="13"/>
  <c r="T48" i="13"/>
  <c r="N159" i="13"/>
  <c r="AA107" i="13"/>
  <c r="AD105" i="13"/>
  <c r="H351" i="13"/>
  <c r="AR244" i="13"/>
  <c r="I195" i="13"/>
  <c r="A16" i="13"/>
  <c r="BV90" i="13"/>
  <c r="AC372" i="13"/>
  <c r="Q66" i="13"/>
  <c r="AJ43" i="13"/>
  <c r="AQ56" i="13"/>
  <c r="BF173" i="13"/>
  <c r="BJ62" i="13"/>
  <c r="BW50" i="13"/>
  <c r="BO46" i="13"/>
  <c r="BT313" i="13"/>
  <c r="BT74" i="13"/>
  <c r="BH296" i="13"/>
  <c r="O163" i="13"/>
  <c r="BR185" i="13"/>
  <c r="A490" i="13"/>
  <c r="BB285" i="13"/>
  <c r="BU130" i="13"/>
  <c r="AI423" i="13"/>
  <c r="AS128" i="13"/>
  <c r="AA156" i="13"/>
  <c r="BR95" i="13"/>
  <c r="AN41" i="13"/>
  <c r="BB92" i="13"/>
  <c r="BU344" i="13"/>
  <c r="BO285" i="13"/>
  <c r="AE336" i="13"/>
  <c r="X50" i="13"/>
  <c r="AR324" i="13"/>
  <c r="AT168" i="13"/>
  <c r="P43" i="13"/>
  <c r="K357" i="13"/>
  <c r="BF18" i="13"/>
  <c r="I101" i="13"/>
  <c r="AQ68" i="13"/>
  <c r="AV254" i="13"/>
  <c r="BB29" i="13"/>
  <c r="BA159" i="13"/>
  <c r="V137" i="13"/>
  <c r="BU28" i="13"/>
  <c r="BG13" i="13"/>
  <c r="AQ410" i="13"/>
  <c r="AQ288" i="13"/>
  <c r="BC97" i="13"/>
  <c r="A207" i="13"/>
  <c r="A69" i="13"/>
  <c r="N496" i="13"/>
  <c r="BF152" i="13"/>
  <c r="AL360" i="13"/>
  <c r="A45" i="13"/>
  <c r="V161" i="13"/>
  <c r="BB374" i="13"/>
  <c r="BS357" i="13"/>
  <c r="AU28" i="13"/>
  <c r="L61" i="13"/>
  <c r="H356" i="13"/>
  <c r="AC57" i="13"/>
  <c r="H86" i="13"/>
  <c r="W99" i="13"/>
  <c r="BB360" i="13"/>
  <c r="AQ138" i="13"/>
  <c r="K99" i="13"/>
  <c r="Y452" i="13"/>
  <c r="AD37" i="13"/>
  <c r="J92" i="13"/>
  <c r="AP197" i="13"/>
  <c r="BP81" i="13"/>
  <c r="AW107" i="13"/>
  <c r="AN10" i="13"/>
  <c r="BL49" i="13"/>
  <c r="AL155" i="13"/>
  <c r="BL492" i="13"/>
  <c r="AU211" i="13"/>
  <c r="AD46" i="13"/>
  <c r="S309" i="13"/>
  <c r="BG45" i="13"/>
  <c r="AB6" i="13"/>
  <c r="BV122" i="13"/>
  <c r="AG192" i="13"/>
  <c r="BN416" i="13"/>
  <c r="I83" i="13"/>
  <c r="AF431" i="13"/>
  <c r="AK480" i="13"/>
  <c r="R135" i="13"/>
  <c r="AH118" i="13"/>
  <c r="AC86" i="13"/>
  <c r="AZ285" i="13"/>
  <c r="BL45" i="13"/>
  <c r="BE58" i="13"/>
  <c r="X46" i="13"/>
  <c r="AA209" i="13"/>
  <c r="R54" i="13"/>
  <c r="AV41" i="13"/>
  <c r="BP232" i="13"/>
  <c r="BE101" i="13"/>
  <c r="H34" i="13"/>
  <c r="C84" i="13"/>
  <c r="AS291" i="13"/>
  <c r="AW197" i="13"/>
  <c r="AS241" i="13"/>
  <c r="BK209" i="13"/>
  <c r="G111" i="13"/>
  <c r="R164" i="13"/>
  <c r="S224" i="13"/>
  <c r="BM159" i="13"/>
  <c r="AC15" i="13"/>
  <c r="C313" i="13"/>
  <c r="BD35" i="13"/>
  <c r="W34" i="13"/>
  <c r="BE114" i="13"/>
  <c r="BK64" i="13"/>
  <c r="AI256" i="13"/>
  <c r="AL142" i="13"/>
  <c r="BT60" i="13"/>
  <c r="AH366" i="13"/>
  <c r="AI69" i="13"/>
  <c r="BV328" i="13"/>
  <c r="AU181" i="13"/>
  <c r="R111" i="13"/>
  <c r="D195" i="13"/>
  <c r="BM40" i="13"/>
  <c r="BT68" i="13"/>
  <c r="BL222" i="13"/>
  <c r="BJ442" i="13"/>
  <c r="B28" i="13"/>
  <c r="AH78" i="13"/>
  <c r="C141" i="13"/>
  <c r="BV229" i="13"/>
  <c r="E125" i="13"/>
  <c r="AC439" i="13"/>
  <c r="AL134" i="13"/>
  <c r="AU128" i="13"/>
  <c r="AO130" i="13"/>
  <c r="AB68" i="13"/>
  <c r="BH301" i="13"/>
  <c r="BE45" i="13"/>
  <c r="R138" i="13"/>
  <c r="N357" i="13"/>
  <c r="BS132" i="13"/>
  <c r="AH62" i="13"/>
  <c r="S173" i="13"/>
  <c r="R219" i="13"/>
  <c r="AG62" i="13"/>
  <c r="A317" i="13"/>
  <c r="AX394" i="13"/>
  <c r="B87" i="13"/>
  <c r="BE313" i="13"/>
  <c r="X128" i="13"/>
  <c r="F101" i="13"/>
  <c r="J85" i="13"/>
  <c r="BE232" i="13"/>
  <c r="AP124" i="13"/>
  <c r="BI236" i="13"/>
  <c r="BO312" i="13"/>
  <c r="AG78" i="13"/>
  <c r="AY235" i="13"/>
  <c r="AP69" i="13"/>
  <c r="BW286" i="13"/>
  <c r="P356" i="13"/>
  <c r="D21" i="13"/>
  <c r="AV85" i="13"/>
  <c r="BT289" i="13"/>
  <c r="R43" i="13"/>
  <c r="C277" i="13"/>
  <c r="AV279" i="13"/>
  <c r="BJ224" i="13"/>
  <c r="AP143" i="13"/>
  <c r="M102" i="13"/>
  <c r="BP78" i="13"/>
  <c r="P145" i="13"/>
  <c r="BE102" i="13"/>
  <c r="AW77" i="13"/>
  <c r="BM259" i="13"/>
  <c r="BS50" i="13"/>
  <c r="BI83" i="13"/>
  <c r="U352" i="13"/>
  <c r="AA270" i="13"/>
  <c r="H77" i="13"/>
  <c r="BP60" i="13"/>
  <c r="AN65" i="13"/>
  <c r="AO287" i="13"/>
  <c r="BD392" i="13"/>
  <c r="B411" i="13"/>
  <c r="BV72" i="13"/>
  <c r="E89" i="13"/>
  <c r="BJ400" i="13"/>
  <c r="AI73" i="13"/>
  <c r="AM52" i="13"/>
  <c r="AU126" i="13"/>
  <c r="N365" i="13"/>
  <c r="AZ82" i="13"/>
  <c r="BL43" i="13"/>
  <c r="W76" i="13"/>
  <c r="AP445" i="13"/>
  <c r="D27" i="13"/>
  <c r="AE155" i="13"/>
  <c r="Y124" i="13"/>
  <c r="BM495" i="13"/>
  <c r="A24" i="13"/>
  <c r="AM191" i="13"/>
  <c r="P99" i="13"/>
  <c r="BE15" i="13"/>
  <c r="X151" i="13"/>
  <c r="BA267" i="13"/>
  <c r="U14" i="13"/>
  <c r="AG204" i="13"/>
  <c r="AB268" i="13"/>
  <c r="BR328" i="13"/>
  <c r="BV408" i="13"/>
  <c r="L224" i="13"/>
  <c r="AU265" i="13"/>
  <c r="M341" i="13"/>
  <c r="H81" i="13"/>
  <c r="S56" i="13"/>
  <c r="B62" i="13"/>
  <c r="BP83" i="13"/>
  <c r="V333" i="13"/>
  <c r="U170" i="13"/>
  <c r="BB146" i="13"/>
  <c r="AN456" i="13"/>
  <c r="BG416" i="13"/>
  <c r="K139" i="13"/>
  <c r="AF33" i="13"/>
  <c r="I17" i="13"/>
  <c r="Y140" i="13"/>
  <c r="BG428" i="13"/>
  <c r="AI30" i="13"/>
  <c r="BO366" i="13"/>
  <c r="AQ156" i="13"/>
  <c r="O33" i="13"/>
  <c r="AP306" i="13"/>
  <c r="BE254" i="13"/>
  <c r="T91" i="13"/>
  <c r="BH41" i="13"/>
  <c r="BF339" i="13"/>
  <c r="S21" i="13"/>
  <c r="AQ310" i="13"/>
  <c r="Z28" i="13"/>
  <c r="BO26" i="13"/>
  <c r="AX463" i="13"/>
  <c r="R28" i="13"/>
  <c r="H41" i="13"/>
  <c r="H243" i="13"/>
  <c r="AU78" i="13"/>
  <c r="AJ217" i="13"/>
  <c r="AE472" i="13"/>
  <c r="Z54" i="13"/>
  <c r="AY441" i="13"/>
  <c r="BM289" i="13"/>
  <c r="BD69" i="13"/>
  <c r="BL1" i="13"/>
  <c r="AL260" i="13"/>
  <c r="L215" i="13"/>
  <c r="AE227" i="13"/>
  <c r="AI150" i="13"/>
  <c r="I233" i="13"/>
  <c r="AT242" i="13"/>
  <c r="BW78" i="13"/>
  <c r="T308" i="13"/>
  <c r="F134" i="13"/>
  <c r="AK173" i="13"/>
  <c r="AB187" i="13"/>
  <c r="BD100" i="13"/>
  <c r="B77" i="13"/>
  <c r="BR74" i="13"/>
  <c r="AZ279" i="13"/>
  <c r="AP433" i="13"/>
  <c r="Y393" i="13"/>
  <c r="AS271" i="13"/>
  <c r="Z337" i="13"/>
  <c r="BL337" i="13"/>
  <c r="BB420" i="13"/>
  <c r="O358" i="13"/>
  <c r="BL176" i="13"/>
  <c r="L151" i="13"/>
  <c r="L420" i="13"/>
  <c r="BN39" i="13"/>
  <c r="AP132" i="13"/>
  <c r="W244" i="13"/>
  <c r="AN465" i="13"/>
  <c r="AD28" i="13"/>
  <c r="AF46" i="13"/>
  <c r="BP84" i="13"/>
  <c r="I48" i="13"/>
  <c r="AZ105" i="13"/>
  <c r="AU271" i="13"/>
  <c r="BD29" i="13"/>
  <c r="BE55" i="13"/>
  <c r="BI229" i="13"/>
  <c r="AU272" i="13"/>
  <c r="P50" i="13"/>
  <c r="AX249" i="13"/>
  <c r="BD269" i="13"/>
  <c r="A263" i="13"/>
  <c r="BO64" i="13"/>
  <c r="AZ314" i="13"/>
  <c r="AC229" i="13"/>
  <c r="AU72" i="13"/>
  <c r="AJ153" i="13"/>
  <c r="B47" i="13"/>
  <c r="BO167" i="13"/>
  <c r="BB110" i="13"/>
  <c r="AP25" i="13"/>
  <c r="AW301" i="13"/>
  <c r="BW22" i="13"/>
  <c r="AR98" i="13"/>
  <c r="BQ418" i="13"/>
  <c r="AO246" i="13"/>
  <c r="BK432" i="13"/>
  <c r="AK492" i="13"/>
  <c r="AN2" i="13"/>
  <c r="AA31" i="13"/>
  <c r="AK47" i="13"/>
  <c r="N132" i="13"/>
  <c r="BH220" i="13"/>
  <c r="H448" i="13"/>
  <c r="I66" i="13"/>
  <c r="BV145" i="13"/>
  <c r="A85" i="13"/>
  <c r="AD118" i="13"/>
  <c r="I11" i="13"/>
  <c r="BA109" i="13"/>
  <c r="AF58" i="13"/>
  <c r="AB63" i="13"/>
  <c r="AL363" i="13"/>
  <c r="AP34" i="13"/>
  <c r="T262" i="13"/>
  <c r="Q219" i="13"/>
  <c r="BM163" i="13"/>
  <c r="AM340" i="13"/>
  <c r="AV357" i="13"/>
  <c r="BP100" i="13"/>
  <c r="BQ176" i="13"/>
  <c r="BJ424" i="13"/>
  <c r="AQ67" i="13"/>
  <c r="AA74" i="13"/>
  <c r="BT262" i="13"/>
  <c r="AI176" i="13"/>
  <c r="V219" i="13"/>
  <c r="Z465" i="13"/>
  <c r="T4" i="13"/>
  <c r="BT217" i="13"/>
  <c r="BC58" i="13"/>
  <c r="BA125" i="13"/>
  <c r="B43" i="13"/>
  <c r="B304" i="13"/>
  <c r="AA62" i="13"/>
  <c r="BN32" i="13"/>
  <c r="AU45" i="13"/>
  <c r="AA45" i="13"/>
  <c r="BW195" i="13"/>
  <c r="BG63" i="13"/>
  <c r="AW93" i="13"/>
  <c r="I33" i="13"/>
  <c r="F51" i="13"/>
  <c r="BB81" i="13"/>
  <c r="E3" i="13"/>
  <c r="AW42" i="13"/>
  <c r="AF294" i="13"/>
  <c r="BB23" i="13"/>
  <c r="E130" i="13"/>
  <c r="BT190" i="13"/>
  <c r="R126" i="13"/>
  <c r="BD91" i="13"/>
  <c r="K50" i="13"/>
  <c r="B70" i="13"/>
  <c r="I212" i="13"/>
  <c r="AK307" i="13"/>
  <c r="H258" i="13"/>
  <c r="AG381" i="13"/>
  <c r="AP49" i="13"/>
  <c r="P342" i="13"/>
  <c r="AA217" i="13"/>
  <c r="BW307" i="13"/>
  <c r="AC265" i="13"/>
  <c r="D375" i="13"/>
  <c r="AK124" i="13"/>
  <c r="AB486" i="13"/>
  <c r="AI122" i="13"/>
  <c r="BQ271" i="13"/>
  <c r="BH217" i="13"/>
  <c r="Y37" i="13"/>
  <c r="BK197" i="13"/>
  <c r="BT120" i="13"/>
  <c r="BQ361" i="13"/>
  <c r="BJ385" i="13"/>
  <c r="AP407" i="13"/>
  <c r="AW344" i="13"/>
  <c r="T360" i="13"/>
  <c r="BD300" i="13"/>
  <c r="X90" i="13"/>
  <c r="R37" i="13"/>
  <c r="D119" i="13"/>
  <c r="BU7" i="13"/>
  <c r="BE185" i="13"/>
  <c r="A38" i="13"/>
  <c r="V26" i="13"/>
  <c r="BC34" i="13"/>
  <c r="X167" i="13"/>
  <c r="X342" i="13"/>
  <c r="AK191" i="13"/>
  <c r="Z450" i="13"/>
  <c r="T342" i="13"/>
  <c r="AS43" i="13"/>
  <c r="BR178" i="13"/>
  <c r="AA104" i="13"/>
  <c r="AR269" i="13"/>
  <c r="O210" i="13"/>
  <c r="H169" i="13"/>
  <c r="BI191" i="13"/>
  <c r="AU294" i="13"/>
  <c r="T355" i="13"/>
  <c r="AZ153" i="13"/>
  <c r="W20" i="13"/>
  <c r="BW15" i="13"/>
  <c r="AY77" i="13"/>
  <c r="AY87" i="13"/>
  <c r="AE305" i="13"/>
  <c r="AA138" i="13"/>
  <c r="AE250" i="13"/>
  <c r="E65" i="13"/>
  <c r="AH500" i="13"/>
  <c r="AT42" i="13"/>
  <c r="BU122" i="13"/>
  <c r="AT22" i="13"/>
  <c r="J310" i="13"/>
  <c r="Q260" i="13"/>
  <c r="S231" i="13"/>
  <c r="BC432" i="13"/>
  <c r="I203" i="13"/>
  <c r="I104" i="13"/>
  <c r="AI479" i="13"/>
  <c r="AU223" i="13"/>
  <c r="AY400" i="13"/>
  <c r="AY82" i="13"/>
  <c r="BA212" i="13"/>
  <c r="J50" i="13"/>
  <c r="BK125" i="13"/>
  <c r="T401" i="13"/>
  <c r="AI25" i="13"/>
  <c r="BL202" i="13"/>
  <c r="W221" i="13"/>
  <c r="BQ68" i="13"/>
  <c r="BQ122" i="13"/>
  <c r="BS75" i="13"/>
  <c r="B283" i="13"/>
  <c r="AF401" i="13"/>
  <c r="BT302" i="13"/>
  <c r="Z169" i="13"/>
  <c r="BD203" i="13"/>
  <c r="AB100" i="13"/>
  <c r="Q48" i="13"/>
  <c r="C43" i="13"/>
  <c r="X498" i="13"/>
  <c r="AV270" i="13"/>
  <c r="C169" i="13"/>
  <c r="W121" i="13"/>
  <c r="BJ243" i="13"/>
  <c r="BQ40" i="13"/>
  <c r="AL118" i="13"/>
  <c r="O67" i="13"/>
  <c r="M192" i="13"/>
  <c r="H11" i="13"/>
  <c r="AO164" i="13"/>
  <c r="AG72" i="13"/>
  <c r="P201" i="13"/>
  <c r="BI97" i="13"/>
  <c r="AD431" i="13"/>
  <c r="BT88" i="13"/>
  <c r="BC323" i="13"/>
  <c r="AK162" i="13"/>
  <c r="AR121" i="13"/>
  <c r="AE197" i="13"/>
  <c r="BO54" i="13"/>
  <c r="BU230" i="13"/>
  <c r="B7" i="13"/>
  <c r="AR170" i="13"/>
  <c r="BC80" i="13"/>
  <c r="BK264" i="13"/>
  <c r="W111" i="13"/>
  <c r="BM129" i="13"/>
  <c r="AS189" i="13"/>
  <c r="V29" i="13"/>
  <c r="AB77" i="13"/>
  <c r="M64" i="13"/>
  <c r="BP39" i="13"/>
  <c r="S36" i="13"/>
  <c r="BL26" i="13"/>
  <c r="E429" i="13"/>
  <c r="BB249" i="13"/>
  <c r="F223" i="13"/>
  <c r="BH90" i="13"/>
  <c r="Q33" i="13"/>
  <c r="BS113" i="13"/>
  <c r="Q69" i="13"/>
  <c r="J96" i="13"/>
  <c r="C242" i="13"/>
  <c r="I259" i="13"/>
  <c r="BA179" i="13"/>
  <c r="C74" i="13"/>
  <c r="Z189" i="13"/>
  <c r="C256" i="13"/>
  <c r="AQ65" i="13"/>
  <c r="J196" i="13"/>
  <c r="BF58" i="13"/>
  <c r="H149" i="13"/>
  <c r="J89" i="13"/>
  <c r="AZ350" i="13"/>
  <c r="BS465" i="13"/>
  <c r="BG34" i="13"/>
  <c r="BH180" i="13"/>
  <c r="AA43" i="13"/>
  <c r="BV9" i="13"/>
  <c r="BA33" i="13"/>
  <c r="L384" i="13"/>
  <c r="T67" i="13"/>
  <c r="AJ99" i="13"/>
  <c r="M45" i="13"/>
  <c r="E119" i="13"/>
  <c r="BI106" i="13"/>
  <c r="Q486" i="13"/>
  <c r="BU68" i="13"/>
  <c r="AH35" i="13"/>
  <c r="S51" i="13"/>
  <c r="AT31" i="13"/>
  <c r="AP222" i="13"/>
  <c r="AX60" i="13"/>
  <c r="BE305" i="13"/>
  <c r="AH37" i="13"/>
  <c r="AD469" i="13"/>
  <c r="AD263" i="13"/>
  <c r="AK32" i="13"/>
  <c r="BN70" i="13"/>
  <c r="H157" i="13"/>
  <c r="BA72" i="13"/>
  <c r="Y20" i="13"/>
  <c r="AX64" i="13"/>
  <c r="BS94" i="13"/>
  <c r="N108" i="13"/>
  <c r="BK130" i="13"/>
  <c r="BL290" i="13"/>
  <c r="X101" i="13"/>
  <c r="N111" i="13"/>
  <c r="AB188" i="13"/>
  <c r="BO6" i="13"/>
  <c r="AH28" i="13"/>
  <c r="V168" i="13"/>
  <c r="Q42" i="13"/>
  <c r="BJ417" i="13"/>
  <c r="AI301" i="13"/>
  <c r="AU69" i="13"/>
  <c r="BV101" i="13"/>
  <c r="C152" i="13"/>
  <c r="N398" i="13"/>
  <c r="AI151" i="13"/>
  <c r="BR133" i="13"/>
  <c r="E25" i="13"/>
  <c r="AT180" i="13"/>
  <c r="BV176" i="13"/>
  <c r="BS61" i="13"/>
  <c r="AU42" i="13"/>
  <c r="AZ45" i="13"/>
  <c r="AW120" i="13"/>
  <c r="BS282" i="13"/>
  <c r="BC103" i="13"/>
  <c r="S95" i="13"/>
  <c r="BS74" i="13"/>
  <c r="AS384" i="13"/>
  <c r="AA79" i="13"/>
  <c r="C73" i="13"/>
  <c r="BM24" i="13"/>
  <c r="AJ125" i="13"/>
  <c r="AM209" i="13"/>
  <c r="AV384" i="13"/>
  <c r="BS234" i="13"/>
  <c r="AK29" i="13"/>
  <c r="BK43" i="13"/>
  <c r="BQ55" i="13"/>
  <c r="X169" i="13"/>
  <c r="AD200" i="13"/>
  <c r="BH43" i="13"/>
  <c r="BJ29" i="13"/>
  <c r="AY14" i="13"/>
  <c r="AC408" i="13"/>
  <c r="BC21" i="13"/>
  <c r="BC71" i="13"/>
  <c r="BM180" i="13"/>
  <c r="D49" i="13"/>
  <c r="I382" i="13"/>
  <c r="BT143" i="13"/>
  <c r="BJ214" i="13"/>
  <c r="AR56" i="13"/>
  <c r="AI90" i="13"/>
  <c r="BW472" i="13"/>
  <c r="BR262" i="13"/>
  <c r="AC117" i="13"/>
  <c r="W269" i="13"/>
  <c r="C66" i="13"/>
  <c r="AR51" i="13"/>
  <c r="N334" i="13"/>
  <c r="R260" i="13"/>
  <c r="BW58" i="13"/>
  <c r="AS107" i="13"/>
  <c r="L500" i="13"/>
  <c r="AC224" i="13"/>
  <c r="BT464" i="13"/>
  <c r="AI66" i="13"/>
  <c r="AY273" i="13"/>
  <c r="AR106" i="13"/>
  <c r="AX169" i="13"/>
  <c r="F53" i="13"/>
  <c r="BH49" i="13"/>
  <c r="AJ350" i="13"/>
  <c r="BD66" i="13"/>
  <c r="BW76" i="13"/>
  <c r="BA355" i="13"/>
  <c r="AI137" i="13"/>
  <c r="BS106" i="13"/>
  <c r="R242" i="13"/>
  <c r="G19" i="13"/>
  <c r="AK297" i="13"/>
  <c r="F341" i="13"/>
  <c r="AI181" i="13"/>
  <c r="BJ201" i="13"/>
  <c r="BR127" i="13"/>
  <c r="R2" i="13"/>
  <c r="BG28" i="13"/>
  <c r="G32" i="13"/>
  <c r="AZ65" i="13"/>
  <c r="BS20" i="13"/>
  <c r="AD59" i="13"/>
  <c r="AJ144" i="13"/>
  <c r="BA140" i="13"/>
  <c r="T110" i="13"/>
  <c r="BQ13" i="13"/>
  <c r="V198" i="13"/>
  <c r="BV319" i="13"/>
  <c r="K444" i="13"/>
  <c r="BW3" i="13"/>
  <c r="BV250" i="13"/>
  <c r="AM308" i="13"/>
  <c r="M103" i="13"/>
  <c r="O174" i="13"/>
  <c r="AH40" i="13"/>
  <c r="AZ29" i="13"/>
  <c r="L251" i="13"/>
  <c r="AX128" i="13"/>
  <c r="R154" i="13"/>
  <c r="D379" i="13"/>
  <c r="AP106" i="13"/>
  <c r="A72" i="13"/>
  <c r="L74" i="13"/>
  <c r="BO44" i="13"/>
  <c r="AZ337" i="13"/>
  <c r="M459" i="13"/>
  <c r="AR54" i="13"/>
  <c r="F41" i="13"/>
  <c r="D461" i="13"/>
  <c r="N49" i="13"/>
  <c r="I100" i="13"/>
  <c r="AP38" i="13"/>
  <c r="AX32" i="13"/>
  <c r="L186" i="13"/>
  <c r="BT101" i="13"/>
  <c r="BM83" i="13"/>
  <c r="AK493" i="13"/>
  <c r="BI20" i="13"/>
  <c r="A215" i="13"/>
  <c r="BK37" i="13"/>
  <c r="L260" i="13"/>
  <c r="BH35" i="13"/>
  <c r="A179" i="13"/>
  <c r="BM78" i="13"/>
  <c r="L308" i="13"/>
  <c r="AG199" i="13"/>
  <c r="BE74" i="13"/>
  <c r="AV56" i="13"/>
  <c r="BC196" i="13"/>
  <c r="V116" i="13"/>
  <c r="U322" i="13"/>
  <c r="AU261" i="13"/>
  <c r="AC156" i="13"/>
  <c r="J40" i="13"/>
  <c r="BE66" i="13"/>
  <c r="AE239" i="13"/>
  <c r="BD123" i="13"/>
  <c r="S126" i="13"/>
  <c r="V291" i="13"/>
  <c r="AZ242" i="13"/>
  <c r="AN119" i="13"/>
  <c r="Z61" i="13"/>
  <c r="BI81" i="13"/>
  <c r="BO347" i="13"/>
  <c r="F29" i="13"/>
  <c r="Z24" i="13"/>
  <c r="AL330" i="13"/>
  <c r="BG108" i="13"/>
  <c r="H360" i="13"/>
  <c r="BM323" i="13"/>
  <c r="AS477" i="13"/>
  <c r="BH21" i="13"/>
  <c r="BR108" i="13"/>
  <c r="L141" i="13"/>
  <c r="M65" i="13"/>
  <c r="AW244" i="13"/>
  <c r="E95" i="13"/>
  <c r="BF185" i="13"/>
  <c r="BD118" i="13"/>
  <c r="BF23" i="13"/>
  <c r="G245" i="13"/>
  <c r="E345" i="13"/>
  <c r="V23" i="13"/>
  <c r="K162" i="13"/>
  <c r="BE135" i="13"/>
  <c r="AJ20" i="13"/>
  <c r="BC191" i="13"/>
  <c r="AH63" i="13"/>
  <c r="BR18" i="13"/>
  <c r="AJ91" i="13"/>
  <c r="BE279" i="13"/>
  <c r="BI33" i="13"/>
  <c r="X419" i="13"/>
  <c r="BM216" i="13"/>
  <c r="BD290" i="13"/>
  <c r="AS28" i="13"/>
  <c r="AA87" i="13"/>
  <c r="H303" i="13"/>
  <c r="AK24" i="13"/>
  <c r="P36" i="13"/>
  <c r="BN127" i="13"/>
  <c r="BU431" i="13"/>
  <c r="AN45" i="13"/>
  <c r="BS79" i="13"/>
  <c r="AE82" i="13"/>
  <c r="B138" i="13"/>
  <c r="T164" i="13"/>
  <c r="AL35" i="13"/>
  <c r="J240" i="13"/>
  <c r="AH56" i="13"/>
  <c r="BQ115" i="13"/>
  <c r="AG92" i="13"/>
  <c r="AW316" i="13"/>
  <c r="AQ7" i="13"/>
  <c r="AN104" i="13"/>
  <c r="AZ283" i="13"/>
  <c r="S122" i="13"/>
  <c r="BP58" i="13"/>
  <c r="BA472" i="13"/>
  <c r="BH15" i="13"/>
  <c r="BE92" i="13"/>
  <c r="BJ117" i="13"/>
  <c r="W37" i="13"/>
  <c r="O262" i="13"/>
  <c r="BE40" i="13"/>
  <c r="BQ88" i="13"/>
  <c r="AI18" i="13"/>
  <c r="BM32" i="13"/>
  <c r="X187" i="13"/>
  <c r="BI168" i="13"/>
  <c r="BD175" i="13"/>
  <c r="G189" i="13"/>
  <c r="BF216" i="13"/>
  <c r="AR286" i="13"/>
  <c r="AJ97" i="13"/>
  <c r="O132" i="13"/>
  <c r="AY41" i="13"/>
  <c r="BF128" i="13"/>
  <c r="M35" i="13"/>
  <c r="BJ152" i="13"/>
  <c r="BB97" i="13"/>
  <c r="AI288" i="13"/>
  <c r="AE251" i="13"/>
  <c r="G84" i="13"/>
  <c r="J83" i="13"/>
  <c r="AA265" i="13"/>
  <c r="BO159" i="13"/>
  <c r="F500" i="13"/>
  <c r="BI80" i="13"/>
  <c r="BG69" i="13"/>
  <c r="BL458" i="13"/>
  <c r="AK183" i="13"/>
  <c r="AJ186" i="13"/>
  <c r="X189" i="13"/>
  <c r="BJ139" i="13"/>
  <c r="BP89" i="13"/>
  <c r="BO157" i="13"/>
  <c r="BC260" i="13"/>
  <c r="BO25" i="13"/>
  <c r="L33" i="13"/>
  <c r="BN74" i="13"/>
  <c r="BM339" i="13"/>
  <c r="AL261" i="13"/>
  <c r="BC50" i="13"/>
  <c r="BT463" i="13"/>
  <c r="AY26" i="13"/>
  <c r="BD201" i="13"/>
  <c r="R225" i="13"/>
  <c r="AJ339" i="13"/>
  <c r="L53" i="13"/>
  <c r="BF426" i="13"/>
  <c r="A89" i="13"/>
  <c r="AF29" i="13"/>
  <c r="AT9" i="13"/>
  <c r="AL139" i="13"/>
  <c r="AD68" i="13"/>
  <c r="AF375" i="13"/>
  <c r="Z341" i="13"/>
  <c r="AM98" i="13"/>
  <c r="AJ265" i="13"/>
  <c r="AZ27" i="13"/>
  <c r="BM114" i="13"/>
  <c r="AE247" i="13"/>
  <c r="P85" i="13"/>
  <c r="BM76" i="13"/>
  <c r="K114" i="13"/>
  <c r="BH496" i="13"/>
  <c r="B419" i="13"/>
  <c r="BN413" i="13"/>
  <c r="BV117" i="13"/>
  <c r="AI87" i="13"/>
  <c r="BB345" i="13"/>
  <c r="BW71" i="13"/>
  <c r="B114" i="13"/>
  <c r="Y176" i="13"/>
  <c r="BK110" i="13"/>
  <c r="BL11" i="13"/>
  <c r="H367" i="13"/>
  <c r="F2" i="13"/>
  <c r="AD493" i="13"/>
  <c r="B157" i="13"/>
  <c r="O197" i="13"/>
  <c r="AV111" i="13"/>
  <c r="BJ56" i="13"/>
  <c r="AP102" i="13"/>
  <c r="AQ90" i="13"/>
  <c r="R244" i="13"/>
  <c r="BI89" i="13"/>
  <c r="S75" i="13"/>
  <c r="W120" i="13"/>
  <c r="Z16" i="13"/>
  <c r="AN96" i="13"/>
  <c r="C209" i="13"/>
  <c r="AS376" i="13"/>
  <c r="BV78" i="13"/>
  <c r="AH305" i="13"/>
  <c r="BR306" i="13"/>
  <c r="AE29" i="13"/>
  <c r="AB22" i="13"/>
  <c r="W18" i="13"/>
  <c r="AE223" i="13"/>
  <c r="AN149" i="13"/>
  <c r="AN427" i="13"/>
  <c r="U32" i="13"/>
  <c r="BB176" i="13"/>
  <c r="X32" i="13"/>
  <c r="BD171" i="13"/>
  <c r="AU87" i="13"/>
  <c r="X272" i="13"/>
  <c r="E33" i="13"/>
  <c r="AC361" i="13"/>
  <c r="J87" i="13"/>
  <c r="BR176" i="13"/>
  <c r="BT116" i="13"/>
  <c r="S411" i="13"/>
  <c r="AW295" i="13"/>
  <c r="AA177" i="13"/>
  <c r="AR44" i="13"/>
  <c r="AJ19" i="13"/>
  <c r="R403" i="13"/>
  <c r="K140" i="13"/>
  <c r="AI416" i="13"/>
  <c r="AL393" i="13"/>
  <c r="BE332" i="13"/>
  <c r="BB68" i="13"/>
  <c r="M57" i="13"/>
  <c r="BS63" i="13"/>
  <c r="AH256" i="13"/>
  <c r="AT12" i="13"/>
  <c r="AA132" i="13"/>
  <c r="AE301" i="13"/>
  <c r="AG33" i="13"/>
  <c r="I198" i="13"/>
  <c r="F91" i="13"/>
  <c r="BD60" i="13"/>
  <c r="AS237" i="13"/>
  <c r="BK256" i="13"/>
  <c r="BE236" i="13"/>
  <c r="AC103" i="13"/>
  <c r="AL108" i="13"/>
  <c r="AR112" i="13"/>
  <c r="R26" i="13"/>
  <c r="BF305" i="13"/>
  <c r="BD77" i="13"/>
  <c r="BI28" i="13"/>
  <c r="BS62" i="13"/>
  <c r="BS258" i="13"/>
  <c r="Y207" i="13"/>
  <c r="BV35" i="13"/>
  <c r="AF154" i="13"/>
  <c r="AS90" i="13"/>
  <c r="E299" i="13"/>
  <c r="AD185" i="13"/>
  <c r="BE161" i="13"/>
  <c r="D38" i="13"/>
  <c r="BG85" i="13"/>
  <c r="G11" i="13"/>
  <c r="Y138" i="13"/>
  <c r="N86" i="13"/>
  <c r="BE336" i="13"/>
  <c r="AS497" i="13"/>
  <c r="AV57" i="13"/>
  <c r="BM57" i="13"/>
  <c r="L231" i="13"/>
  <c r="U9" i="13"/>
  <c r="BK87" i="13"/>
  <c r="AS363" i="13"/>
  <c r="U33" i="13"/>
  <c r="AB223" i="13"/>
  <c r="E38" i="13"/>
  <c r="AD172" i="13"/>
  <c r="BT95" i="13"/>
  <c r="BJ256" i="13"/>
  <c r="BI369" i="13"/>
  <c r="AJ58" i="13"/>
  <c r="BC428" i="13"/>
  <c r="AW221" i="13"/>
  <c r="BB85" i="13"/>
  <c r="AC280" i="13"/>
  <c r="AX110" i="13"/>
  <c r="AK31" i="13"/>
  <c r="N145" i="13"/>
  <c r="Z155" i="13"/>
  <c r="M32" i="13"/>
  <c r="A54" i="13"/>
  <c r="BQ179" i="13"/>
  <c r="W101" i="13"/>
  <c r="W497" i="13"/>
  <c r="BP468" i="13"/>
  <c r="AG21" i="13"/>
  <c r="AM371" i="13"/>
  <c r="AA490" i="13"/>
  <c r="BP156" i="13"/>
  <c r="BD157" i="13"/>
  <c r="BU84" i="13"/>
  <c r="AN496" i="13"/>
  <c r="AL6" i="13"/>
  <c r="AS207" i="13"/>
  <c r="AF67" i="13"/>
  <c r="BP405" i="13"/>
  <c r="AT135" i="13"/>
  <c r="V444" i="13"/>
  <c r="AY253" i="13"/>
  <c r="B448" i="13"/>
  <c r="H108" i="13"/>
  <c r="BS216" i="13"/>
  <c r="AZ49" i="13"/>
  <c r="J264" i="13"/>
  <c r="AN138" i="13"/>
  <c r="BO144" i="13"/>
  <c r="BV73" i="13"/>
  <c r="AI284" i="13"/>
  <c r="AA139" i="13"/>
  <c r="BF303" i="13"/>
  <c r="S100" i="13"/>
  <c r="AV65" i="13"/>
  <c r="AY423" i="13"/>
  <c r="B486" i="13"/>
  <c r="AN376" i="13"/>
  <c r="BM476" i="13"/>
  <c r="AJ53" i="13"/>
  <c r="BS17" i="13"/>
  <c r="B336" i="13"/>
  <c r="BI247" i="13"/>
  <c r="AQ376" i="13"/>
  <c r="AA85" i="13"/>
  <c r="BV44" i="13"/>
  <c r="D67" i="13"/>
  <c r="Y445" i="13"/>
  <c r="AB46" i="13"/>
  <c r="BN43" i="13"/>
  <c r="G69" i="13"/>
  <c r="O228" i="13"/>
  <c r="AI447" i="13"/>
  <c r="O283" i="13"/>
  <c r="P358" i="13"/>
  <c r="BG277" i="13"/>
  <c r="B491" i="13"/>
  <c r="U268" i="13"/>
  <c r="AU108" i="13"/>
  <c r="W260" i="13"/>
  <c r="AA325" i="13"/>
  <c r="BV48" i="13"/>
  <c r="AG438" i="13"/>
  <c r="AH46" i="13"/>
  <c r="F266" i="13"/>
  <c r="AS31" i="13"/>
  <c r="J138" i="13"/>
  <c r="I36" i="13"/>
  <c r="AF235" i="13"/>
  <c r="AQ363" i="13"/>
  <c r="BE335" i="13"/>
  <c r="Q308" i="13"/>
  <c r="D241" i="13"/>
  <c r="AF169" i="13"/>
  <c r="AC477" i="13"/>
  <c r="AO161" i="13"/>
  <c r="AH490" i="13"/>
  <c r="AM333" i="13"/>
  <c r="AD91" i="13"/>
  <c r="AK343" i="13"/>
  <c r="BI214" i="13"/>
  <c r="J399" i="13"/>
  <c r="BP115" i="13"/>
  <c r="AX230" i="13"/>
  <c r="K185" i="13"/>
  <c r="R49" i="13"/>
  <c r="Z220" i="13"/>
  <c r="AN155" i="13"/>
  <c r="AI57" i="13"/>
  <c r="S269" i="13"/>
  <c r="A202" i="13"/>
  <c r="BB312" i="13"/>
  <c r="AT360" i="13"/>
  <c r="BQ119" i="13"/>
  <c r="T122" i="13"/>
  <c r="AN16" i="13"/>
  <c r="AG121" i="13"/>
  <c r="A305" i="13"/>
  <c r="AG475" i="13"/>
  <c r="BK238" i="13"/>
  <c r="P122" i="13"/>
  <c r="BH76" i="13"/>
  <c r="Y268" i="13"/>
  <c r="AL237" i="13"/>
  <c r="AK38" i="13"/>
  <c r="AE427" i="13"/>
  <c r="S499" i="13"/>
  <c r="BJ98" i="13"/>
  <c r="J99" i="13"/>
  <c r="BP45" i="13"/>
  <c r="U72" i="13"/>
  <c r="AN61" i="13"/>
  <c r="BT233" i="13"/>
  <c r="E40" i="13"/>
  <c r="AD24" i="13"/>
  <c r="AC441" i="13"/>
  <c r="J77" i="13"/>
  <c r="G22" i="13"/>
  <c r="BO262" i="13"/>
  <c r="D489" i="13"/>
  <c r="AO105" i="13"/>
  <c r="AA236" i="13"/>
  <c r="AO214" i="13"/>
  <c r="BM115" i="13"/>
  <c r="BP98" i="13"/>
  <c r="BF4" i="13"/>
  <c r="I124" i="13"/>
  <c r="AI121" i="13"/>
  <c r="AH133" i="13"/>
  <c r="N180" i="13"/>
  <c r="AH316" i="13"/>
  <c r="AT2" i="13"/>
  <c r="AS63" i="13"/>
  <c r="BS192" i="13"/>
  <c r="F127" i="13"/>
  <c r="AB38" i="13"/>
  <c r="L57" i="13"/>
  <c r="AC121" i="13"/>
  <c r="AE129" i="13"/>
  <c r="BK78" i="13"/>
  <c r="E397" i="13"/>
  <c r="BN17" i="13"/>
  <c r="Q78" i="13"/>
  <c r="BK25" i="13"/>
  <c r="F240" i="13"/>
  <c r="BP37" i="13"/>
  <c r="C492" i="13"/>
  <c r="AT37" i="13"/>
  <c r="AN81" i="13"/>
  <c r="BO98" i="13"/>
  <c r="AN215" i="13"/>
  <c r="T57" i="13"/>
  <c r="BW87" i="13"/>
  <c r="AL119" i="13"/>
  <c r="V434" i="13"/>
  <c r="A40" i="13"/>
  <c r="Y211" i="13"/>
  <c r="BJ361" i="13"/>
  <c r="AH314" i="13"/>
  <c r="BH156" i="13"/>
  <c r="O266" i="13"/>
  <c r="J64" i="13"/>
  <c r="BN147" i="13"/>
  <c r="AZ376" i="13"/>
  <c r="I319" i="13"/>
  <c r="BU69" i="13"/>
  <c r="AW193" i="13"/>
  <c r="AQ337" i="13"/>
  <c r="AC32" i="13"/>
  <c r="Z98" i="13"/>
  <c r="E497" i="13"/>
  <c r="AI59" i="13"/>
  <c r="AI303" i="13"/>
  <c r="B208" i="13"/>
  <c r="AB242" i="13"/>
  <c r="AS15" i="13"/>
  <c r="BH149" i="13"/>
  <c r="AU248" i="13"/>
  <c r="AP480" i="13"/>
  <c r="AC318" i="13"/>
  <c r="AQ120" i="13"/>
  <c r="AC175" i="13"/>
  <c r="S70" i="13"/>
  <c r="AY329" i="13"/>
  <c r="AU66" i="13"/>
  <c r="BF226" i="13"/>
  <c r="I89" i="13"/>
  <c r="AD352" i="13"/>
  <c r="G180" i="13"/>
  <c r="AY138" i="13"/>
  <c r="BO14" i="13"/>
  <c r="N499" i="13"/>
  <c r="BG189" i="13"/>
  <c r="AF473" i="13"/>
  <c r="BA56" i="13"/>
  <c r="AL192" i="13"/>
  <c r="BC74" i="13"/>
  <c r="AR189" i="13"/>
  <c r="BT157" i="13"/>
  <c r="AC99" i="13"/>
  <c r="BR104" i="13"/>
  <c r="A66" i="13"/>
  <c r="BQ407" i="13"/>
  <c r="AJ381" i="13"/>
  <c r="P143" i="13"/>
  <c r="AR476" i="13"/>
  <c r="I153" i="13"/>
  <c r="AG163" i="13"/>
  <c r="AN375" i="13"/>
  <c r="BJ165" i="13"/>
  <c r="AY56" i="13"/>
  <c r="BV46" i="13"/>
  <c r="AB485" i="13"/>
  <c r="V407" i="13"/>
  <c r="AH284" i="13"/>
  <c r="BQ465" i="13"/>
  <c r="BC166" i="13"/>
  <c r="BN102" i="13"/>
  <c r="B12" i="13"/>
  <c r="BS343" i="13"/>
  <c r="AH280" i="13"/>
  <c r="AO65" i="13"/>
  <c r="AE48" i="13"/>
  <c r="BK231" i="13"/>
  <c r="BU12" i="13"/>
  <c r="O242" i="13"/>
  <c r="BO19" i="13"/>
  <c r="W152" i="13"/>
  <c r="C461" i="13"/>
  <c r="AM51" i="13"/>
  <c r="AF254" i="13"/>
  <c r="L458" i="13"/>
  <c r="BB107" i="13"/>
  <c r="BO176" i="13"/>
  <c r="AK168" i="13"/>
  <c r="AL136" i="13"/>
  <c r="G455" i="13"/>
  <c r="S170" i="13"/>
  <c r="A100" i="13"/>
  <c r="AT59" i="13"/>
  <c r="T130" i="13"/>
  <c r="L62" i="13"/>
  <c r="AL273" i="13"/>
  <c r="AY122" i="13"/>
  <c r="X351" i="13"/>
  <c r="BS150" i="13"/>
  <c r="AF306" i="13"/>
  <c r="BE126" i="13"/>
  <c r="BV350" i="13"/>
  <c r="AR95" i="13"/>
  <c r="AC236" i="13"/>
  <c r="AF71" i="13"/>
  <c r="E55" i="13"/>
  <c r="AH183" i="13"/>
  <c r="BL4" i="13"/>
  <c r="J306" i="13"/>
  <c r="D23" i="13"/>
  <c r="AF495" i="13"/>
  <c r="U97" i="13"/>
  <c r="A182" i="13"/>
  <c r="M129" i="13"/>
  <c r="AB179" i="13"/>
  <c r="AI9" i="13"/>
  <c r="K68" i="13"/>
  <c r="AS142" i="13"/>
  <c r="Q80" i="13"/>
  <c r="AA70" i="13"/>
  <c r="BL304" i="13"/>
  <c r="U413" i="13"/>
  <c r="BE109" i="13"/>
  <c r="M85" i="13"/>
  <c r="BU85" i="13"/>
  <c r="N388" i="13"/>
  <c r="BO29" i="13"/>
  <c r="BD27" i="13"/>
  <c r="C374" i="13"/>
  <c r="AL116" i="13"/>
  <c r="AS152" i="13"/>
  <c r="AP56" i="13"/>
  <c r="F256" i="13"/>
  <c r="AG64" i="13"/>
  <c r="AR427" i="13"/>
  <c r="BF458" i="13"/>
  <c r="O4" i="13"/>
  <c r="AG393" i="13"/>
  <c r="AX246" i="13"/>
  <c r="AT467" i="13"/>
  <c r="Q68" i="13"/>
  <c r="BH44" i="13"/>
  <c r="O115" i="13"/>
  <c r="BV248" i="13"/>
  <c r="AY224" i="13"/>
  <c r="Z399" i="13"/>
  <c r="BI241" i="13"/>
  <c r="J265" i="13"/>
  <c r="D411" i="13"/>
  <c r="AH33" i="13"/>
  <c r="BG30" i="13"/>
  <c r="AE71" i="13"/>
  <c r="W382" i="13"/>
  <c r="A355" i="13"/>
  <c r="S59" i="13"/>
  <c r="BP118" i="13"/>
  <c r="BS245" i="13"/>
  <c r="L434" i="13"/>
  <c r="P364" i="13"/>
  <c r="A123" i="13"/>
  <c r="L142" i="13"/>
  <c r="Q165" i="13"/>
  <c r="L271" i="13"/>
  <c r="AO63" i="13"/>
  <c r="BF139" i="13"/>
  <c r="S372" i="13"/>
  <c r="BI217" i="13"/>
  <c r="Y272" i="13"/>
  <c r="BF275" i="13"/>
  <c r="AG464" i="13"/>
  <c r="K82" i="13"/>
  <c r="AO152" i="13"/>
  <c r="AB449" i="13"/>
  <c r="AZ199" i="13"/>
  <c r="L406" i="13"/>
  <c r="BP63" i="13"/>
  <c r="E289" i="13"/>
  <c r="AU122" i="13"/>
  <c r="BP199" i="13"/>
  <c r="AB113" i="13"/>
  <c r="H141" i="13"/>
  <c r="W40" i="13"/>
  <c r="H17" i="13"/>
  <c r="W166" i="13"/>
  <c r="BD316" i="13"/>
  <c r="M137" i="13"/>
  <c r="BH107" i="13"/>
  <c r="AP236" i="13"/>
  <c r="Z159" i="13"/>
  <c r="BG95" i="13"/>
  <c r="L195" i="13"/>
  <c r="AL178" i="13"/>
  <c r="AJ326" i="13"/>
  <c r="AM49" i="13"/>
  <c r="BQ249" i="13"/>
  <c r="W293" i="13"/>
  <c r="A80" i="13"/>
  <c r="BL103" i="13"/>
  <c r="BR181" i="13"/>
  <c r="BD424" i="13"/>
  <c r="AJ271" i="13"/>
  <c r="BP121" i="13"/>
  <c r="AC360" i="13"/>
  <c r="BO299" i="13"/>
  <c r="P162" i="13"/>
  <c r="AM487" i="13"/>
  <c r="AT253" i="13"/>
  <c r="A50" i="13"/>
  <c r="AF83" i="13"/>
  <c r="G234" i="13"/>
  <c r="AU209" i="13"/>
  <c r="BJ230" i="13"/>
  <c r="BV403" i="13"/>
  <c r="BR146" i="13"/>
  <c r="AL122" i="13"/>
  <c r="AE103" i="13"/>
  <c r="BJ312" i="13"/>
  <c r="Y59" i="13"/>
  <c r="AC35" i="13"/>
  <c r="I227" i="13"/>
  <c r="BW304" i="13"/>
  <c r="BN297" i="13"/>
  <c r="BR402" i="13"/>
  <c r="AD42" i="13"/>
  <c r="AV122" i="13"/>
  <c r="AC251" i="13"/>
  <c r="AC97" i="13"/>
  <c r="AG290" i="13"/>
  <c r="AM414" i="13"/>
  <c r="BF260" i="13"/>
  <c r="U80" i="13"/>
  <c r="BN149" i="13"/>
  <c r="Z203" i="13"/>
  <c r="T265" i="13"/>
  <c r="AD108" i="13"/>
  <c r="J65" i="13"/>
  <c r="J109" i="13"/>
  <c r="F40" i="13"/>
  <c r="BT51" i="13"/>
  <c r="N154" i="13"/>
  <c r="T357" i="13"/>
  <c r="A315" i="13"/>
  <c r="J113" i="13"/>
  <c r="Z241" i="13"/>
  <c r="Y206" i="13"/>
  <c r="AK452" i="13"/>
  <c r="S436" i="13"/>
  <c r="M171" i="13"/>
  <c r="X144" i="13"/>
  <c r="AL82" i="13"/>
  <c r="Y69" i="13"/>
  <c r="G295" i="13"/>
  <c r="AJ253" i="13"/>
  <c r="C433" i="13"/>
  <c r="AK182" i="13"/>
  <c r="BK56" i="13"/>
  <c r="AZ41" i="13"/>
  <c r="BF486" i="13"/>
  <c r="BQ256" i="13"/>
  <c r="AO283" i="13"/>
  <c r="AV424" i="13"/>
  <c r="BV303" i="13"/>
  <c r="BW205" i="13"/>
  <c r="O345" i="13"/>
  <c r="BW398" i="13"/>
  <c r="AS179" i="13"/>
  <c r="C416" i="13"/>
  <c r="AU257" i="13"/>
  <c r="Z249" i="13"/>
  <c r="AH180" i="13"/>
  <c r="A129" i="13"/>
  <c r="O120" i="13"/>
  <c r="X62" i="13"/>
  <c r="I3" i="13"/>
  <c r="AW166" i="13"/>
  <c r="M84" i="13"/>
  <c r="BW419" i="13"/>
  <c r="L116" i="13"/>
  <c r="C371" i="13"/>
  <c r="AP45" i="13"/>
  <c r="AT43" i="13"/>
  <c r="B317" i="13"/>
  <c r="F183" i="13"/>
  <c r="Q101" i="13"/>
  <c r="BK253" i="13"/>
  <c r="V125" i="13"/>
  <c r="P108" i="13"/>
  <c r="BV127" i="13"/>
  <c r="BB65" i="13"/>
  <c r="BU279" i="13"/>
  <c r="L11" i="13"/>
  <c r="R489" i="13"/>
  <c r="I61" i="13"/>
  <c r="AR330" i="13"/>
  <c r="BE8" i="13"/>
  <c r="BU381" i="13"/>
  <c r="AS133" i="13"/>
  <c r="Z144" i="13"/>
  <c r="L211" i="13"/>
  <c r="K367" i="13"/>
  <c r="BR41" i="13"/>
  <c r="AN153" i="13"/>
  <c r="N332" i="13"/>
  <c r="BL440" i="13"/>
  <c r="S305" i="13"/>
  <c r="L76" i="13"/>
  <c r="AZ79" i="13"/>
  <c r="G388" i="13"/>
  <c r="BQ397" i="13"/>
  <c r="B44" i="13"/>
  <c r="D252" i="13"/>
  <c r="Q150" i="13"/>
  <c r="AS379" i="13"/>
  <c r="M154" i="13"/>
  <c r="L75" i="13"/>
  <c r="P137" i="13"/>
  <c r="N227" i="13"/>
  <c r="AJ83" i="13"/>
  <c r="BA269" i="13"/>
  <c r="AB499" i="13"/>
  <c r="T96" i="13"/>
  <c r="BS88" i="13"/>
  <c r="BI271" i="13"/>
  <c r="AM477" i="13"/>
  <c r="AU100" i="13"/>
  <c r="BD124" i="13"/>
  <c r="S265" i="13"/>
  <c r="H184" i="13"/>
  <c r="C115" i="13"/>
  <c r="AP61" i="13"/>
  <c r="AA456" i="13"/>
  <c r="BB224" i="13"/>
  <c r="BI267" i="13"/>
  <c r="S230" i="13"/>
  <c r="BG263" i="13"/>
  <c r="BK89" i="13"/>
  <c r="X14" i="13"/>
  <c r="AJ122" i="13"/>
  <c r="A25" i="13"/>
  <c r="BU124" i="13"/>
  <c r="O14" i="13"/>
  <c r="O369" i="13"/>
  <c r="AX164" i="13"/>
  <c r="AM211" i="13"/>
  <c r="C448" i="13"/>
  <c r="AX300" i="13"/>
  <c r="AI480" i="13"/>
  <c r="AR21" i="13"/>
  <c r="BT419" i="13"/>
  <c r="I137" i="13"/>
  <c r="Y380" i="13"/>
  <c r="X346" i="13"/>
  <c r="H40" i="13"/>
  <c r="AV139" i="13"/>
  <c r="BN305" i="13"/>
  <c r="K102" i="13"/>
  <c r="AC261" i="13"/>
  <c r="U96" i="13"/>
  <c r="BJ399" i="13"/>
  <c r="Z86" i="13"/>
  <c r="AC219" i="13"/>
  <c r="AZ190" i="13"/>
  <c r="F279" i="13"/>
  <c r="BN206" i="13"/>
  <c r="AC315" i="13"/>
  <c r="BS399" i="13"/>
  <c r="BW448" i="13"/>
  <c r="A47" i="13"/>
  <c r="BL269" i="13"/>
  <c r="D76" i="13"/>
  <c r="BH358" i="13"/>
  <c r="AJ136" i="13"/>
  <c r="N391" i="13"/>
  <c r="AB60" i="13"/>
  <c r="C283" i="13"/>
  <c r="AD385" i="13"/>
  <c r="Z126" i="13"/>
  <c r="AT229" i="13"/>
  <c r="BM430" i="13"/>
  <c r="BQ223" i="13"/>
  <c r="Q365" i="13"/>
  <c r="A112" i="13"/>
  <c r="H478" i="13"/>
  <c r="AY104" i="13"/>
  <c r="Q271" i="13"/>
  <c r="BJ143" i="13"/>
  <c r="AJ90" i="13"/>
  <c r="H230" i="13"/>
  <c r="AG35" i="13"/>
  <c r="AB226" i="13"/>
  <c r="AN405" i="13"/>
  <c r="AY187" i="13"/>
  <c r="S106" i="13"/>
  <c r="AI278" i="13"/>
  <c r="Q228" i="13"/>
  <c r="BB94" i="13"/>
  <c r="AP282" i="13"/>
  <c r="BO266" i="13"/>
  <c r="T135" i="13"/>
  <c r="Z10" i="13"/>
  <c r="AB258" i="13"/>
  <c r="N370" i="13"/>
  <c r="BL91" i="13"/>
  <c r="BF447" i="13"/>
  <c r="AR30" i="13"/>
  <c r="S127" i="13"/>
  <c r="BK44" i="13"/>
  <c r="BE184" i="13"/>
  <c r="AH386" i="13"/>
  <c r="K214" i="13"/>
  <c r="F45" i="13"/>
  <c r="H322" i="13"/>
  <c r="BD293" i="13"/>
  <c r="BL177" i="13"/>
  <c r="C111" i="13"/>
  <c r="AJ374" i="13"/>
  <c r="K246" i="13"/>
  <c r="BJ84" i="13"/>
  <c r="F79" i="13"/>
  <c r="W316" i="13"/>
  <c r="Q1" i="13"/>
  <c r="P93" i="13"/>
  <c r="BH45" i="13"/>
  <c r="H235" i="13"/>
  <c r="BE350" i="13"/>
  <c r="BL53" i="13"/>
  <c r="AQ182" i="13"/>
  <c r="AD207" i="13"/>
  <c r="AN39" i="13"/>
  <c r="G463" i="13"/>
  <c r="BT100" i="13"/>
  <c r="BB362" i="13"/>
  <c r="K227" i="13"/>
  <c r="A427" i="13"/>
  <c r="BH99" i="13"/>
  <c r="AH236" i="13"/>
  <c r="BL228" i="13"/>
  <c r="K53" i="13"/>
  <c r="K305" i="13"/>
  <c r="J108" i="13"/>
  <c r="AK121" i="13"/>
  <c r="BH281" i="13"/>
  <c r="BT380" i="13"/>
  <c r="BF8" i="13"/>
  <c r="BO139" i="13"/>
  <c r="N118" i="13"/>
  <c r="AM137" i="13"/>
  <c r="D125" i="13"/>
  <c r="P35" i="13"/>
  <c r="A465" i="13"/>
  <c r="L330" i="13"/>
  <c r="AP52" i="13"/>
  <c r="BP23" i="13"/>
  <c r="BH20" i="13"/>
  <c r="P176" i="13"/>
  <c r="AG134" i="13"/>
  <c r="AP432" i="13"/>
  <c r="BH206" i="13"/>
  <c r="Z68" i="13"/>
  <c r="A23" i="13"/>
  <c r="U101" i="13"/>
  <c r="B33" i="13"/>
  <c r="BU146" i="13"/>
  <c r="X396" i="13"/>
  <c r="E104" i="13"/>
  <c r="B296" i="13"/>
  <c r="W182" i="13"/>
  <c r="A219" i="13"/>
  <c r="AG136" i="13"/>
  <c r="AE213" i="13"/>
  <c r="A295" i="13"/>
  <c r="Q253" i="13"/>
  <c r="BR244" i="13"/>
  <c r="AP249" i="13"/>
  <c r="BO349" i="13"/>
  <c r="AC130" i="13"/>
  <c r="AB476" i="13"/>
  <c r="J219" i="13"/>
  <c r="BF110" i="13"/>
  <c r="BV409" i="13"/>
  <c r="AK286" i="13"/>
  <c r="AE256" i="13"/>
  <c r="AH356" i="13"/>
  <c r="AZ159" i="13"/>
  <c r="BD11" i="13"/>
  <c r="BU152" i="13"/>
  <c r="AA389" i="13"/>
  <c r="I433" i="13"/>
  <c r="AW334" i="13"/>
  <c r="AZ361" i="13"/>
  <c r="BW29" i="13"/>
  <c r="BT383" i="13"/>
  <c r="AP307" i="13"/>
  <c r="H155" i="13"/>
  <c r="AX107" i="13"/>
  <c r="T180" i="13"/>
  <c r="AY367" i="13"/>
  <c r="AX18" i="13"/>
  <c r="BL95" i="13"/>
  <c r="AH469" i="13"/>
  <c r="AC66" i="13"/>
  <c r="AW169" i="13"/>
  <c r="K61" i="13"/>
  <c r="BR203" i="13"/>
  <c r="E96" i="13"/>
  <c r="S119" i="13"/>
  <c r="AB20" i="13"/>
  <c r="H302" i="13"/>
  <c r="U153" i="13"/>
  <c r="BF118" i="13"/>
  <c r="BP234" i="13"/>
  <c r="O461" i="13"/>
  <c r="C112" i="13"/>
  <c r="BI454" i="13"/>
  <c r="X428" i="13"/>
  <c r="C91" i="13"/>
  <c r="AZ434" i="13"/>
  <c r="BH121" i="13"/>
  <c r="BG148" i="13"/>
  <c r="P318" i="13"/>
  <c r="B85" i="13"/>
  <c r="BP383" i="13"/>
  <c r="AU371" i="13"/>
  <c r="S225" i="13"/>
  <c r="AE309" i="13"/>
  <c r="BA8" i="13"/>
  <c r="BQ202" i="13"/>
  <c r="BC369" i="13"/>
  <c r="BG170" i="13"/>
  <c r="E84" i="13"/>
  <c r="AW255" i="13"/>
  <c r="T93" i="13"/>
  <c r="BQ45" i="13"/>
  <c r="AQ20" i="13"/>
  <c r="BJ86" i="13"/>
  <c r="H176" i="13"/>
  <c r="V209" i="13"/>
  <c r="W19" i="13"/>
  <c r="AM81" i="13"/>
  <c r="AL193" i="13"/>
  <c r="D243" i="13"/>
  <c r="U89" i="13"/>
  <c r="AL52" i="13"/>
  <c r="BT140" i="13"/>
  <c r="BT309" i="13"/>
  <c r="AP85" i="13"/>
  <c r="R430" i="13"/>
  <c r="AQ460" i="13"/>
  <c r="O8" i="13"/>
  <c r="B257" i="13"/>
  <c r="AF326" i="13"/>
  <c r="AI385" i="13"/>
  <c r="AG30" i="13"/>
  <c r="W228" i="13"/>
  <c r="BB379" i="13"/>
  <c r="AU93" i="13"/>
  <c r="D168" i="13"/>
  <c r="AB411" i="13"/>
  <c r="AJ441" i="13"/>
  <c r="AL97" i="13"/>
  <c r="BK20" i="13"/>
  <c r="J326" i="13"/>
  <c r="AV341" i="13"/>
  <c r="BR363" i="13"/>
  <c r="BQ298" i="13"/>
  <c r="BF102" i="13"/>
  <c r="BP17" i="13"/>
  <c r="BJ300" i="13"/>
  <c r="L99" i="13"/>
  <c r="F316" i="13"/>
  <c r="C249" i="13"/>
  <c r="W134" i="13"/>
  <c r="AX55" i="13"/>
  <c r="BE180" i="13"/>
  <c r="AL353" i="13"/>
  <c r="BQ241" i="13"/>
  <c r="AG53" i="13"/>
  <c r="BN38" i="13"/>
  <c r="BE285" i="13"/>
  <c r="C320" i="13"/>
  <c r="AY84" i="13"/>
  <c r="BF336" i="13"/>
  <c r="AL227" i="13"/>
  <c r="T156" i="13"/>
  <c r="BW72" i="13"/>
  <c r="BL297" i="13"/>
  <c r="U8" i="13"/>
  <c r="BV39" i="13"/>
  <c r="E203" i="13"/>
  <c r="E211" i="13"/>
  <c r="BM412" i="13"/>
  <c r="BW102" i="13"/>
  <c r="AC38" i="13"/>
  <c r="BO417" i="13"/>
  <c r="BO194" i="13"/>
  <c r="BA335" i="13"/>
  <c r="AH131" i="13"/>
  <c r="BE130" i="13"/>
  <c r="H460" i="13"/>
  <c r="AL225" i="13"/>
  <c r="A341" i="13"/>
  <c r="BC266" i="13"/>
  <c r="J401" i="13"/>
  <c r="AW40" i="13"/>
  <c r="X426" i="13"/>
  <c r="AI353" i="13"/>
  <c r="Q256" i="13"/>
  <c r="AO485" i="13"/>
  <c r="BO242" i="13"/>
  <c r="G467" i="13"/>
  <c r="BB245" i="13"/>
  <c r="M132" i="13"/>
  <c r="H46" i="13"/>
  <c r="BB400" i="13"/>
  <c r="AA273" i="13"/>
  <c r="Z359" i="13"/>
  <c r="AC211" i="13"/>
  <c r="BP143" i="13"/>
  <c r="AK236" i="13"/>
  <c r="AH144" i="13"/>
  <c r="R307" i="13"/>
  <c r="AW171" i="13"/>
  <c r="H369" i="13"/>
  <c r="AJ305" i="13"/>
  <c r="V347" i="13"/>
  <c r="AU112" i="13"/>
  <c r="AS331" i="13"/>
  <c r="BR325" i="13"/>
  <c r="BG173" i="13"/>
  <c r="AQ27" i="13"/>
  <c r="O331" i="13"/>
  <c r="H72" i="13"/>
  <c r="AB409" i="13"/>
  <c r="F98" i="13"/>
  <c r="R233" i="13"/>
  <c r="AN117" i="13"/>
  <c r="O166" i="13"/>
  <c r="H102" i="13"/>
  <c r="Y68" i="13"/>
  <c r="R88" i="13"/>
  <c r="P194" i="13"/>
  <c r="Z496" i="13"/>
  <c r="AX56" i="13"/>
  <c r="AE206" i="13"/>
  <c r="AI77" i="13"/>
  <c r="U35" i="13"/>
  <c r="F104" i="13"/>
  <c r="BB482" i="13"/>
  <c r="BN53" i="13"/>
  <c r="BM212" i="13"/>
  <c r="T100" i="13"/>
  <c r="BT17" i="13"/>
  <c r="AO305" i="13"/>
  <c r="G195" i="13"/>
  <c r="AJ332" i="13"/>
  <c r="AF39" i="13"/>
  <c r="G395" i="13"/>
  <c r="BH209" i="13"/>
  <c r="BJ238" i="13"/>
  <c r="BV113" i="13"/>
  <c r="AC82" i="13"/>
  <c r="AG233" i="13"/>
  <c r="K317" i="13"/>
  <c r="Q103" i="13"/>
  <c r="BB174" i="13"/>
  <c r="BG456" i="13"/>
  <c r="D87" i="13"/>
  <c r="AI190" i="13"/>
  <c r="AG288" i="13"/>
  <c r="O460" i="13"/>
  <c r="AK88" i="13"/>
  <c r="R158" i="13"/>
  <c r="N407" i="13"/>
  <c r="U119" i="13"/>
  <c r="AZ124" i="13"/>
  <c r="BI123" i="13"/>
  <c r="AD195" i="13"/>
  <c r="AP389" i="13"/>
  <c r="AR495" i="13"/>
  <c r="X69" i="13"/>
  <c r="W82" i="13"/>
  <c r="Z299" i="13"/>
  <c r="AN323" i="13"/>
  <c r="C5" i="13"/>
  <c r="AH146" i="13"/>
  <c r="BK81" i="13"/>
  <c r="BG87" i="13"/>
  <c r="B23" i="13"/>
  <c r="AA20" i="13"/>
  <c r="AK135" i="13"/>
  <c r="AG54" i="13"/>
  <c r="BD491" i="13"/>
  <c r="AK485" i="13"/>
  <c r="AS123" i="13"/>
  <c r="AO315" i="13"/>
  <c r="J26" i="13"/>
  <c r="V62" i="13"/>
  <c r="AT111" i="13"/>
  <c r="L374" i="13"/>
  <c r="BR45" i="13"/>
  <c r="Y396" i="13"/>
  <c r="P363" i="13"/>
  <c r="BA274" i="13"/>
  <c r="AP42" i="13"/>
  <c r="AT462" i="13"/>
  <c r="AF94" i="13"/>
  <c r="AH342" i="13"/>
  <c r="S304" i="13"/>
  <c r="BL116" i="13"/>
  <c r="BA188" i="13"/>
  <c r="BC215" i="13"/>
  <c r="C305" i="13"/>
  <c r="AO41" i="13"/>
  <c r="AV62" i="13"/>
  <c r="AO68" i="13"/>
  <c r="R74" i="13"/>
  <c r="AN92" i="13"/>
  <c r="AS33" i="13"/>
  <c r="N114" i="13"/>
  <c r="AH11" i="13"/>
  <c r="N126" i="13"/>
  <c r="Z81" i="13"/>
  <c r="BT484" i="13"/>
  <c r="BU18" i="13"/>
  <c r="BP448" i="13"/>
  <c r="BF68" i="13"/>
  <c r="AA428" i="13"/>
  <c r="A422" i="13"/>
  <c r="G496" i="13"/>
  <c r="Z91" i="13"/>
  <c r="AY375" i="13"/>
  <c r="AG439" i="13"/>
  <c r="G243" i="13"/>
  <c r="BS67" i="13"/>
  <c r="F295" i="13"/>
  <c r="G90" i="13"/>
  <c r="X441" i="13"/>
  <c r="N12" i="13"/>
  <c r="AV485" i="13"/>
  <c r="K327" i="13"/>
  <c r="L321" i="13"/>
  <c r="AK117" i="13"/>
  <c r="Y443" i="13"/>
  <c r="AO114" i="13"/>
  <c r="AP379" i="13"/>
  <c r="O152" i="13"/>
  <c r="BK114" i="13"/>
  <c r="BQ453" i="13"/>
  <c r="AS96" i="13"/>
  <c r="AM185" i="13"/>
  <c r="BL97" i="13"/>
  <c r="AH237" i="13"/>
  <c r="AY52" i="13"/>
  <c r="BP43" i="13"/>
  <c r="O417" i="13"/>
  <c r="AM447" i="13"/>
  <c r="D41" i="13"/>
  <c r="AP164" i="13"/>
  <c r="AD270" i="13"/>
  <c r="AN71" i="13"/>
  <c r="S149" i="13"/>
  <c r="AI340" i="13"/>
  <c r="W471" i="13"/>
  <c r="M158" i="13"/>
  <c r="AC134" i="13"/>
  <c r="AZ75" i="13"/>
  <c r="BB69" i="13"/>
  <c r="BM496" i="13"/>
  <c r="BL115" i="13"/>
  <c r="AP29" i="13"/>
  <c r="AQ149" i="13"/>
  <c r="Y191" i="13"/>
  <c r="Q455" i="13"/>
  <c r="BA233" i="13"/>
  <c r="D69" i="13"/>
  <c r="AL383" i="13"/>
  <c r="BP223" i="13"/>
  <c r="T489" i="13"/>
  <c r="AG60" i="13"/>
  <c r="Y34" i="13"/>
  <c r="AQ115" i="13"/>
  <c r="Z124" i="13"/>
  <c r="AJ134" i="13"/>
  <c r="BT277" i="13"/>
  <c r="BW47" i="13"/>
  <c r="BK14" i="13"/>
  <c r="V57" i="13"/>
  <c r="BE182" i="13"/>
  <c r="BF266" i="13"/>
  <c r="AZ17" i="13"/>
  <c r="BP80" i="13"/>
  <c r="BT49" i="13"/>
  <c r="BS169" i="13"/>
  <c r="L92" i="13"/>
  <c r="AY351" i="13"/>
  <c r="BF450" i="13"/>
  <c r="AL171" i="13"/>
  <c r="AJ448" i="13"/>
  <c r="Q164" i="13"/>
  <c r="BC19" i="13"/>
  <c r="G185" i="13"/>
  <c r="R485" i="13"/>
  <c r="AF42" i="13"/>
  <c r="AO81" i="13"/>
  <c r="G25" i="13"/>
  <c r="AE34" i="13"/>
  <c r="BC20" i="13"/>
  <c r="R231" i="13"/>
  <c r="Q408" i="13"/>
  <c r="AC29" i="13"/>
  <c r="BP411" i="13"/>
  <c r="H290" i="13"/>
  <c r="AS481" i="13"/>
  <c r="AZ150" i="13"/>
  <c r="AD217" i="13"/>
  <c r="BI115" i="13"/>
  <c r="BV159" i="13"/>
  <c r="AZ428" i="13"/>
  <c r="M205" i="13"/>
  <c r="X80" i="13"/>
  <c r="BF99" i="13"/>
  <c r="L34" i="13"/>
  <c r="AT160" i="13"/>
  <c r="K58" i="13"/>
  <c r="BF272" i="13"/>
  <c r="J462" i="13"/>
  <c r="AD143" i="13"/>
  <c r="AN64" i="13"/>
  <c r="J418" i="13"/>
  <c r="BM457" i="13"/>
  <c r="X379" i="13"/>
  <c r="AW307" i="13"/>
  <c r="I85" i="13"/>
  <c r="H24" i="13"/>
  <c r="AT453" i="13"/>
  <c r="AD54" i="13"/>
  <c r="H177" i="13"/>
  <c r="BS31" i="13"/>
  <c r="Y174" i="13"/>
  <c r="M305" i="13"/>
  <c r="O74" i="13"/>
  <c r="I328" i="13"/>
  <c r="G40" i="13"/>
  <c r="AO328" i="13"/>
  <c r="AA333" i="13"/>
  <c r="AR140" i="13"/>
  <c r="AU499" i="13"/>
  <c r="AV106" i="13"/>
  <c r="AG248" i="13"/>
  <c r="AL70" i="13"/>
  <c r="W302" i="13"/>
  <c r="M52" i="13"/>
  <c r="W495" i="13"/>
  <c r="AF290" i="13"/>
  <c r="BB151" i="13"/>
  <c r="AT224" i="13"/>
  <c r="BE37" i="13"/>
  <c r="R458" i="13"/>
  <c r="AM238" i="13"/>
  <c r="O38" i="13"/>
  <c r="BR423" i="13"/>
  <c r="AB101" i="13"/>
  <c r="T243" i="13"/>
  <c r="S42" i="13"/>
  <c r="L123" i="13"/>
  <c r="AC91" i="13"/>
  <c r="AD109" i="13"/>
  <c r="AG162" i="13"/>
  <c r="J147" i="13"/>
  <c r="AG139" i="13"/>
  <c r="AO76" i="13"/>
  <c r="AO153" i="13"/>
  <c r="BC391" i="13"/>
  <c r="BN12" i="13"/>
  <c r="AU52" i="13"/>
  <c r="BQ173" i="13"/>
  <c r="BE104" i="13"/>
  <c r="AE198" i="13"/>
  <c r="AJ96" i="13"/>
  <c r="BN272" i="13"/>
  <c r="V77" i="13"/>
  <c r="AN300" i="13"/>
  <c r="BN91" i="13"/>
  <c r="H87" i="13"/>
  <c r="BB476" i="13"/>
  <c r="BC23" i="13"/>
  <c r="AL61" i="13"/>
  <c r="AC33" i="13"/>
  <c r="AI252" i="13"/>
  <c r="AV413" i="13"/>
  <c r="AY297" i="13"/>
  <c r="M402" i="13"/>
  <c r="BJ70" i="13"/>
  <c r="X292" i="13"/>
  <c r="AD206" i="13"/>
  <c r="AB92" i="13"/>
  <c r="U216" i="13"/>
  <c r="M465" i="13"/>
  <c r="BV67" i="13"/>
  <c r="BO166" i="13"/>
  <c r="W256" i="13"/>
  <c r="G194" i="13"/>
  <c r="AU208" i="13"/>
  <c r="BL128" i="13"/>
  <c r="AX385" i="13"/>
  <c r="F63" i="13"/>
  <c r="Q111" i="13"/>
  <c r="AA301" i="13"/>
  <c r="N168" i="13"/>
  <c r="BS335" i="13"/>
  <c r="AO106" i="13"/>
  <c r="P178" i="13"/>
  <c r="BQ259" i="13"/>
  <c r="AM221" i="13"/>
  <c r="AQ34" i="13"/>
  <c r="A57" i="13"/>
  <c r="AE128" i="13"/>
  <c r="BW96" i="13"/>
  <c r="AD279" i="13"/>
  <c r="BP191" i="13"/>
  <c r="BH436" i="13"/>
  <c r="BS65" i="13"/>
  <c r="BV25" i="13"/>
  <c r="Y89" i="13"/>
  <c r="AW24" i="13"/>
  <c r="AQ493" i="13"/>
  <c r="I73" i="13"/>
  <c r="AW385" i="13"/>
  <c r="R72" i="13"/>
  <c r="E29" i="13"/>
  <c r="AJ158" i="13"/>
  <c r="C128" i="13"/>
  <c r="AP192" i="13"/>
  <c r="M59" i="13"/>
  <c r="BS60" i="13"/>
  <c r="AQ428" i="13"/>
  <c r="BF398" i="13"/>
  <c r="BG383" i="13"/>
  <c r="AH371" i="13"/>
  <c r="AQ132" i="13"/>
  <c r="B36" i="13"/>
  <c r="BK45" i="13"/>
  <c r="D402" i="13"/>
  <c r="BB54" i="13"/>
  <c r="BG250" i="13"/>
  <c r="BM95" i="13"/>
  <c r="S348" i="13"/>
  <c r="BE132" i="13"/>
  <c r="AW358" i="13"/>
  <c r="AT390" i="13"/>
  <c r="O299" i="13"/>
  <c r="BF39" i="13"/>
  <c r="AX160" i="13"/>
  <c r="BG160" i="13"/>
  <c r="G454" i="13"/>
  <c r="AE191" i="13"/>
  <c r="BQ207" i="13"/>
  <c r="BQ41" i="13"/>
  <c r="BS415" i="13"/>
  <c r="R309" i="13"/>
  <c r="M90" i="13"/>
  <c r="AN181" i="13"/>
  <c r="S308" i="13"/>
  <c r="BR399" i="13"/>
  <c r="F120" i="13"/>
  <c r="L346" i="13"/>
  <c r="AA174" i="13"/>
  <c r="BC415" i="13"/>
  <c r="V234" i="13"/>
  <c r="AF101" i="13"/>
  <c r="A430" i="13"/>
  <c r="G72" i="13"/>
  <c r="T462" i="13"/>
  <c r="BI163" i="13"/>
  <c r="V76" i="13"/>
  <c r="AG40" i="13"/>
  <c r="AT222" i="13"/>
  <c r="T153" i="13"/>
  <c r="P260" i="13"/>
  <c r="G282" i="13"/>
  <c r="BI285" i="13"/>
  <c r="BG296" i="13"/>
  <c r="BE78" i="13"/>
  <c r="AR285" i="13"/>
  <c r="X47" i="13"/>
  <c r="W239" i="13"/>
  <c r="AG49" i="13"/>
  <c r="U189" i="13"/>
  <c r="BM70" i="13"/>
  <c r="BM195" i="13"/>
  <c r="B357" i="13"/>
  <c r="AW464" i="13"/>
  <c r="AJ316" i="13"/>
  <c r="Q17" i="13"/>
  <c r="N82" i="13"/>
  <c r="AW243" i="13"/>
  <c r="AN324" i="13"/>
  <c r="I496" i="13"/>
  <c r="AV136" i="13"/>
  <c r="AS418" i="13"/>
  <c r="BQ79" i="13"/>
  <c r="F201" i="13"/>
  <c r="AN261" i="13"/>
  <c r="Z182" i="13"/>
  <c r="BT41" i="13"/>
  <c r="AP64" i="13"/>
  <c r="AH247" i="13"/>
  <c r="BK351" i="13"/>
  <c r="BT171" i="13"/>
  <c r="BB301" i="13"/>
  <c r="AX219" i="13"/>
  <c r="S197" i="13"/>
  <c r="AD268" i="13"/>
  <c r="H424" i="13"/>
  <c r="BK296" i="13"/>
  <c r="AE1" i="13"/>
  <c r="AL157" i="13"/>
  <c r="AZ297" i="13"/>
  <c r="G154" i="13"/>
  <c r="P209" i="13"/>
  <c r="I134" i="13"/>
  <c r="P198" i="13"/>
  <c r="BP493" i="13"/>
  <c r="H296" i="13"/>
  <c r="BU16" i="13"/>
  <c r="BE164" i="13"/>
  <c r="BI126" i="13"/>
  <c r="Z277" i="13"/>
  <c r="BO476" i="13"/>
  <c r="AZ347" i="13"/>
  <c r="Q160" i="13"/>
  <c r="AG175" i="13"/>
  <c r="AQ459" i="13"/>
  <c r="X177" i="13"/>
  <c r="BT166" i="13"/>
  <c r="BS173" i="13"/>
  <c r="AG89" i="13"/>
  <c r="M251" i="13"/>
  <c r="U407" i="13"/>
  <c r="R104" i="13"/>
  <c r="BK29" i="13"/>
  <c r="AC69" i="13"/>
  <c r="AE402" i="13"/>
  <c r="AC310" i="13"/>
  <c r="BI295" i="13"/>
  <c r="BM202" i="13"/>
  <c r="AR465" i="13"/>
  <c r="C72" i="13"/>
  <c r="AC471" i="13"/>
  <c r="AQ277" i="13"/>
  <c r="AT385" i="13"/>
  <c r="Z112" i="13"/>
  <c r="AH459" i="13"/>
  <c r="BF192" i="13"/>
  <c r="AE45" i="13"/>
  <c r="AB415" i="13"/>
  <c r="U27" i="13"/>
  <c r="AF19" i="13"/>
  <c r="AP28" i="13"/>
  <c r="M482" i="13"/>
  <c r="AN247" i="13"/>
  <c r="O221" i="13"/>
  <c r="I110" i="13"/>
  <c r="R229" i="13"/>
  <c r="BB27" i="13"/>
  <c r="BM85" i="13"/>
  <c r="G399" i="13"/>
  <c r="Z206" i="13"/>
  <c r="AE196" i="13"/>
  <c r="U215" i="13"/>
  <c r="AR481" i="13"/>
  <c r="BR376" i="13"/>
  <c r="A361" i="13"/>
  <c r="AN231" i="13"/>
  <c r="AV229" i="13"/>
  <c r="N18" i="13"/>
  <c r="AW27" i="13"/>
  <c r="W33" i="13"/>
  <c r="AW463" i="13"/>
  <c r="O346" i="13"/>
  <c r="AY144" i="13"/>
  <c r="BV142" i="13"/>
  <c r="BO334" i="13"/>
  <c r="H38" i="13"/>
  <c r="AT285" i="13"/>
  <c r="E244" i="13"/>
  <c r="L403" i="13"/>
  <c r="S69" i="13"/>
  <c r="AR381" i="13"/>
  <c r="BC465" i="13"/>
  <c r="BW298" i="13"/>
  <c r="N112" i="13"/>
  <c r="I448" i="13"/>
  <c r="AT86" i="13"/>
  <c r="V393" i="13"/>
  <c r="AI433" i="13"/>
  <c r="BQ64" i="13"/>
  <c r="BP96" i="13"/>
  <c r="AH486" i="13"/>
  <c r="H374" i="13"/>
  <c r="BH48" i="13"/>
  <c r="O49" i="13"/>
  <c r="AS439" i="13"/>
  <c r="AK85" i="13"/>
  <c r="BJ141" i="13"/>
  <c r="AR128" i="13"/>
  <c r="BD199" i="13"/>
  <c r="Y137" i="13"/>
  <c r="Z244" i="13"/>
  <c r="R133" i="13"/>
  <c r="BJ341" i="13"/>
  <c r="BT488" i="13"/>
  <c r="BF150" i="13"/>
  <c r="BM382" i="13"/>
  <c r="AV38" i="13"/>
  <c r="H475" i="13"/>
  <c r="BK416" i="13"/>
  <c r="BL155" i="13"/>
  <c r="AR247" i="13"/>
  <c r="BF453" i="13"/>
  <c r="BJ264" i="13"/>
  <c r="P182" i="13"/>
  <c r="BS472" i="13"/>
  <c r="U57" i="13"/>
  <c r="BR204" i="13"/>
  <c r="BV453" i="13"/>
  <c r="AX54" i="13"/>
  <c r="AW63" i="13"/>
  <c r="F429" i="13"/>
  <c r="BU71" i="13"/>
  <c r="W199" i="13"/>
  <c r="I276" i="13"/>
  <c r="AV50" i="13"/>
  <c r="AJ44" i="13"/>
  <c r="BE334" i="13"/>
  <c r="AM246" i="13"/>
  <c r="B285" i="13"/>
  <c r="BK182" i="13"/>
  <c r="AP120" i="13"/>
  <c r="B269" i="13"/>
  <c r="H15" i="13"/>
  <c r="AT32" i="13"/>
  <c r="BP209" i="13"/>
  <c r="B169" i="13"/>
  <c r="BU83" i="13"/>
  <c r="AC80" i="13"/>
  <c r="AV202" i="13"/>
  <c r="BH54" i="13"/>
  <c r="L387" i="13"/>
  <c r="BH319" i="13"/>
  <c r="BA51" i="13"/>
  <c r="AW252" i="13"/>
  <c r="Y271" i="13"/>
  <c r="AJ231" i="13"/>
  <c r="BV104" i="13"/>
  <c r="R470" i="13"/>
  <c r="AY85" i="13"/>
  <c r="AL222" i="13"/>
  <c r="C235" i="13"/>
  <c r="X229" i="13"/>
  <c r="P69" i="13"/>
  <c r="V44" i="13"/>
  <c r="F268" i="13"/>
  <c r="AQ322" i="13"/>
  <c r="AC48" i="13"/>
  <c r="D401" i="13"/>
  <c r="BB356" i="13"/>
  <c r="BV361" i="13"/>
  <c r="BH17" i="13"/>
  <c r="BJ316" i="13"/>
  <c r="W313" i="13"/>
  <c r="AL15" i="13"/>
  <c r="BV298" i="13"/>
  <c r="X63" i="13"/>
  <c r="AR360" i="13"/>
  <c r="AD435" i="13"/>
  <c r="AF246" i="13"/>
  <c r="AE184" i="13"/>
  <c r="AJ88" i="13"/>
  <c r="F97" i="13"/>
  <c r="N117" i="13"/>
  <c r="BV490" i="13"/>
  <c r="Y40" i="13"/>
  <c r="BB316" i="13"/>
  <c r="AW55" i="13"/>
  <c r="AV484" i="13"/>
  <c r="F387" i="13"/>
  <c r="BI58" i="13"/>
  <c r="AE259" i="13"/>
  <c r="AP486" i="13"/>
  <c r="AN441" i="13"/>
  <c r="A479" i="13"/>
  <c r="BK9" i="13"/>
  <c r="AO310" i="13"/>
  <c r="BM106" i="13"/>
  <c r="BM220" i="13"/>
  <c r="O164" i="13"/>
  <c r="I307" i="13"/>
  <c r="BO313" i="13"/>
  <c r="BO217" i="13"/>
  <c r="AA280" i="13"/>
  <c r="BQ177" i="13"/>
  <c r="AQ434" i="13"/>
  <c r="BC108" i="13"/>
  <c r="BV16" i="13"/>
  <c r="Y266" i="13"/>
  <c r="D189" i="13"/>
  <c r="BA160" i="13"/>
  <c r="AH101" i="13"/>
  <c r="V114" i="13"/>
  <c r="BC253" i="13"/>
  <c r="AJ409" i="13"/>
  <c r="BJ78" i="13"/>
  <c r="AL179" i="13"/>
  <c r="BL71" i="13"/>
  <c r="L130" i="13"/>
  <c r="BS401" i="13"/>
  <c r="BD181" i="13"/>
  <c r="AY345" i="13"/>
  <c r="BP419" i="13"/>
  <c r="X411" i="13"/>
  <c r="AU335" i="13"/>
  <c r="AY167" i="13"/>
  <c r="I216" i="13"/>
  <c r="A35" i="13"/>
  <c r="BD479" i="13"/>
  <c r="AF291" i="13"/>
  <c r="W344" i="13"/>
  <c r="AN90" i="13"/>
  <c r="BF135" i="13"/>
  <c r="AZ373" i="13"/>
  <c r="AG208" i="13"/>
  <c r="BM408" i="13"/>
  <c r="E142" i="13"/>
  <c r="I138" i="13"/>
  <c r="BM168" i="13"/>
  <c r="Y126" i="13"/>
  <c r="AB441" i="13"/>
  <c r="AU442" i="13"/>
  <c r="AH65" i="13"/>
  <c r="AD291" i="13"/>
  <c r="BB183" i="13"/>
  <c r="BN476" i="13"/>
  <c r="BF165" i="13"/>
  <c r="D57" i="13"/>
  <c r="AB213" i="13"/>
  <c r="BW290" i="13"/>
  <c r="AQ77" i="13"/>
  <c r="AE132" i="13"/>
  <c r="BV429" i="13"/>
  <c r="BI169" i="13"/>
  <c r="BE70" i="13"/>
  <c r="X36" i="13"/>
  <c r="AA29" i="13"/>
  <c r="D400" i="13"/>
  <c r="AX171" i="13"/>
  <c r="T126" i="13"/>
  <c r="AB61" i="13"/>
  <c r="AC13" i="13"/>
  <c r="K499" i="13"/>
  <c r="AL473" i="13"/>
  <c r="BQ102" i="13"/>
  <c r="R144" i="13"/>
  <c r="AH413" i="13"/>
  <c r="BI255" i="13"/>
  <c r="AI33" i="13"/>
  <c r="BK266" i="13"/>
  <c r="BQ51" i="13"/>
  <c r="AI305" i="13"/>
  <c r="BR272" i="13"/>
  <c r="BV198" i="13"/>
  <c r="BG224" i="13"/>
  <c r="AB66" i="13"/>
  <c r="V151" i="13"/>
  <c r="G96" i="13"/>
  <c r="C86" i="13"/>
  <c r="K284" i="13"/>
  <c r="BV291" i="13"/>
  <c r="BI40" i="13"/>
  <c r="W234" i="13"/>
  <c r="AY121" i="13"/>
  <c r="AY246" i="13"/>
  <c r="A135" i="13"/>
  <c r="AU356" i="13"/>
  <c r="BB143" i="13"/>
  <c r="K286" i="13"/>
  <c r="AY109" i="13"/>
  <c r="AN150" i="13"/>
  <c r="BK434" i="13"/>
  <c r="BB159" i="13"/>
  <c r="Y85" i="13"/>
  <c r="BB496" i="13"/>
  <c r="AR144" i="13"/>
  <c r="E105" i="13"/>
  <c r="T133" i="13"/>
  <c r="AZ310" i="13"/>
  <c r="BI55" i="13"/>
  <c r="AR145" i="13"/>
  <c r="AI141" i="13"/>
  <c r="BB142" i="13"/>
  <c r="AW296" i="13"/>
  <c r="Q45" i="13"/>
  <c r="BB329" i="13"/>
  <c r="AB145" i="13"/>
  <c r="BI182" i="13"/>
  <c r="Z78" i="13"/>
  <c r="AA152" i="13"/>
  <c r="BV130" i="13"/>
  <c r="P253" i="13"/>
  <c r="AZ429" i="13"/>
  <c r="Y132" i="13"/>
  <c r="B294" i="13"/>
  <c r="BI95" i="13"/>
  <c r="D418" i="13"/>
  <c r="H194" i="13"/>
  <c r="B78" i="13"/>
  <c r="P252" i="13"/>
  <c r="AC263" i="13"/>
  <c r="L29" i="13"/>
  <c r="AF70" i="13"/>
  <c r="AD61" i="13"/>
  <c r="A307" i="13"/>
  <c r="Z181" i="13"/>
  <c r="A184" i="13"/>
  <c r="AT17" i="13"/>
  <c r="BI429" i="13"/>
  <c r="C83" i="13"/>
  <c r="F65" i="13"/>
  <c r="BQ231" i="13"/>
  <c r="O26" i="13"/>
  <c r="AV175" i="13"/>
  <c r="BD147" i="13"/>
  <c r="AM157" i="13"/>
  <c r="H334" i="13"/>
  <c r="AL37" i="13"/>
  <c r="AD210" i="13"/>
  <c r="AL28" i="13"/>
  <c r="BN242" i="13"/>
  <c r="AT71" i="13"/>
  <c r="AU46" i="13"/>
  <c r="U26" i="13"/>
  <c r="M240" i="13"/>
  <c r="BT177" i="13"/>
  <c r="J29" i="13"/>
  <c r="K271" i="13"/>
  <c r="J128" i="13"/>
  <c r="AR224" i="13"/>
  <c r="AU287" i="13"/>
  <c r="Y427" i="13"/>
  <c r="BT256" i="13"/>
  <c r="BL306" i="13"/>
  <c r="V83" i="13"/>
  <c r="X61" i="13"/>
  <c r="AJ283" i="13"/>
  <c r="BT206" i="13"/>
  <c r="AD447" i="13"/>
  <c r="X190" i="13"/>
  <c r="BD26" i="13"/>
  <c r="S296" i="13"/>
  <c r="AP300" i="13"/>
  <c r="BR298" i="13"/>
  <c r="BB246" i="13"/>
  <c r="AL291" i="13"/>
  <c r="N462" i="13"/>
  <c r="AU249" i="13"/>
  <c r="BA204" i="13"/>
  <c r="BE39" i="13"/>
  <c r="AJ77" i="13"/>
  <c r="M61" i="13"/>
  <c r="AM93" i="13"/>
  <c r="AF336" i="13"/>
  <c r="BN328" i="13"/>
  <c r="V73" i="13"/>
  <c r="AS288" i="13"/>
  <c r="AD434" i="13"/>
  <c r="I258" i="13"/>
  <c r="AQ303" i="13"/>
  <c r="BC126" i="13"/>
  <c r="AM34" i="13"/>
  <c r="BA481" i="13"/>
  <c r="BI326" i="13"/>
  <c r="N77" i="13"/>
  <c r="BF390" i="13"/>
  <c r="BP206" i="13"/>
  <c r="AI318" i="13"/>
  <c r="F239" i="13"/>
  <c r="AL280" i="13"/>
  <c r="BK100" i="13"/>
  <c r="BP445" i="13"/>
  <c r="I16" i="13"/>
  <c r="BA6" i="13"/>
  <c r="A96" i="13"/>
  <c r="F353" i="13"/>
  <c r="AG320" i="13"/>
  <c r="BF463" i="13"/>
  <c r="BF147" i="13"/>
  <c r="BW130" i="13"/>
  <c r="AB174" i="13"/>
  <c r="BI76" i="13"/>
  <c r="H76" i="13"/>
  <c r="BF82" i="13"/>
  <c r="Q167" i="13"/>
  <c r="Z251" i="13"/>
  <c r="BU157" i="13"/>
  <c r="O101" i="13"/>
  <c r="Y113" i="13"/>
  <c r="BG186" i="13"/>
  <c r="BQ288" i="13"/>
  <c r="F155" i="13"/>
  <c r="BN177" i="13"/>
  <c r="BJ147" i="13"/>
  <c r="AA120" i="13"/>
  <c r="P121" i="13"/>
  <c r="Q355" i="13"/>
  <c r="I462" i="13"/>
  <c r="O206" i="13"/>
  <c r="AB126" i="13"/>
  <c r="L105" i="13"/>
  <c r="H28" i="13"/>
  <c r="BH7" i="13"/>
  <c r="BE340" i="13"/>
  <c r="AR38" i="13"/>
  <c r="BU478" i="13"/>
  <c r="BC273" i="13"/>
  <c r="W276" i="13"/>
  <c r="BQ234" i="13"/>
  <c r="AT408" i="13"/>
  <c r="BP237" i="13"/>
  <c r="AX59" i="13"/>
  <c r="BR235" i="13"/>
  <c r="AQ107" i="13"/>
  <c r="N182" i="13"/>
  <c r="S48" i="13"/>
  <c r="AA442" i="13"/>
  <c r="V193" i="13"/>
  <c r="AF147" i="13"/>
  <c r="K146" i="13"/>
  <c r="BO288" i="13"/>
  <c r="B76" i="13"/>
  <c r="AV31" i="13"/>
  <c r="AE342" i="13"/>
  <c r="C266" i="13"/>
  <c r="BL285" i="13"/>
  <c r="BR13" i="13"/>
  <c r="Z449" i="13"/>
  <c r="N254" i="13"/>
  <c r="BI405" i="13"/>
  <c r="Y290" i="13"/>
  <c r="G488" i="13"/>
  <c r="J384" i="13"/>
  <c r="BC318" i="13"/>
  <c r="C81" i="13"/>
  <c r="AA453" i="13"/>
  <c r="R21" i="13"/>
  <c r="AM410" i="13"/>
  <c r="BB308" i="13"/>
  <c r="AU291" i="13"/>
  <c r="BH357" i="13"/>
  <c r="S176" i="13"/>
  <c r="AW200" i="13"/>
  <c r="AX19" i="13"/>
  <c r="S31" i="13"/>
  <c r="BE217" i="13"/>
  <c r="R196" i="13"/>
  <c r="BO215" i="13"/>
  <c r="AR185" i="13"/>
  <c r="J82" i="13"/>
  <c r="Y147" i="13"/>
  <c r="BL82" i="13"/>
  <c r="X102" i="13"/>
  <c r="AO495" i="13"/>
  <c r="H147" i="13"/>
  <c r="AA241" i="13"/>
  <c r="BK106" i="13"/>
  <c r="C253" i="13"/>
  <c r="AM58" i="13"/>
  <c r="F214" i="13"/>
  <c r="Z73" i="13"/>
  <c r="AQ96" i="13"/>
  <c r="AR135" i="13"/>
  <c r="AB166" i="13"/>
  <c r="Y292" i="13"/>
  <c r="S462" i="13"/>
  <c r="R98" i="13"/>
  <c r="E452" i="13"/>
  <c r="Y255" i="13"/>
  <c r="AI313" i="13"/>
  <c r="P164" i="13"/>
  <c r="BJ125" i="13"/>
  <c r="A330" i="13"/>
  <c r="AK78" i="13"/>
  <c r="AN303" i="13"/>
  <c r="AY32" i="13"/>
  <c r="AE131" i="13"/>
  <c r="Y65" i="13"/>
  <c r="J445" i="13"/>
  <c r="BU10" i="13"/>
  <c r="AY390" i="13"/>
  <c r="Z390" i="13"/>
  <c r="BB64" i="13"/>
  <c r="J98" i="13"/>
  <c r="BF367" i="13"/>
  <c r="BH19" i="13"/>
  <c r="X54" i="13"/>
  <c r="E83" i="13"/>
  <c r="AI201" i="13"/>
  <c r="E383" i="13"/>
  <c r="BN55" i="13"/>
  <c r="AJ344" i="13"/>
  <c r="AC212" i="13"/>
  <c r="BL489" i="13"/>
  <c r="BH280" i="13"/>
  <c r="BF249" i="13"/>
  <c r="BN374" i="13"/>
  <c r="BK395" i="13"/>
  <c r="AP179" i="13"/>
  <c r="BV335" i="13"/>
  <c r="AW472" i="13"/>
  <c r="AJ300" i="13"/>
  <c r="N147" i="13"/>
  <c r="BJ89" i="13"/>
  <c r="AY385" i="13"/>
  <c r="AF21" i="13"/>
  <c r="BI75" i="13"/>
  <c r="S237" i="13"/>
  <c r="F362" i="13"/>
  <c r="S6" i="13"/>
  <c r="AO178" i="13"/>
  <c r="AR35" i="13"/>
  <c r="BR37" i="13"/>
  <c r="D72" i="13"/>
  <c r="AR341" i="13"/>
  <c r="AC309" i="13"/>
  <c r="J346" i="13"/>
  <c r="BN47" i="13"/>
  <c r="H160" i="13"/>
  <c r="BC43" i="13"/>
  <c r="BE179" i="13"/>
  <c r="V175" i="13"/>
  <c r="AS59" i="13"/>
  <c r="AP333" i="13"/>
  <c r="K423" i="13"/>
  <c r="BP179" i="13"/>
  <c r="AR229" i="13"/>
  <c r="J4" i="13"/>
  <c r="Y232" i="13"/>
  <c r="E23" i="13"/>
  <c r="AI157" i="13"/>
  <c r="AA219" i="13"/>
  <c r="N69" i="13"/>
  <c r="X191" i="13"/>
  <c r="AV121" i="13"/>
  <c r="K131" i="13"/>
  <c r="AJ112" i="13"/>
  <c r="BV103" i="13"/>
  <c r="Q376" i="13"/>
  <c r="BN193" i="13"/>
  <c r="AV199" i="13"/>
  <c r="AR359" i="13"/>
  <c r="AL184" i="13"/>
  <c r="P26" i="13"/>
  <c r="Y496" i="13"/>
  <c r="BF60" i="13"/>
  <c r="BE328" i="13"/>
  <c r="AJ228" i="13"/>
  <c r="I350" i="13"/>
  <c r="BI188" i="13"/>
  <c r="BG466" i="13"/>
  <c r="D178" i="13"/>
  <c r="AL210" i="13"/>
  <c r="BW143" i="13"/>
  <c r="O430" i="13"/>
  <c r="U23" i="13"/>
  <c r="AQ461" i="13"/>
  <c r="V449" i="13"/>
  <c r="BG70" i="13"/>
  <c r="BJ34" i="13"/>
  <c r="BQ462" i="13"/>
  <c r="M241" i="13"/>
  <c r="AQ139" i="13"/>
  <c r="J42" i="13"/>
  <c r="AE292" i="13"/>
  <c r="Q126" i="13"/>
  <c r="AK184" i="13"/>
  <c r="BV107" i="13"/>
  <c r="AH467" i="13"/>
  <c r="AR79" i="13"/>
  <c r="AX331" i="13"/>
  <c r="AN59" i="13"/>
  <c r="BP79" i="13"/>
  <c r="AH365" i="13"/>
  <c r="AB58" i="13"/>
  <c r="BD42" i="13"/>
  <c r="BU112" i="13"/>
  <c r="L106" i="13"/>
  <c r="AY221" i="13"/>
  <c r="AD336" i="13"/>
  <c r="BQ447" i="13"/>
  <c r="AJ154" i="13"/>
  <c r="U29" i="13"/>
  <c r="BC113" i="13"/>
  <c r="G409" i="13"/>
  <c r="BL351" i="13"/>
  <c r="AY151" i="13"/>
  <c r="BU29" i="13"/>
  <c r="AF486" i="13"/>
  <c r="D26" i="13"/>
  <c r="AB291" i="13"/>
  <c r="BQ34" i="13"/>
  <c r="BD67" i="13"/>
  <c r="AA452" i="13"/>
  <c r="AP252" i="13"/>
  <c r="BI63" i="13"/>
  <c r="BC366" i="13"/>
  <c r="AY468" i="13"/>
  <c r="X341" i="13"/>
  <c r="AT421" i="13"/>
  <c r="AJ310" i="13"/>
  <c r="Q148" i="13"/>
  <c r="K100" i="13"/>
  <c r="BM98" i="13"/>
  <c r="BV180" i="13"/>
  <c r="BJ28" i="13"/>
  <c r="BH219" i="13"/>
  <c r="AO136" i="13"/>
  <c r="BE23" i="13"/>
  <c r="K130" i="13"/>
  <c r="BR96" i="13"/>
  <c r="BQ211" i="13"/>
  <c r="U398" i="13"/>
  <c r="W195" i="13"/>
  <c r="BG163" i="13"/>
  <c r="AW208" i="13"/>
  <c r="BG194" i="13"/>
  <c r="AU213" i="13"/>
  <c r="BC208" i="13"/>
  <c r="AJ307" i="13"/>
  <c r="D406" i="13"/>
  <c r="N273" i="13"/>
  <c r="BU436" i="13"/>
  <c r="Q81" i="13"/>
  <c r="AT192" i="13"/>
  <c r="AJ375" i="13"/>
  <c r="AZ380" i="13"/>
  <c r="BM256" i="13"/>
  <c r="D351" i="13"/>
  <c r="AW218" i="13"/>
  <c r="R465" i="13"/>
  <c r="AV18" i="13"/>
  <c r="BE349" i="13"/>
  <c r="AU25" i="13"/>
  <c r="AZ138" i="13"/>
  <c r="U111" i="13"/>
  <c r="BG435" i="13"/>
  <c r="AD110" i="13"/>
  <c r="AY98" i="13"/>
  <c r="AV129" i="13"/>
  <c r="AP75" i="13"/>
  <c r="C160" i="13"/>
  <c r="Y365" i="13"/>
  <c r="BA40" i="13"/>
  <c r="G378" i="13"/>
  <c r="T216" i="13"/>
  <c r="AA176" i="13"/>
  <c r="BD37" i="13"/>
  <c r="H370" i="13"/>
  <c r="AB259" i="13"/>
  <c r="BO30" i="13"/>
  <c r="A37" i="13"/>
  <c r="AK122" i="13"/>
  <c r="BO382" i="13"/>
  <c r="BH166" i="13"/>
  <c r="F232" i="13"/>
  <c r="A46" i="13"/>
  <c r="AG399" i="13"/>
  <c r="AK388" i="13"/>
  <c r="AQ216" i="13"/>
  <c r="A494" i="13"/>
  <c r="Q212" i="13"/>
  <c r="R474" i="13"/>
  <c r="O439" i="13"/>
  <c r="X357" i="13"/>
  <c r="BL192" i="13"/>
  <c r="BC329" i="13"/>
  <c r="Q480" i="13"/>
  <c r="AT278" i="13"/>
  <c r="BV190" i="13"/>
  <c r="BB309" i="13"/>
  <c r="BV247" i="13"/>
  <c r="BF371" i="13"/>
  <c r="J304" i="13"/>
  <c r="AB395" i="13"/>
  <c r="BG147" i="13"/>
  <c r="BR14" i="13"/>
  <c r="BB63" i="13"/>
  <c r="AE89" i="13"/>
  <c r="BF107" i="13"/>
  <c r="AW122" i="13"/>
  <c r="P298" i="13"/>
  <c r="BT132" i="13"/>
  <c r="AE152" i="13"/>
  <c r="Z64" i="13"/>
  <c r="N2" i="13"/>
  <c r="BC44" i="13"/>
  <c r="AX49" i="13"/>
  <c r="AR480" i="13"/>
  <c r="BT160" i="13"/>
  <c r="I56" i="13"/>
  <c r="AT116" i="13"/>
  <c r="F140" i="13"/>
  <c r="D161" i="13"/>
  <c r="Z405" i="13"/>
  <c r="U118" i="13"/>
  <c r="BM315" i="13"/>
  <c r="BD131" i="13"/>
  <c r="AX218" i="13"/>
  <c r="BA255" i="13"/>
  <c r="BK449" i="13"/>
  <c r="W437" i="13"/>
  <c r="AJ4" i="13"/>
  <c r="AX102" i="13"/>
  <c r="BS124" i="13"/>
  <c r="M351" i="13"/>
  <c r="N253" i="13"/>
  <c r="AM115" i="13"/>
  <c r="I179" i="13"/>
  <c r="AW448" i="13"/>
  <c r="AV235" i="13"/>
  <c r="C359" i="13"/>
  <c r="AF186" i="13"/>
  <c r="BG136" i="13"/>
  <c r="AC70" i="13"/>
  <c r="AY188" i="13"/>
  <c r="BI254" i="13"/>
  <c r="BP18" i="13"/>
  <c r="BH145" i="13"/>
  <c r="AI496" i="13"/>
  <c r="AG117" i="13"/>
  <c r="AG217" i="13"/>
  <c r="G161" i="13"/>
  <c r="A39" i="13"/>
  <c r="BV492" i="13"/>
  <c r="AQ70" i="13"/>
  <c r="AS276" i="13"/>
  <c r="K331" i="13"/>
  <c r="BU276" i="13"/>
  <c r="X19" i="13"/>
  <c r="U172" i="13"/>
  <c r="BA176" i="13"/>
  <c r="AD450" i="13"/>
  <c r="BM5" i="13"/>
  <c r="S298" i="13"/>
  <c r="AH88" i="13"/>
  <c r="I380" i="13"/>
  <c r="O51" i="13"/>
  <c r="AS69" i="13"/>
  <c r="V153" i="13"/>
  <c r="U287" i="13"/>
  <c r="S77" i="13"/>
  <c r="BL449" i="13"/>
  <c r="K148" i="13"/>
  <c r="AE64" i="13"/>
  <c r="BB226" i="13"/>
  <c r="Z76" i="13"/>
  <c r="Q261" i="13"/>
  <c r="J163" i="13"/>
  <c r="AK277" i="13"/>
  <c r="BG421" i="13"/>
  <c r="AX297" i="13"/>
  <c r="BG174" i="13"/>
  <c r="P267" i="13"/>
  <c r="AH53" i="13"/>
  <c r="AX494" i="13"/>
  <c r="G176" i="13"/>
  <c r="E469" i="13"/>
  <c r="AJ216" i="13"/>
  <c r="O476" i="13"/>
  <c r="AL39" i="13"/>
  <c r="Q384" i="13"/>
  <c r="X501" i="13"/>
  <c r="Y415" i="13"/>
  <c r="T471" i="13"/>
  <c r="E430" i="13"/>
  <c r="AK94" i="13"/>
  <c r="BB213" i="13"/>
  <c r="BN208" i="13"/>
  <c r="AC456" i="13"/>
  <c r="BU79" i="13"/>
  <c r="K21" i="13"/>
  <c r="V199" i="13"/>
  <c r="AO404" i="13"/>
  <c r="AK152" i="13"/>
  <c r="AE202" i="13"/>
  <c r="BN425" i="13"/>
  <c r="T253" i="13"/>
  <c r="O27" i="13"/>
  <c r="BN360" i="13"/>
  <c r="AX193" i="13"/>
  <c r="BQ59" i="13"/>
  <c r="AP22" i="13"/>
  <c r="BT82" i="13"/>
  <c r="BS289" i="13"/>
  <c r="BE480" i="13"/>
  <c r="AN14" i="13"/>
  <c r="AR93" i="13"/>
  <c r="AG161" i="13"/>
  <c r="BG20" i="13"/>
  <c r="Z127" i="13"/>
  <c r="S313" i="13"/>
  <c r="G274" i="13"/>
  <c r="BR97" i="13"/>
  <c r="D154" i="13"/>
  <c r="U109" i="13"/>
  <c r="T74" i="13"/>
  <c r="AN113" i="13"/>
  <c r="AR374" i="13"/>
  <c r="AE96" i="13"/>
  <c r="AK111" i="13"/>
  <c r="J181" i="13"/>
  <c r="BQ67" i="13"/>
  <c r="V391" i="13"/>
  <c r="AD102" i="13"/>
  <c r="N43" i="13"/>
  <c r="AU68" i="13"/>
  <c r="AG48" i="13"/>
  <c r="D473" i="13"/>
  <c r="T80" i="13"/>
  <c r="L501" i="13"/>
  <c r="BK302" i="13"/>
  <c r="BA479" i="13"/>
  <c r="AG445" i="13"/>
  <c r="AG185" i="13"/>
  <c r="BH23" i="13"/>
  <c r="AT399" i="13"/>
  <c r="R426" i="13"/>
  <c r="N389" i="13"/>
  <c r="R30" i="13"/>
  <c r="BR457" i="13"/>
  <c r="AB52" i="13"/>
  <c r="AE405" i="13"/>
  <c r="BC154" i="13"/>
  <c r="BL76" i="13"/>
  <c r="AK224" i="13"/>
  <c r="P334" i="13"/>
  <c r="H255" i="13"/>
  <c r="AK253" i="13"/>
  <c r="BL35" i="13"/>
  <c r="I210" i="13"/>
  <c r="S46" i="13"/>
  <c r="AE299" i="13"/>
  <c r="BI56" i="13"/>
  <c r="BK163" i="13"/>
  <c r="F158" i="13"/>
  <c r="AT442" i="13"/>
  <c r="B90" i="13"/>
  <c r="AY159" i="13"/>
  <c r="AM172" i="13"/>
  <c r="AN86" i="13"/>
  <c r="AH121" i="13"/>
  <c r="BK67" i="13"/>
  <c r="AC381" i="13"/>
  <c r="BI477" i="13"/>
  <c r="AX345" i="13"/>
  <c r="AJ133" i="13"/>
  <c r="AB153" i="13"/>
  <c r="I118" i="13"/>
  <c r="AS36" i="13"/>
  <c r="AA155" i="13"/>
  <c r="BE36" i="13"/>
  <c r="AT494" i="13"/>
  <c r="AK274" i="13"/>
  <c r="AF118" i="13"/>
  <c r="AA148" i="13"/>
  <c r="BS305" i="13"/>
  <c r="AK226" i="13"/>
  <c r="BF24" i="13"/>
  <c r="AW211" i="13"/>
  <c r="AF241" i="13"/>
  <c r="Q9" i="13"/>
  <c r="Y208" i="13"/>
  <c r="U44" i="13"/>
  <c r="E268" i="13"/>
  <c r="K210" i="13"/>
  <c r="O335" i="13"/>
  <c r="AL367" i="13"/>
  <c r="AB241" i="13"/>
  <c r="AU22" i="13"/>
  <c r="BL302" i="13"/>
  <c r="BT294" i="13"/>
  <c r="BD182" i="13"/>
  <c r="BN441" i="13"/>
  <c r="AM159" i="13"/>
  <c r="AG215" i="13"/>
  <c r="H133" i="13"/>
  <c r="BN302" i="13"/>
  <c r="Y103" i="13"/>
  <c r="C303" i="13"/>
  <c r="D300" i="13"/>
  <c r="BS233" i="13"/>
  <c r="AN161" i="13"/>
  <c r="M110" i="13"/>
  <c r="BL15" i="13"/>
  <c r="AI53" i="13"/>
  <c r="J18" i="13"/>
  <c r="U432" i="13"/>
  <c r="BT130" i="13"/>
  <c r="AO44" i="13"/>
  <c r="B73" i="13"/>
  <c r="AT50" i="13"/>
  <c r="BO105" i="13"/>
  <c r="BN42" i="13"/>
  <c r="Z79" i="13"/>
  <c r="BC30" i="13"/>
  <c r="BI92" i="13"/>
  <c r="AY309" i="13"/>
  <c r="AS132" i="13"/>
  <c r="D226" i="13"/>
  <c r="AW167" i="13"/>
  <c r="BE12" i="13"/>
  <c r="A108" i="13"/>
  <c r="AJ81" i="13"/>
  <c r="S78" i="13"/>
  <c r="AP14" i="13"/>
  <c r="Y22" i="13"/>
  <c r="I236" i="13"/>
  <c r="BD61" i="13"/>
  <c r="BI50" i="13"/>
  <c r="AV269" i="13"/>
  <c r="AI111" i="13"/>
  <c r="AU144" i="13"/>
  <c r="AB85" i="13"/>
  <c r="L148" i="13"/>
  <c r="Y50" i="13"/>
  <c r="AK43" i="13"/>
  <c r="E45" i="13"/>
  <c r="AQ190" i="13"/>
  <c r="AP474" i="13"/>
  <c r="BW40" i="13"/>
  <c r="AX38" i="13"/>
  <c r="AS125" i="13"/>
  <c r="BG21" i="13"/>
  <c r="AH228" i="13"/>
  <c r="AN74" i="13"/>
  <c r="AG18" i="13"/>
  <c r="AD302" i="13"/>
  <c r="AW3" i="13"/>
  <c r="AW106" i="13"/>
  <c r="BC228" i="13"/>
  <c r="O172" i="13"/>
  <c r="BJ138" i="13"/>
  <c r="BD48" i="13"/>
  <c r="AD107" i="13"/>
  <c r="I86" i="13"/>
  <c r="H467" i="13"/>
  <c r="Q398" i="13"/>
  <c r="D163" i="13"/>
  <c r="BA291" i="13"/>
  <c r="C147" i="13"/>
  <c r="AH446" i="13"/>
  <c r="BP201" i="13"/>
  <c r="AZ37" i="13"/>
  <c r="G34" i="13"/>
  <c r="A209" i="13"/>
  <c r="BM275" i="13"/>
  <c r="AS199" i="13"/>
  <c r="O347" i="13"/>
  <c r="BQ310" i="13"/>
  <c r="W78" i="13"/>
  <c r="R152" i="13"/>
  <c r="BU99" i="13"/>
  <c r="BE133" i="13"/>
  <c r="D56" i="13"/>
  <c r="BD364" i="13"/>
  <c r="AO185" i="13"/>
  <c r="X256" i="13"/>
  <c r="AN480" i="13"/>
  <c r="BN216" i="13"/>
  <c r="AW121" i="13"/>
  <c r="R306" i="13"/>
  <c r="AD397" i="13"/>
  <c r="BC297" i="13"/>
  <c r="BH313" i="13"/>
  <c r="AT67" i="13"/>
  <c r="A166" i="13"/>
  <c r="AC228" i="13"/>
  <c r="BK218" i="13"/>
  <c r="BN124" i="13"/>
  <c r="AQ483" i="13"/>
  <c r="D324" i="13"/>
  <c r="AQ371" i="13"/>
  <c r="A113" i="13"/>
  <c r="AS105" i="13"/>
  <c r="BW210" i="13"/>
  <c r="BI104" i="13"/>
  <c r="BU204" i="13"/>
  <c r="BI26" i="13"/>
  <c r="W296" i="13"/>
  <c r="T108" i="13"/>
  <c r="AM460" i="13"/>
  <c r="C55" i="13"/>
  <c r="C468" i="13"/>
  <c r="BE2" i="13"/>
  <c r="AK249" i="13"/>
  <c r="AE230" i="13"/>
  <c r="AJ66" i="13"/>
  <c r="BE68" i="13"/>
  <c r="AS410" i="13"/>
  <c r="Y473" i="13"/>
  <c r="AX302" i="13"/>
  <c r="AS313" i="13"/>
  <c r="X135" i="13"/>
  <c r="AT61" i="13"/>
  <c r="U420" i="13"/>
  <c r="D89" i="13"/>
  <c r="BA174" i="13"/>
  <c r="AF220" i="13"/>
  <c r="E492" i="13"/>
  <c r="S54" i="13"/>
  <c r="AD396" i="13"/>
  <c r="L72" i="13"/>
  <c r="BQ25" i="13"/>
  <c r="D380" i="13"/>
  <c r="AM299" i="13"/>
  <c r="AN121" i="13"/>
  <c r="BL268" i="13"/>
  <c r="BP150" i="13"/>
  <c r="BD312" i="13"/>
  <c r="AP66" i="13"/>
  <c r="Q450" i="13"/>
  <c r="D60" i="13"/>
  <c r="BV34" i="13"/>
  <c r="AA160" i="13"/>
  <c r="AZ435" i="13"/>
  <c r="F10" i="13"/>
  <c r="C447" i="13"/>
  <c r="L499" i="13"/>
  <c r="AX78" i="13"/>
  <c r="AV63" i="13"/>
  <c r="B81" i="13"/>
  <c r="BJ9" i="13"/>
  <c r="P12" i="13"/>
  <c r="AX441" i="13"/>
  <c r="H3" i="13"/>
  <c r="BC109" i="13"/>
  <c r="Z187" i="13"/>
  <c r="BJ100" i="13"/>
  <c r="H343" i="13"/>
  <c r="AW146" i="13"/>
  <c r="AE172" i="13"/>
  <c r="BO234" i="13"/>
  <c r="BG249" i="13"/>
  <c r="BS391" i="13"/>
  <c r="AG497" i="13"/>
  <c r="K379" i="13"/>
  <c r="O102" i="13"/>
  <c r="AX449" i="13"/>
  <c r="AM206" i="13"/>
  <c r="AR429" i="13"/>
  <c r="U186" i="13"/>
  <c r="BH463" i="13"/>
  <c r="AM442" i="13"/>
  <c r="BM145" i="13"/>
  <c r="BC184" i="13"/>
  <c r="AO236" i="13"/>
  <c r="BK234" i="13"/>
  <c r="X270" i="13"/>
  <c r="AQ236" i="13"/>
  <c r="T269" i="13"/>
  <c r="BW117" i="13"/>
  <c r="J206" i="13"/>
  <c r="Y108" i="13"/>
  <c r="BK193" i="13"/>
  <c r="AW397" i="13"/>
  <c r="P92" i="13"/>
  <c r="AV10" i="13"/>
  <c r="O286" i="13"/>
  <c r="BQ104" i="13"/>
  <c r="AW222" i="13"/>
  <c r="Y160" i="13"/>
  <c r="AU458" i="13"/>
  <c r="O17" i="13"/>
  <c r="F117" i="13"/>
  <c r="P488" i="13"/>
  <c r="AC118" i="13"/>
  <c r="R259" i="13"/>
  <c r="AC332" i="13"/>
  <c r="AZ102" i="13"/>
  <c r="AX192" i="13"/>
  <c r="M190" i="13"/>
  <c r="BQ123" i="13"/>
  <c r="S416" i="13"/>
  <c r="F433" i="13"/>
  <c r="BL343" i="13"/>
  <c r="AI443" i="13"/>
  <c r="Y324" i="13"/>
  <c r="AM85" i="13"/>
  <c r="AB452" i="13"/>
  <c r="AD26" i="13"/>
  <c r="AA447" i="13"/>
  <c r="AD134" i="13"/>
  <c r="S378" i="13"/>
  <c r="U163" i="13"/>
  <c r="U501" i="13"/>
  <c r="BC274" i="13"/>
  <c r="M234" i="13"/>
  <c r="Q493" i="13"/>
  <c r="AA249" i="13"/>
  <c r="U110" i="13"/>
  <c r="BR238" i="13"/>
  <c r="BV414" i="13"/>
  <c r="AJ39" i="13"/>
  <c r="BF254" i="13"/>
  <c r="AT127" i="13"/>
  <c r="F329" i="13"/>
  <c r="A435" i="13"/>
  <c r="BH273" i="13"/>
  <c r="BP224" i="13"/>
  <c r="Y273" i="13"/>
  <c r="AM171" i="13"/>
  <c r="AX425" i="13"/>
  <c r="L206" i="13"/>
  <c r="AL319" i="13"/>
  <c r="AO329" i="13"/>
  <c r="BN65" i="13"/>
  <c r="BS467" i="13"/>
  <c r="BH396" i="13"/>
  <c r="AK48" i="13"/>
  <c r="AM458" i="13"/>
  <c r="BQ121" i="13"/>
  <c r="AP10" i="13"/>
  <c r="BT266" i="13"/>
  <c r="AJ106" i="13"/>
  <c r="AJ163" i="13"/>
  <c r="AR32" i="13"/>
  <c r="BO373" i="13"/>
  <c r="BS363" i="13"/>
  <c r="AA36" i="13"/>
  <c r="AK482" i="13"/>
  <c r="BD237" i="13"/>
  <c r="Z35" i="13"/>
  <c r="AP308" i="13"/>
  <c r="AF84" i="13"/>
  <c r="S91" i="13"/>
  <c r="BW361" i="13"/>
  <c r="AW203" i="13"/>
  <c r="Z370" i="13"/>
  <c r="BR247" i="13"/>
  <c r="AR116" i="13"/>
  <c r="AO207" i="13"/>
  <c r="V304" i="13"/>
  <c r="Q341" i="13"/>
  <c r="G294" i="13"/>
  <c r="L449" i="13"/>
  <c r="AH60" i="13"/>
  <c r="AA35" i="13"/>
  <c r="AI251" i="13"/>
  <c r="Q211" i="13"/>
  <c r="AK45" i="13"/>
  <c r="AR196" i="13"/>
  <c r="A265" i="13"/>
  <c r="AK132" i="13"/>
  <c r="AX10" i="13"/>
  <c r="C132" i="13"/>
  <c r="BE11" i="13"/>
  <c r="L239" i="13"/>
  <c r="AZ401" i="13"/>
  <c r="AK399" i="13"/>
  <c r="AU273" i="13"/>
  <c r="BM165" i="13"/>
  <c r="BL373" i="13"/>
  <c r="AR254" i="13"/>
  <c r="K466" i="13"/>
  <c r="L243" i="13"/>
  <c r="M397" i="13"/>
  <c r="AN385" i="13"/>
  <c r="AK306" i="13"/>
  <c r="Q86" i="13"/>
  <c r="AG462" i="13"/>
  <c r="BM335" i="13"/>
  <c r="E49" i="13"/>
  <c r="BW152" i="13"/>
  <c r="AW216" i="13"/>
  <c r="R338" i="13"/>
  <c r="AG326" i="13"/>
  <c r="BV88" i="13"/>
  <c r="BA133" i="13"/>
  <c r="BU133" i="13"/>
  <c r="AC220" i="13"/>
  <c r="AY251" i="13"/>
  <c r="U419" i="13"/>
  <c r="BC26" i="13"/>
  <c r="H119" i="13"/>
  <c r="F466" i="13"/>
  <c r="K258" i="13"/>
  <c r="S150" i="13"/>
  <c r="BU37" i="13"/>
  <c r="BS427" i="13"/>
  <c r="A376" i="13"/>
  <c r="B42" i="13"/>
  <c r="BK219" i="13"/>
  <c r="AB171" i="13"/>
  <c r="AC255" i="13"/>
  <c r="AH86" i="13"/>
  <c r="BW273" i="13"/>
  <c r="BE323" i="13"/>
  <c r="BV374" i="13"/>
  <c r="BR461" i="13"/>
  <c r="W26" i="13"/>
  <c r="AC210" i="13"/>
  <c r="AA162" i="13"/>
  <c r="AY310" i="13"/>
  <c r="AG9" i="13"/>
  <c r="AT151" i="13"/>
  <c r="AV96" i="13"/>
  <c r="BW327" i="13"/>
  <c r="AS41" i="13"/>
  <c r="C350" i="13"/>
  <c r="AS391" i="13"/>
  <c r="E432" i="13"/>
  <c r="AX349" i="13"/>
  <c r="BL349" i="13"/>
  <c r="BI367" i="13"/>
  <c r="D451" i="13"/>
  <c r="AP21" i="13"/>
  <c r="V497" i="13"/>
  <c r="BT252" i="13"/>
  <c r="BD260" i="13"/>
  <c r="BU136" i="13"/>
  <c r="BD103" i="13"/>
  <c r="AI135" i="13"/>
  <c r="BO138" i="13"/>
  <c r="AD153" i="13"/>
  <c r="H459" i="13"/>
  <c r="U71" i="13"/>
  <c r="BN462" i="13"/>
  <c r="AP492" i="13"/>
  <c r="X221" i="13"/>
  <c r="BP387" i="13"/>
  <c r="K204" i="13"/>
  <c r="Q46" i="13"/>
  <c r="BE264" i="13"/>
  <c r="AQ48" i="13"/>
  <c r="AO363" i="13"/>
  <c r="AL18" i="13"/>
  <c r="U492" i="13"/>
  <c r="N498" i="13"/>
  <c r="BV179" i="13"/>
  <c r="AF35" i="13"/>
  <c r="AA497" i="13"/>
  <c r="BH314" i="13"/>
  <c r="BJ483" i="13"/>
  <c r="BF368" i="13"/>
  <c r="AQ127" i="13"/>
  <c r="AC382" i="13"/>
  <c r="K428" i="13"/>
  <c r="AT55" i="13"/>
  <c r="BH79" i="13"/>
  <c r="AB244" i="13"/>
  <c r="BT209" i="13"/>
  <c r="AT465" i="13"/>
  <c r="W104" i="13"/>
  <c r="AU13" i="13"/>
  <c r="AF441" i="13"/>
  <c r="BK118" i="13"/>
  <c r="R169" i="13"/>
  <c r="BG365" i="13"/>
  <c r="BA111" i="13"/>
  <c r="D39" i="13"/>
  <c r="BS319" i="13"/>
  <c r="K81" i="13"/>
  <c r="AY444" i="13"/>
  <c r="BM185" i="13"/>
  <c r="AD369" i="13"/>
  <c r="AZ455" i="13"/>
  <c r="BI301" i="13"/>
  <c r="Z360" i="13"/>
  <c r="O350" i="13"/>
  <c r="A154" i="13"/>
  <c r="N282" i="13"/>
  <c r="BV108" i="13"/>
  <c r="I168" i="13"/>
  <c r="BD478" i="13"/>
  <c r="H453" i="13"/>
  <c r="BU8" i="13"/>
  <c r="E287" i="13"/>
  <c r="T403" i="13"/>
  <c r="X113" i="13"/>
  <c r="BF210" i="13"/>
  <c r="BN41" i="13"/>
  <c r="AV371" i="13"/>
  <c r="BH346" i="13"/>
  <c r="AZ50" i="13"/>
  <c r="L459" i="13"/>
  <c r="W249" i="13"/>
  <c r="AF57" i="13"/>
  <c r="D134" i="13"/>
  <c r="B236" i="13"/>
  <c r="BF171" i="13"/>
  <c r="BR255" i="13"/>
  <c r="BG396" i="13"/>
  <c r="K456" i="13"/>
  <c r="H265" i="13"/>
  <c r="AH244" i="13"/>
  <c r="BL242" i="13"/>
  <c r="AP343" i="13"/>
  <c r="AU280" i="13"/>
  <c r="C365" i="13"/>
  <c r="AB454" i="13"/>
  <c r="O22" i="13"/>
  <c r="Z164" i="13"/>
  <c r="AA245" i="13"/>
  <c r="BR155" i="13"/>
  <c r="AJ383" i="13"/>
  <c r="BC217" i="13"/>
  <c r="AP54" i="13"/>
  <c r="E64" i="13"/>
  <c r="BT55" i="13"/>
  <c r="BF206" i="13"/>
  <c r="AJ127" i="13"/>
  <c r="E425" i="13"/>
  <c r="BU216" i="13"/>
  <c r="AN101" i="13"/>
  <c r="BL66" i="13"/>
  <c r="AO56" i="13"/>
  <c r="H50" i="13"/>
  <c r="W67" i="13"/>
  <c r="AF65" i="13"/>
  <c r="L485" i="13"/>
  <c r="BV164" i="13"/>
  <c r="BH456" i="13"/>
  <c r="P28" i="13"/>
  <c r="AZ119" i="13"/>
  <c r="AW88" i="13"/>
  <c r="T261" i="13"/>
  <c r="M99" i="13"/>
  <c r="Z43" i="13"/>
  <c r="BP46" i="13"/>
  <c r="BE397" i="13"/>
  <c r="J41" i="13"/>
  <c r="BM474" i="13"/>
  <c r="J8" i="13"/>
  <c r="L93" i="13"/>
  <c r="AS261" i="13"/>
  <c r="BP356" i="13"/>
  <c r="BG289" i="13"/>
  <c r="AN492" i="13"/>
  <c r="C382" i="13"/>
  <c r="BB44" i="13"/>
  <c r="AZ131" i="13"/>
  <c r="AG269" i="13"/>
  <c r="H437" i="13"/>
  <c r="G77" i="13"/>
  <c r="BH83" i="13"/>
  <c r="BP159" i="13"/>
  <c r="AA194" i="13"/>
  <c r="AW231" i="13"/>
  <c r="Z379" i="13"/>
  <c r="AG318" i="13"/>
  <c r="J419" i="13"/>
  <c r="Y115" i="13"/>
  <c r="AV163" i="13"/>
  <c r="C315" i="13"/>
  <c r="BI390" i="13"/>
  <c r="BO309" i="13"/>
  <c r="AK260" i="13"/>
  <c r="V65" i="13"/>
  <c r="BU21" i="13"/>
  <c r="BK199" i="13"/>
  <c r="AO311" i="13"/>
  <c r="T148" i="13"/>
  <c r="J319" i="13"/>
  <c r="BB135" i="13"/>
  <c r="AY416" i="13"/>
  <c r="K34" i="13"/>
  <c r="BO325" i="13"/>
  <c r="BQ461" i="13"/>
  <c r="BC68" i="13"/>
  <c r="S350" i="13"/>
  <c r="AP125" i="13"/>
  <c r="BU132" i="13"/>
  <c r="N294" i="13"/>
  <c r="AF383" i="13"/>
  <c r="AB278" i="13"/>
  <c r="J446" i="13"/>
  <c r="BK143" i="13"/>
  <c r="A232" i="13"/>
  <c r="I37" i="13"/>
  <c r="S409" i="13"/>
  <c r="C172" i="13"/>
  <c r="AG321" i="13"/>
  <c r="BF116" i="13"/>
  <c r="BI260" i="13"/>
  <c r="BK409" i="13"/>
  <c r="AN450" i="13"/>
  <c r="BN426" i="13"/>
  <c r="B381" i="13"/>
  <c r="BI422" i="13"/>
  <c r="N135" i="13"/>
  <c r="T50" i="13"/>
  <c r="V366" i="13"/>
  <c r="W267" i="13"/>
  <c r="A377" i="13"/>
  <c r="G258" i="13"/>
  <c r="BW326" i="13"/>
  <c r="BB208" i="13"/>
  <c r="M199" i="13"/>
  <c r="A106" i="13"/>
  <c r="AN35" i="13"/>
  <c r="I22" i="13"/>
  <c r="E258" i="13"/>
  <c r="AX165" i="13"/>
  <c r="T444" i="13"/>
  <c r="G214" i="13"/>
  <c r="A164" i="13"/>
  <c r="BK467" i="13"/>
  <c r="BS496" i="13"/>
  <c r="W361" i="13"/>
  <c r="AL170" i="13"/>
  <c r="BQ44" i="13"/>
  <c r="Q241" i="13"/>
  <c r="AI219" i="13"/>
  <c r="N480" i="13"/>
  <c r="BB394" i="13"/>
  <c r="K243" i="13"/>
  <c r="R50" i="13"/>
  <c r="T187" i="13"/>
  <c r="AQ55" i="13"/>
  <c r="BI152" i="13"/>
  <c r="Y260" i="13"/>
  <c r="I181" i="13"/>
  <c r="BG491" i="13"/>
  <c r="V232" i="13"/>
  <c r="E81" i="13"/>
  <c r="L307" i="13"/>
  <c r="AY281" i="13"/>
  <c r="AT358" i="13"/>
  <c r="AE228" i="13"/>
  <c r="BT376" i="13"/>
  <c r="BG411" i="13"/>
  <c r="AM280" i="13"/>
  <c r="A9" i="13"/>
  <c r="AF430" i="13"/>
  <c r="Y12" i="13"/>
  <c r="AY191" i="13"/>
  <c r="AS193" i="13"/>
  <c r="BK161" i="13"/>
  <c r="BI404" i="13"/>
  <c r="T260" i="13"/>
  <c r="BQ377" i="13"/>
  <c r="V466" i="13"/>
  <c r="AD357" i="13"/>
  <c r="BI9" i="13"/>
  <c r="O402" i="13"/>
  <c r="BJ336" i="13"/>
  <c r="AR443" i="13"/>
  <c r="AJ437" i="13"/>
  <c r="BH321" i="13"/>
  <c r="BW406" i="13"/>
  <c r="AO396" i="13"/>
  <c r="BH277" i="13"/>
  <c r="I490" i="13"/>
  <c r="AT346" i="13"/>
  <c r="X173" i="13"/>
  <c r="M189" i="13"/>
  <c r="AG84" i="13"/>
  <c r="BC313" i="13"/>
  <c r="F315" i="13"/>
  <c r="X297" i="13"/>
  <c r="BQ316" i="13"/>
  <c r="M134" i="13"/>
  <c r="BQ175" i="13"/>
  <c r="N435" i="13"/>
  <c r="BT99" i="13"/>
  <c r="BL245" i="13"/>
  <c r="BS127" i="13"/>
  <c r="Z294" i="13"/>
  <c r="BT70" i="13"/>
  <c r="AW491" i="13"/>
  <c r="AO254" i="13"/>
  <c r="I214" i="13"/>
  <c r="BT354" i="13"/>
  <c r="AC293" i="13"/>
  <c r="N228" i="13"/>
  <c r="J428" i="13"/>
  <c r="AN236" i="13"/>
  <c r="L145" i="13"/>
  <c r="B458" i="13"/>
  <c r="W439" i="13"/>
  <c r="BS279" i="13"/>
  <c r="AB501" i="13"/>
  <c r="Z221" i="13"/>
  <c r="AA459" i="13"/>
  <c r="R377" i="13"/>
  <c r="AN11" i="13"/>
  <c r="AD477" i="13"/>
  <c r="Y188" i="13"/>
  <c r="BD28" i="13"/>
  <c r="AJ181" i="13"/>
  <c r="X260" i="13"/>
  <c r="AJ15" i="13"/>
  <c r="BL153" i="13"/>
  <c r="V160" i="13"/>
  <c r="T66" i="13"/>
  <c r="H88" i="13"/>
  <c r="T288" i="13"/>
  <c r="AZ53" i="13"/>
  <c r="E442" i="13"/>
  <c r="BW61" i="13"/>
  <c r="BV290" i="13"/>
  <c r="BN261" i="13"/>
  <c r="Y165" i="13"/>
  <c r="BR294" i="13"/>
  <c r="BG86" i="13"/>
  <c r="R339" i="13"/>
  <c r="BE169" i="13"/>
  <c r="BW99" i="13"/>
  <c r="BN467" i="13"/>
  <c r="W383" i="13"/>
  <c r="AM388" i="13"/>
  <c r="X425" i="13"/>
  <c r="AN232" i="13"/>
  <c r="AF76" i="13"/>
  <c r="AK146" i="13"/>
  <c r="BT1" i="13"/>
  <c r="AK415" i="13"/>
  <c r="BR236" i="13"/>
  <c r="X413" i="13"/>
  <c r="AT150" i="13"/>
  <c r="Z326" i="13"/>
  <c r="J296" i="13"/>
  <c r="BT197" i="13"/>
  <c r="AF354" i="13"/>
  <c r="E44" i="13"/>
  <c r="AR450" i="13"/>
  <c r="M354" i="13"/>
  <c r="BK112" i="13"/>
  <c r="BS34" i="13"/>
  <c r="BV211" i="13"/>
  <c r="P22" i="13"/>
  <c r="BH126" i="13"/>
  <c r="BS255" i="13"/>
  <c r="AC322" i="13"/>
  <c r="AS144" i="13"/>
  <c r="BQ353" i="13"/>
  <c r="Q145" i="13"/>
  <c r="AM473" i="13"/>
  <c r="X349" i="13"/>
  <c r="D127" i="13"/>
  <c r="Q82" i="13"/>
  <c r="BM71" i="13"/>
  <c r="AP46" i="13"/>
  <c r="AZ106" i="13"/>
  <c r="AY293" i="13"/>
  <c r="W96" i="13"/>
  <c r="AW400" i="13"/>
  <c r="K64" i="13"/>
  <c r="AU329" i="13"/>
  <c r="AH382" i="13"/>
  <c r="L82" i="13"/>
  <c r="L144" i="13"/>
  <c r="AJ116" i="13"/>
  <c r="O143" i="13"/>
  <c r="BW115" i="13"/>
  <c r="D17" i="13"/>
  <c r="A12" i="13"/>
  <c r="BA15" i="13"/>
  <c r="AY494" i="13"/>
  <c r="L379" i="13"/>
  <c r="D131" i="13"/>
  <c r="X122" i="13"/>
  <c r="BF443" i="13"/>
  <c r="W13" i="13"/>
  <c r="U314" i="13"/>
  <c r="BQ140" i="13"/>
  <c r="AJ404" i="13"/>
  <c r="BB248" i="13"/>
  <c r="BI24" i="13"/>
  <c r="D292" i="13"/>
  <c r="W109" i="13"/>
  <c r="X355" i="13"/>
  <c r="B364" i="13"/>
  <c r="Q368" i="13"/>
  <c r="AO360" i="13"/>
  <c r="E137" i="13"/>
  <c r="AV430" i="13"/>
  <c r="S284" i="13"/>
  <c r="W454" i="13"/>
  <c r="BR417" i="13"/>
  <c r="BQ349" i="13"/>
  <c r="AX20" i="13"/>
  <c r="S18" i="13"/>
  <c r="BA36" i="13"/>
  <c r="AB67" i="13"/>
  <c r="Q252" i="13"/>
  <c r="AZ59" i="13"/>
  <c r="BW49" i="13"/>
  <c r="G241" i="13"/>
  <c r="W189" i="13"/>
  <c r="AV239" i="13"/>
  <c r="AH164" i="13"/>
  <c r="BC190" i="13"/>
  <c r="AN123" i="13"/>
  <c r="Y94" i="13"/>
  <c r="AW266" i="13"/>
  <c r="C70" i="13"/>
  <c r="AQ435" i="13"/>
  <c r="AL107" i="13"/>
  <c r="BJ304" i="13"/>
  <c r="BR336" i="13"/>
  <c r="BI417" i="13"/>
  <c r="D282" i="13"/>
  <c r="BB244" i="13"/>
  <c r="G314" i="13"/>
  <c r="E348" i="13"/>
  <c r="BT435" i="13"/>
  <c r="W136" i="13"/>
  <c r="K94" i="13"/>
  <c r="BL204" i="13"/>
  <c r="AH100" i="13"/>
  <c r="AP154" i="13"/>
  <c r="BO36" i="13"/>
  <c r="Q192" i="13"/>
  <c r="BB55" i="13"/>
  <c r="AW155" i="13"/>
  <c r="X464" i="13"/>
  <c r="AP181" i="13"/>
  <c r="E150" i="13"/>
  <c r="BA50" i="13"/>
  <c r="Q230" i="13"/>
  <c r="BR101" i="13"/>
  <c r="AD304" i="13"/>
  <c r="BD94" i="13"/>
  <c r="AL180" i="13"/>
  <c r="H117" i="13"/>
  <c r="AW362" i="13"/>
  <c r="AT186" i="13"/>
  <c r="BI125" i="13"/>
  <c r="AI296" i="13"/>
  <c r="BL65" i="13"/>
  <c r="BI457" i="13"/>
  <c r="AP472" i="13"/>
  <c r="A92" i="13"/>
  <c r="BN362" i="13"/>
  <c r="BH289" i="13"/>
  <c r="BJ209" i="13"/>
  <c r="BF21" i="13"/>
  <c r="AR167" i="13"/>
  <c r="AM358" i="13"/>
  <c r="AE425" i="13"/>
  <c r="I52" i="13"/>
  <c r="W305" i="13"/>
  <c r="T68" i="13"/>
  <c r="BB354" i="13"/>
  <c r="L373" i="13"/>
  <c r="H134" i="13"/>
  <c r="N501" i="13"/>
  <c r="W230" i="13"/>
  <c r="W160" i="13"/>
  <c r="BV375" i="13"/>
  <c r="AN217" i="13"/>
  <c r="X446" i="13"/>
  <c r="Z106" i="13"/>
  <c r="AF88" i="13"/>
  <c r="AK105" i="13"/>
  <c r="E39" i="13"/>
  <c r="AP44" i="13"/>
  <c r="D191" i="13"/>
  <c r="O140" i="13"/>
  <c r="BA54" i="13"/>
  <c r="BC324" i="13"/>
  <c r="V100" i="13"/>
  <c r="BL413" i="13"/>
  <c r="BU87" i="13"/>
  <c r="N471" i="13"/>
  <c r="AH102" i="13"/>
  <c r="AY94" i="13"/>
  <c r="BR252" i="13"/>
  <c r="BK471" i="13"/>
  <c r="AG59" i="13"/>
  <c r="AL400" i="13"/>
  <c r="P271" i="13"/>
  <c r="AC152" i="13"/>
  <c r="BD409" i="13"/>
  <c r="BI360" i="13"/>
  <c r="AI39" i="13"/>
  <c r="AQ301" i="13"/>
  <c r="BL124" i="13"/>
  <c r="BU255" i="13"/>
  <c r="BN76" i="13"/>
  <c r="P70" i="13"/>
  <c r="BV192" i="13"/>
  <c r="BO140" i="13"/>
  <c r="AC128" i="13"/>
  <c r="BF283" i="13"/>
  <c r="S84" i="13"/>
  <c r="AJ38" i="13"/>
  <c r="Q264" i="13"/>
  <c r="BK47" i="13"/>
  <c r="Y88" i="13"/>
  <c r="AZ116" i="13"/>
  <c r="AE60" i="13"/>
  <c r="AT433" i="13"/>
  <c r="L336" i="13"/>
  <c r="BI49" i="13"/>
  <c r="AF64" i="13"/>
  <c r="BG403" i="13"/>
  <c r="D398" i="13"/>
  <c r="AP108" i="13"/>
  <c r="BS338" i="13"/>
  <c r="AN293" i="13"/>
  <c r="Y383" i="13"/>
  <c r="BE90" i="13"/>
  <c r="AM22" i="13"/>
  <c r="AQ195" i="13"/>
  <c r="U449" i="13"/>
  <c r="H153" i="13"/>
  <c r="P451" i="13"/>
  <c r="BC457" i="13"/>
  <c r="V84" i="13"/>
  <c r="Z219" i="13"/>
  <c r="AK431" i="13"/>
  <c r="BK108" i="13"/>
  <c r="P386" i="13"/>
  <c r="BI105" i="13"/>
  <c r="BK365" i="13"/>
  <c r="BJ348" i="13"/>
  <c r="W245" i="13"/>
  <c r="AF81" i="13"/>
  <c r="AS52" i="13"/>
  <c r="N41" i="13"/>
  <c r="BF174" i="13"/>
  <c r="AR231" i="13"/>
  <c r="BA230" i="13"/>
  <c r="F348" i="13"/>
  <c r="I368" i="13"/>
  <c r="M427" i="13"/>
  <c r="AC20" i="13"/>
  <c r="P132" i="13"/>
  <c r="AJ268" i="13"/>
  <c r="BU413" i="13"/>
  <c r="BQ89" i="13"/>
  <c r="AU377" i="13"/>
  <c r="AC422" i="13"/>
  <c r="BS185" i="13"/>
  <c r="AN164" i="13"/>
  <c r="AP294" i="13"/>
  <c r="W86" i="13"/>
  <c r="B93" i="13"/>
  <c r="AB144" i="13"/>
  <c r="BR488" i="13"/>
  <c r="G466" i="13"/>
  <c r="AK413" i="13"/>
  <c r="AR345" i="13"/>
  <c r="BV112" i="13"/>
  <c r="AN262" i="13"/>
  <c r="BM251" i="13"/>
  <c r="AO481" i="13"/>
  <c r="BK99" i="13"/>
  <c r="AX134" i="13"/>
  <c r="BQ302" i="13"/>
  <c r="L131" i="13"/>
  <c r="AR91" i="13"/>
  <c r="AS143" i="13"/>
  <c r="AL71" i="13"/>
  <c r="E158" i="13"/>
  <c r="S164" i="13"/>
  <c r="S317" i="13"/>
  <c r="B123" i="13"/>
  <c r="AC148" i="13"/>
  <c r="AW290" i="13"/>
  <c r="AQ194" i="13"/>
  <c r="AV443" i="13"/>
  <c r="BK211" i="13"/>
  <c r="K275" i="13"/>
  <c r="AH309" i="13"/>
  <c r="P417" i="13"/>
  <c r="AU111" i="13"/>
  <c r="AC325" i="13"/>
  <c r="BP302" i="13"/>
  <c r="BA151" i="13"/>
  <c r="BW260" i="13"/>
  <c r="H357" i="13"/>
  <c r="AC58" i="13"/>
  <c r="O395" i="13"/>
  <c r="BE496" i="13"/>
  <c r="AW112" i="13"/>
  <c r="AC412" i="13"/>
  <c r="BM182" i="13"/>
  <c r="S353" i="13"/>
  <c r="G321" i="13"/>
  <c r="BS410" i="13"/>
  <c r="AG212" i="13"/>
  <c r="AU462" i="13"/>
  <c r="AC104" i="13"/>
  <c r="AO79" i="13"/>
  <c r="AU152" i="13"/>
  <c r="P56" i="13"/>
  <c r="O412" i="13"/>
  <c r="AS420" i="13"/>
  <c r="G427" i="13"/>
  <c r="G52" i="13"/>
  <c r="O394" i="13"/>
  <c r="U69" i="13"/>
  <c r="BP94" i="13"/>
  <c r="BG426" i="13"/>
  <c r="AD190" i="13"/>
  <c r="AI47" i="13"/>
  <c r="V336" i="13"/>
  <c r="BN285" i="13"/>
  <c r="P349" i="13"/>
  <c r="BD408" i="13"/>
  <c r="BW225" i="13"/>
  <c r="BU335" i="13"/>
  <c r="BG378" i="13"/>
  <c r="AX206" i="13"/>
  <c r="P353" i="13"/>
  <c r="BC60" i="13"/>
  <c r="AJ30" i="13"/>
  <c r="AO133" i="13"/>
  <c r="W268" i="13"/>
  <c r="BL291" i="13"/>
  <c r="BE24" i="13"/>
  <c r="R238" i="13"/>
  <c r="L275" i="13"/>
  <c r="BK460" i="13"/>
  <c r="BP490" i="13"/>
  <c r="BB187" i="13"/>
  <c r="N448" i="13"/>
  <c r="AM499" i="13"/>
  <c r="BQ278" i="13"/>
  <c r="AM434" i="13"/>
  <c r="F357" i="13"/>
  <c r="AL410" i="13"/>
  <c r="AX286" i="13"/>
  <c r="W265" i="13"/>
  <c r="AV210" i="13"/>
  <c r="BW30" i="13"/>
  <c r="BN246" i="13"/>
  <c r="G153" i="13"/>
  <c r="BS7" i="13"/>
  <c r="BJ325" i="13"/>
  <c r="O162" i="13"/>
  <c r="M139" i="13"/>
  <c r="E499" i="13"/>
  <c r="AU151" i="13"/>
  <c r="BI23" i="13"/>
  <c r="AQ10" i="13"/>
  <c r="X124" i="13"/>
  <c r="AR396" i="13"/>
  <c r="AI195" i="13"/>
  <c r="AZ286" i="13"/>
  <c r="R45" i="13"/>
  <c r="AH364" i="13"/>
  <c r="N345" i="13"/>
  <c r="BS206" i="13"/>
  <c r="AG315" i="13"/>
  <c r="Q247" i="13"/>
  <c r="AB104" i="13"/>
  <c r="AK465" i="13"/>
  <c r="B199" i="13"/>
  <c r="AE288" i="13"/>
  <c r="AN48" i="13"/>
  <c r="R193" i="13"/>
  <c r="AU131" i="13"/>
  <c r="BI3" i="13"/>
  <c r="AE32" i="13"/>
  <c r="J71" i="13"/>
  <c r="AG141" i="13"/>
  <c r="AL41" i="13"/>
  <c r="AY189" i="13"/>
  <c r="BF64" i="13"/>
  <c r="BL231" i="13"/>
  <c r="F49" i="13"/>
  <c r="T322" i="13"/>
  <c r="AP312" i="13"/>
  <c r="AF415" i="13"/>
  <c r="T29" i="13"/>
  <c r="BL289" i="13"/>
  <c r="E126" i="13"/>
  <c r="V371" i="13"/>
  <c r="Q421" i="13"/>
  <c r="BN320" i="13"/>
  <c r="T84" i="13"/>
  <c r="E370" i="13"/>
  <c r="BF248" i="13"/>
  <c r="AC413" i="13"/>
  <c r="BM207" i="13"/>
  <c r="C264" i="13"/>
  <c r="R245" i="13"/>
  <c r="K169" i="13"/>
  <c r="K122" i="13"/>
  <c r="Y285" i="13"/>
  <c r="AA284" i="13"/>
  <c r="E172" i="13"/>
  <c r="BG265" i="13"/>
  <c r="AP315" i="13"/>
  <c r="AX272" i="13"/>
  <c r="A208" i="13"/>
  <c r="R355" i="13"/>
  <c r="BJ443" i="13"/>
  <c r="AN285" i="13"/>
  <c r="B170" i="13"/>
  <c r="AS455" i="13"/>
  <c r="N213" i="13"/>
  <c r="K54" i="13"/>
  <c r="AY152" i="13"/>
  <c r="AA163" i="13"/>
  <c r="BH261" i="13"/>
  <c r="AB329" i="13"/>
  <c r="C118" i="13"/>
  <c r="AE7" i="13"/>
  <c r="BR196" i="13"/>
  <c r="AJ92" i="13"/>
  <c r="X322" i="13"/>
  <c r="AM237" i="13"/>
  <c r="AC155" i="13"/>
  <c r="J197" i="13"/>
  <c r="BH388" i="13"/>
  <c r="AB362" i="13"/>
  <c r="BN129" i="13"/>
  <c r="AP335" i="13"/>
  <c r="BI165" i="13"/>
  <c r="AY483" i="13"/>
  <c r="A231" i="13"/>
  <c r="I163" i="13"/>
  <c r="Z409" i="13"/>
  <c r="BQ286" i="13"/>
  <c r="AR162" i="13"/>
  <c r="BT221" i="13"/>
  <c r="BU330" i="13"/>
  <c r="E311" i="13"/>
  <c r="Y2" i="13"/>
  <c r="BM82" i="13"/>
  <c r="BK393" i="13"/>
  <c r="AL56" i="13"/>
  <c r="BQ378" i="13"/>
  <c r="R202" i="13"/>
  <c r="X89" i="13"/>
  <c r="R162" i="13"/>
  <c r="AT304" i="13"/>
  <c r="BM316" i="13"/>
  <c r="BI77" i="13"/>
  <c r="BS22" i="13"/>
  <c r="BH61" i="13"/>
  <c r="BC481" i="13"/>
  <c r="AZ450" i="13"/>
  <c r="BQ195" i="13"/>
  <c r="AL53" i="13"/>
  <c r="O234" i="13"/>
  <c r="AN372" i="13"/>
  <c r="AE139" i="13"/>
  <c r="G238" i="13"/>
  <c r="Q127" i="13"/>
  <c r="AD181" i="13"/>
  <c r="D30" i="13"/>
  <c r="BR289" i="13"/>
  <c r="E420" i="13"/>
  <c r="AQ362" i="13"/>
  <c r="M346" i="13"/>
  <c r="BD158" i="13"/>
  <c r="Z135" i="13"/>
  <c r="G494" i="13"/>
  <c r="B136" i="13"/>
  <c r="BJ15" i="13"/>
  <c r="BN33" i="13"/>
  <c r="AS124" i="13"/>
  <c r="B177" i="13"/>
  <c r="AH311" i="13"/>
  <c r="B380" i="13"/>
  <c r="F283" i="13"/>
  <c r="O273" i="13"/>
  <c r="BK22" i="13"/>
  <c r="AP145" i="13"/>
  <c r="M284" i="13"/>
  <c r="BC54" i="13"/>
  <c r="AI209" i="13"/>
  <c r="S113" i="13"/>
  <c r="AA501" i="13"/>
  <c r="AV240" i="13"/>
  <c r="O275" i="13"/>
  <c r="BD195" i="13"/>
  <c r="BF154" i="13"/>
  <c r="Q227" i="13"/>
  <c r="X385" i="13"/>
  <c r="AL460" i="13"/>
  <c r="AZ89" i="13"/>
  <c r="BL69" i="13"/>
  <c r="AU232" i="13"/>
  <c r="AY336" i="13"/>
  <c r="O100" i="13"/>
  <c r="BF288" i="13"/>
  <c r="H52" i="13"/>
  <c r="BV237" i="13"/>
  <c r="AF51" i="13"/>
  <c r="AC78" i="13"/>
  <c r="C271" i="13"/>
  <c r="AO428" i="13"/>
  <c r="BC291" i="13"/>
  <c r="C458" i="13"/>
  <c r="AG495" i="13"/>
  <c r="AQ458" i="13"/>
  <c r="BH425" i="13"/>
  <c r="AF185" i="13"/>
  <c r="BR65" i="13"/>
  <c r="C214" i="13"/>
  <c r="L488" i="13"/>
  <c r="BW394" i="13"/>
  <c r="AW409" i="13"/>
  <c r="AS37" i="13"/>
  <c r="AA173" i="13"/>
  <c r="BS497" i="13"/>
  <c r="AW26" i="13"/>
  <c r="BR416" i="13"/>
  <c r="X288" i="13"/>
  <c r="Y46" i="13"/>
  <c r="T56" i="13"/>
  <c r="AP200" i="13"/>
  <c r="K41" i="13"/>
  <c r="AH80" i="13"/>
  <c r="AZ322" i="13"/>
  <c r="BR375" i="13"/>
  <c r="J127" i="13"/>
  <c r="K328" i="13"/>
  <c r="M423" i="13"/>
  <c r="BL73" i="13"/>
  <c r="AR248" i="13"/>
  <c r="I248" i="13"/>
  <c r="AK408" i="13"/>
  <c r="AJ322" i="13"/>
  <c r="AC341" i="13"/>
  <c r="AV271" i="13"/>
  <c r="BF410" i="13"/>
  <c r="C30" i="13"/>
  <c r="AW331" i="13"/>
  <c r="AL326" i="13"/>
  <c r="A360" i="13"/>
  <c r="W220" i="13"/>
  <c r="H32" i="13"/>
  <c r="AG452" i="13"/>
  <c r="BP230" i="13"/>
  <c r="BC227" i="13"/>
  <c r="A276" i="13"/>
  <c r="AQ88" i="13"/>
  <c r="E486" i="13"/>
  <c r="A291" i="13"/>
  <c r="BE356" i="13"/>
  <c r="D174" i="13"/>
  <c r="AQ72" i="13"/>
  <c r="AV34" i="13"/>
  <c r="G29" i="13"/>
  <c r="D128" i="13"/>
  <c r="AD100" i="13"/>
  <c r="AN135" i="13"/>
  <c r="Z208" i="13"/>
  <c r="BB280" i="13"/>
  <c r="AD315" i="13"/>
  <c r="AJ152" i="13"/>
  <c r="AG23" i="13"/>
  <c r="BP226" i="13"/>
  <c r="AL137" i="13"/>
  <c r="U46" i="13"/>
  <c r="AW305" i="13"/>
  <c r="BI162" i="13"/>
  <c r="BH300" i="13"/>
  <c r="Z227" i="13"/>
  <c r="BC85" i="13"/>
  <c r="AI203" i="13"/>
  <c r="AE446" i="13"/>
  <c r="BF326" i="13"/>
  <c r="W127" i="13"/>
  <c r="O190" i="13"/>
  <c r="AD238" i="13"/>
  <c r="AO409" i="13"/>
  <c r="AQ37" i="13"/>
  <c r="J189" i="13"/>
  <c r="BC269" i="13"/>
  <c r="Y130" i="13"/>
  <c r="Y21" i="13"/>
  <c r="BL28" i="13"/>
  <c r="BM177" i="13"/>
  <c r="P67" i="13"/>
  <c r="AC151" i="13"/>
  <c r="AE241" i="13"/>
  <c r="BT183" i="13"/>
  <c r="B105" i="13"/>
  <c r="AU148" i="13"/>
  <c r="BM45" i="13"/>
  <c r="O52" i="13"/>
  <c r="AM62" i="13"/>
  <c r="AT417" i="13"/>
  <c r="AG297" i="13"/>
  <c r="AI148" i="13"/>
  <c r="I246" i="13"/>
  <c r="BA68" i="13"/>
  <c r="AZ246" i="13"/>
  <c r="AC93" i="13"/>
  <c r="N146" i="13"/>
  <c r="BS395" i="13"/>
  <c r="AR70" i="13"/>
  <c r="AE144" i="13"/>
  <c r="BP327" i="13"/>
  <c r="BD15" i="13"/>
  <c r="BG140" i="13"/>
  <c r="Q64" i="13"/>
  <c r="AZ133" i="13"/>
  <c r="BD174" i="13"/>
  <c r="AW28" i="13"/>
  <c r="BO21" i="13"/>
  <c r="BE117" i="13"/>
  <c r="AA64" i="13"/>
  <c r="Y64" i="13"/>
  <c r="K372" i="13"/>
  <c r="Z67" i="13"/>
  <c r="BJ173" i="13"/>
  <c r="R501" i="13"/>
  <c r="AL55" i="13"/>
  <c r="H206" i="13"/>
  <c r="Y412" i="13"/>
  <c r="AZ326" i="13"/>
  <c r="BH488" i="13"/>
  <c r="AQ317" i="13"/>
  <c r="O332" i="13"/>
  <c r="BT63" i="13"/>
  <c r="AK36" i="13"/>
  <c r="AQ345" i="13"/>
  <c r="BG112" i="13"/>
  <c r="AN107" i="13"/>
  <c r="AG198" i="13"/>
  <c r="BE53" i="13"/>
  <c r="BE64" i="13"/>
  <c r="BI114" i="13"/>
  <c r="AS278" i="13"/>
  <c r="BL196" i="13"/>
  <c r="Q52" i="13"/>
  <c r="AN145" i="13"/>
  <c r="AT214" i="13"/>
  <c r="AW163" i="13"/>
  <c r="AM241" i="13"/>
  <c r="BI117" i="13"/>
  <c r="Q249" i="13"/>
  <c r="J158" i="13"/>
  <c r="P129" i="13"/>
  <c r="AW482" i="13"/>
  <c r="S180" i="13"/>
  <c r="BK230" i="13"/>
  <c r="BW375" i="13"/>
  <c r="BK34" i="13"/>
  <c r="N64" i="13"/>
  <c r="AZ197" i="13"/>
  <c r="E187" i="13"/>
  <c r="R46" i="13"/>
  <c r="S80" i="13"/>
  <c r="BP372" i="13"/>
  <c r="R408" i="13"/>
  <c r="AE163" i="13"/>
  <c r="AV48" i="13"/>
  <c r="AL454" i="13"/>
  <c r="BN335" i="13"/>
  <c r="BD70" i="13"/>
  <c r="BV49" i="13"/>
  <c r="V138" i="13"/>
  <c r="AQ121" i="13"/>
  <c r="L55" i="13"/>
  <c r="BA280" i="13"/>
  <c r="AS435" i="13"/>
  <c r="AT489" i="13"/>
  <c r="BF406" i="13"/>
  <c r="F178" i="13"/>
  <c r="BL469" i="13"/>
  <c r="C347" i="13"/>
  <c r="AI499" i="13"/>
  <c r="AV491" i="13"/>
  <c r="BH96" i="13"/>
  <c r="R166" i="13"/>
  <c r="H19" i="13"/>
  <c r="L265" i="13"/>
  <c r="BC265" i="13"/>
  <c r="AN196" i="13"/>
  <c r="AE188" i="13"/>
  <c r="AI37" i="13"/>
  <c r="BW379" i="13"/>
  <c r="BU50" i="13"/>
  <c r="BV276" i="13"/>
  <c r="Z104" i="13"/>
  <c r="U450" i="13"/>
  <c r="BV82" i="13"/>
  <c r="AK323" i="13"/>
  <c r="J237" i="13"/>
  <c r="B160" i="13"/>
  <c r="AO435" i="13"/>
  <c r="E76" i="13"/>
  <c r="BG375" i="13"/>
  <c r="F192" i="13"/>
  <c r="C148" i="13"/>
  <c r="AW118" i="13"/>
  <c r="BJ274" i="13"/>
  <c r="BN97" i="13"/>
  <c r="AZ60" i="13"/>
  <c r="R128" i="13"/>
  <c r="AW142" i="13"/>
  <c r="BL61" i="13"/>
  <c r="K249" i="13"/>
  <c r="AP141" i="13"/>
  <c r="J164" i="13"/>
  <c r="BR220" i="13"/>
  <c r="BC221" i="13"/>
  <c r="BE344" i="13"/>
  <c r="U154" i="13"/>
  <c r="AR281" i="13"/>
  <c r="AG101" i="13"/>
  <c r="AY24" i="13"/>
  <c r="BC155" i="13"/>
  <c r="BD480" i="13"/>
  <c r="BB332" i="13"/>
  <c r="T200" i="13"/>
  <c r="AZ72" i="13"/>
  <c r="AI132" i="13"/>
  <c r="H373" i="13"/>
  <c r="AX325" i="13"/>
  <c r="T210" i="13"/>
  <c r="AU381" i="13"/>
  <c r="AR71" i="13"/>
  <c r="J497" i="13"/>
  <c r="BP59" i="13"/>
  <c r="K150" i="13"/>
  <c r="F270" i="13"/>
  <c r="BI7" i="13"/>
  <c r="Y275" i="13"/>
  <c r="AW226" i="13"/>
  <c r="O153" i="13"/>
  <c r="BM157" i="13"/>
  <c r="F292" i="13"/>
  <c r="I76" i="13"/>
  <c r="AP161" i="13"/>
  <c r="F200" i="13"/>
  <c r="BL112" i="13"/>
  <c r="AY370" i="13"/>
  <c r="BM166" i="13"/>
  <c r="AA420" i="13"/>
  <c r="L205" i="13"/>
  <c r="Y223" i="13"/>
  <c r="T343" i="13"/>
  <c r="U466" i="13"/>
  <c r="D65" i="13"/>
  <c r="AH122" i="13"/>
  <c r="BF168" i="13"/>
  <c r="AM143" i="13"/>
  <c r="BO40" i="13"/>
  <c r="BQ71" i="13"/>
  <c r="O147" i="13"/>
  <c r="BU474" i="13"/>
  <c r="I356" i="13"/>
  <c r="B165" i="13"/>
  <c r="D283" i="13"/>
  <c r="I394" i="13"/>
  <c r="BN5" i="13"/>
  <c r="B11" i="13"/>
  <c r="AP288" i="13"/>
  <c r="BR445" i="13"/>
  <c r="AX306" i="13"/>
  <c r="P78" i="13"/>
  <c r="BD38" i="13"/>
  <c r="G382" i="13"/>
  <c r="BQ480" i="13"/>
  <c r="BN388" i="13"/>
  <c r="AG395" i="13"/>
  <c r="AS94" i="13"/>
  <c r="AP239" i="13"/>
  <c r="H54" i="13"/>
  <c r="Y13" i="13"/>
  <c r="BK124" i="13"/>
  <c r="P75" i="13"/>
  <c r="AP233" i="13"/>
  <c r="S257" i="13"/>
  <c r="BU384" i="13"/>
  <c r="BE266" i="13"/>
  <c r="R425" i="13"/>
  <c r="AA89" i="13"/>
  <c r="BF422" i="13"/>
  <c r="BR132" i="13"/>
  <c r="F443" i="13"/>
  <c r="AK291" i="13"/>
  <c r="O114" i="13"/>
  <c r="BJ441" i="13"/>
  <c r="AL323" i="13"/>
  <c r="BB237" i="13"/>
  <c r="AQ343" i="13"/>
  <c r="U2" i="13"/>
  <c r="L309" i="13"/>
  <c r="V148" i="13"/>
  <c r="AX417" i="13"/>
  <c r="Y79" i="13"/>
  <c r="AS473" i="13"/>
  <c r="X84" i="13"/>
  <c r="AH363" i="13"/>
  <c r="L331" i="13"/>
  <c r="Z17" i="13"/>
  <c r="J498" i="13"/>
  <c r="S139" i="13"/>
  <c r="AF52" i="13"/>
  <c r="BU175" i="13"/>
  <c r="A58" i="13"/>
  <c r="O220" i="13"/>
  <c r="AR114" i="13"/>
  <c r="AD266" i="13"/>
  <c r="AI96" i="13"/>
  <c r="AA167" i="13"/>
  <c r="AG361" i="13"/>
  <c r="O88" i="13"/>
  <c r="AY66" i="13"/>
  <c r="N10" i="13"/>
  <c r="M433" i="13"/>
  <c r="N45" i="13"/>
  <c r="AA73" i="13"/>
  <c r="BN434" i="13"/>
  <c r="AG174" i="13"/>
  <c r="AS75" i="13"/>
  <c r="V308" i="13"/>
  <c r="I12" i="13"/>
  <c r="AX237" i="13"/>
  <c r="J111" i="13"/>
  <c r="B460" i="13"/>
  <c r="S483" i="13"/>
  <c r="F340" i="13"/>
  <c r="H42" i="13"/>
  <c r="BI16" i="13"/>
  <c r="K57" i="13"/>
  <c r="BE139" i="13"/>
  <c r="M474" i="13"/>
  <c r="BA226" i="13"/>
  <c r="A243" i="13"/>
  <c r="AT134" i="13"/>
  <c r="BC156" i="13"/>
  <c r="BD196" i="13"/>
  <c r="AY165" i="13"/>
  <c r="AI431" i="13"/>
  <c r="O352" i="13"/>
  <c r="AN350" i="13"/>
  <c r="AK258" i="13"/>
  <c r="H313" i="13"/>
  <c r="R418" i="13"/>
  <c r="Z476" i="13"/>
  <c r="BA164" i="13"/>
  <c r="H414" i="13"/>
  <c r="AM230" i="13"/>
  <c r="AK248" i="13"/>
  <c r="AP402" i="13"/>
  <c r="AS83" i="13"/>
  <c r="BH60" i="13"/>
  <c r="BW79" i="13"/>
  <c r="D50" i="13"/>
  <c r="B111" i="13"/>
  <c r="Q330" i="13"/>
  <c r="AY139" i="13"/>
  <c r="D436" i="13"/>
  <c r="AH412" i="13"/>
  <c r="AL402" i="13"/>
  <c r="AG120" i="13"/>
  <c r="M142" i="13"/>
  <c r="BL415" i="13"/>
  <c r="AO126" i="13"/>
  <c r="I6" i="13"/>
  <c r="AR184" i="13"/>
  <c r="AQ1" i="13"/>
  <c r="AO174" i="13"/>
  <c r="C143" i="13"/>
  <c r="AA34" i="13"/>
  <c r="AH99" i="13"/>
  <c r="BC88" i="13"/>
  <c r="Y143" i="13"/>
  <c r="BH487" i="13"/>
  <c r="BT138" i="13"/>
  <c r="AD157" i="13"/>
  <c r="BF474" i="13"/>
  <c r="AZ88" i="13"/>
  <c r="AI182" i="13"/>
  <c r="BO316" i="13"/>
  <c r="G430" i="13"/>
  <c r="M282" i="13"/>
  <c r="AA169" i="13"/>
  <c r="X492" i="13"/>
  <c r="AU190" i="13"/>
  <c r="G71" i="13"/>
  <c r="F213" i="13"/>
  <c r="X38" i="13"/>
  <c r="AL62" i="13"/>
  <c r="AU423" i="13"/>
  <c r="P95" i="13"/>
  <c r="AE291" i="13"/>
  <c r="T16" i="13"/>
  <c r="BQ317" i="13"/>
  <c r="AK14" i="13"/>
  <c r="AZ43" i="13"/>
  <c r="BO369" i="13"/>
  <c r="AH139" i="13"/>
  <c r="BR125" i="13"/>
  <c r="AC75" i="13"/>
  <c r="P454" i="13"/>
  <c r="BW459" i="13"/>
  <c r="BT410" i="13"/>
  <c r="BA193" i="13"/>
  <c r="P62" i="13"/>
  <c r="K69" i="13"/>
  <c r="BK479" i="13"/>
  <c r="V162" i="13"/>
  <c r="BG276" i="13"/>
  <c r="AH138" i="13"/>
  <c r="K2" i="13"/>
  <c r="BF218" i="13"/>
  <c r="AC306" i="13"/>
  <c r="AV14" i="13"/>
  <c r="G431" i="13"/>
  <c r="AL258" i="13"/>
  <c r="BA189" i="13"/>
  <c r="BL109" i="13"/>
  <c r="BT64" i="13"/>
  <c r="BR177" i="13"/>
  <c r="AN479" i="13"/>
  <c r="I18" i="13"/>
  <c r="BM50" i="13"/>
  <c r="G20" i="13"/>
  <c r="AT364" i="13"/>
  <c r="AG103" i="13"/>
  <c r="T475" i="13"/>
  <c r="BC268" i="13"/>
  <c r="L313" i="13"/>
  <c r="O161" i="13"/>
  <c r="K51" i="13"/>
  <c r="AN73" i="13"/>
  <c r="E496" i="13"/>
  <c r="Q290" i="13"/>
  <c r="BQ376" i="13"/>
  <c r="AJ164" i="13"/>
  <c r="C177" i="13"/>
  <c r="AY90" i="13"/>
  <c r="G162" i="13"/>
  <c r="AA441" i="13"/>
  <c r="AD415" i="13"/>
  <c r="AR500" i="13"/>
  <c r="BL173" i="13"/>
  <c r="AF474" i="13"/>
  <c r="AK462" i="13"/>
  <c r="AC286" i="13"/>
  <c r="AC98" i="13"/>
  <c r="BK321" i="13"/>
  <c r="BB473" i="13"/>
  <c r="N3" i="13"/>
  <c r="BV79" i="13"/>
  <c r="BK147" i="13"/>
  <c r="BQ35" i="13"/>
  <c r="BT84" i="13"/>
  <c r="W79" i="13"/>
  <c r="AZ195" i="13"/>
  <c r="AC252" i="13"/>
  <c r="T114" i="13"/>
  <c r="P227" i="13"/>
  <c r="AR45" i="13"/>
  <c r="BT46" i="13"/>
  <c r="R141" i="13"/>
  <c r="AP1" i="13"/>
  <c r="AR117" i="13"/>
  <c r="D439" i="13"/>
  <c r="BJ266" i="13"/>
  <c r="AB387" i="13"/>
  <c r="C318" i="13"/>
  <c r="BI38" i="13"/>
  <c r="BM363" i="13"/>
  <c r="AG108" i="13"/>
  <c r="BK146" i="13"/>
  <c r="Q479" i="13"/>
  <c r="AN29" i="13"/>
  <c r="W338" i="13"/>
  <c r="BO70" i="13"/>
  <c r="F499" i="13"/>
  <c r="BT392" i="13"/>
  <c r="BT199" i="13"/>
  <c r="AX443" i="13"/>
  <c r="V146" i="13"/>
  <c r="AA366" i="13"/>
  <c r="T143" i="13"/>
  <c r="BH418" i="13"/>
  <c r="V413" i="13"/>
  <c r="G210" i="13"/>
  <c r="AE386" i="13"/>
  <c r="AE494" i="13"/>
  <c r="AA136" i="13"/>
  <c r="X106" i="13"/>
  <c r="B222" i="13"/>
  <c r="X295" i="13"/>
  <c r="G438" i="13"/>
  <c r="AA10" i="13"/>
  <c r="BR68" i="13"/>
  <c r="BH228" i="13"/>
  <c r="AO268" i="13"/>
  <c r="AM248" i="13"/>
  <c r="A55" i="13"/>
  <c r="AS42" i="13"/>
  <c r="AY359" i="13"/>
  <c r="Q220" i="13"/>
  <c r="BS163" i="13"/>
  <c r="K186" i="13"/>
  <c r="BO86" i="13"/>
  <c r="BT372" i="13"/>
  <c r="BL280" i="13"/>
  <c r="G62" i="13"/>
  <c r="V208" i="13"/>
  <c r="BN381" i="13"/>
  <c r="C306" i="13"/>
  <c r="AK176" i="13"/>
  <c r="AE233" i="13"/>
  <c r="BW334" i="13"/>
  <c r="R177" i="13"/>
  <c r="AD137" i="13"/>
  <c r="P202" i="13"/>
  <c r="BC453" i="13"/>
  <c r="BF17" i="13"/>
  <c r="BL439" i="13"/>
  <c r="O256" i="13"/>
  <c r="Q8" i="13"/>
  <c r="BV228" i="13"/>
  <c r="B150" i="13"/>
  <c r="AO13" i="13"/>
  <c r="H118" i="13"/>
  <c r="C65" i="13"/>
  <c r="BH236" i="13"/>
  <c r="BQ222" i="13"/>
  <c r="O376" i="13"/>
  <c r="BH501" i="13"/>
  <c r="F379" i="13"/>
  <c r="BV61" i="13"/>
  <c r="C269" i="13"/>
  <c r="BH4" i="13"/>
  <c r="AY8" i="13"/>
  <c r="AM427" i="13"/>
  <c r="C127" i="13"/>
  <c r="AI52" i="13"/>
  <c r="H208" i="13"/>
  <c r="M128" i="13"/>
  <c r="BH395" i="13"/>
  <c r="AH73" i="13"/>
  <c r="BP130" i="13"/>
  <c r="BW393" i="13"/>
  <c r="AH292" i="13"/>
  <c r="AZ101" i="13"/>
  <c r="O98" i="13"/>
  <c r="BT425" i="13"/>
  <c r="BW16" i="13"/>
  <c r="AX458" i="13"/>
  <c r="AS378" i="13"/>
  <c r="AT117" i="13"/>
  <c r="BS236" i="13"/>
  <c r="AO470" i="13"/>
  <c r="C197" i="13"/>
  <c r="BM200" i="13"/>
  <c r="AP130" i="13"/>
  <c r="AK352" i="13"/>
  <c r="BR123" i="13"/>
  <c r="Q79" i="13"/>
  <c r="AB27" i="13"/>
  <c r="T238" i="13"/>
  <c r="BS464" i="13"/>
  <c r="F38" i="13"/>
  <c r="BO133" i="13"/>
  <c r="BD151" i="13"/>
  <c r="AT100" i="13"/>
  <c r="AM359" i="13"/>
  <c r="BW80" i="13"/>
  <c r="BU92" i="13"/>
  <c r="BH225" i="13"/>
  <c r="AE469" i="13"/>
  <c r="BP267" i="13"/>
  <c r="X93" i="13"/>
  <c r="AP483" i="13"/>
  <c r="O146" i="13"/>
  <c r="J275" i="13"/>
  <c r="W458" i="13"/>
  <c r="F215" i="13"/>
  <c r="AO259" i="13"/>
  <c r="BA460" i="13"/>
  <c r="Y379" i="13"/>
  <c r="B89" i="13"/>
  <c r="U82" i="13"/>
  <c r="BE268" i="13"/>
  <c r="J299" i="13"/>
  <c r="BO16" i="13"/>
  <c r="I222" i="13"/>
  <c r="N248" i="13"/>
  <c r="AC207" i="13"/>
  <c r="BM1" i="13"/>
  <c r="AH239" i="13"/>
  <c r="AR484" i="13"/>
  <c r="AZ206" i="13"/>
  <c r="AK311" i="13"/>
  <c r="Y439" i="13"/>
  <c r="BG137" i="13"/>
  <c r="Y450" i="13"/>
  <c r="AD377" i="13"/>
  <c r="AY233" i="13"/>
  <c r="BN106" i="13"/>
  <c r="BN345" i="13"/>
  <c r="BU501" i="13"/>
  <c r="BC110" i="13"/>
  <c r="M327" i="13"/>
  <c r="L20" i="13"/>
  <c r="L438" i="13"/>
  <c r="F190" i="13"/>
  <c r="AS364" i="13"/>
  <c r="M290" i="13"/>
  <c r="AT332" i="13"/>
  <c r="BN142" i="13"/>
  <c r="AT380" i="13"/>
  <c r="AU279" i="13"/>
  <c r="AP406" i="13"/>
  <c r="AT107" i="13"/>
  <c r="BB155" i="13"/>
  <c r="C41" i="13"/>
  <c r="AE327" i="13"/>
  <c r="AI140" i="13"/>
  <c r="AI283" i="13"/>
  <c r="S271" i="13"/>
  <c r="AC92" i="13"/>
  <c r="Z254" i="13"/>
  <c r="U403" i="13"/>
  <c r="BD173" i="13"/>
  <c r="A42" i="13"/>
  <c r="BJ296" i="13"/>
  <c r="O77" i="13"/>
  <c r="AO433" i="13"/>
  <c r="AT347" i="13"/>
  <c r="BI27" i="13"/>
  <c r="AJ447" i="13"/>
  <c r="U447" i="13"/>
  <c r="BL411" i="13"/>
  <c r="G152" i="13"/>
  <c r="C50" i="13"/>
  <c r="N157" i="13"/>
  <c r="B413" i="13"/>
  <c r="Z133" i="13"/>
  <c r="BJ129" i="13"/>
  <c r="BI232" i="13"/>
  <c r="AP500" i="13"/>
  <c r="BH419" i="13"/>
  <c r="BL223" i="13"/>
  <c r="BW10" i="13"/>
  <c r="BQ279" i="13"/>
  <c r="X185" i="13"/>
  <c r="BO126" i="13"/>
  <c r="BP425" i="13"/>
  <c r="BB382" i="13"/>
  <c r="AD286" i="13"/>
  <c r="BS218" i="13"/>
  <c r="X137" i="13"/>
  <c r="B13" i="13"/>
  <c r="AD86" i="13"/>
  <c r="AR499" i="13"/>
  <c r="BJ204" i="13"/>
  <c r="BV318" i="13"/>
  <c r="U257" i="13"/>
  <c r="U165" i="13"/>
  <c r="AJ59" i="13"/>
  <c r="T95" i="13"/>
  <c r="J247" i="13"/>
  <c r="BK259" i="13"/>
  <c r="AM54" i="13"/>
  <c r="AP380" i="13"/>
  <c r="K420" i="13"/>
  <c r="AN20" i="13"/>
  <c r="G119" i="13"/>
  <c r="AO211" i="13"/>
  <c r="J51" i="13"/>
  <c r="AY54" i="13"/>
  <c r="AV60" i="13"/>
  <c r="B155" i="13"/>
  <c r="AE189" i="13"/>
  <c r="AD405" i="13"/>
  <c r="AT68" i="13"/>
  <c r="BR143" i="13"/>
  <c r="D247" i="13"/>
  <c r="AL417" i="13"/>
  <c r="BH364" i="13"/>
  <c r="L80" i="13"/>
  <c r="AD80" i="13"/>
  <c r="BF213" i="13"/>
  <c r="AT217" i="13"/>
  <c r="BH387" i="13"/>
  <c r="T267" i="13"/>
  <c r="BW185" i="13"/>
  <c r="BC53" i="13"/>
  <c r="BO391" i="13"/>
  <c r="E70" i="13"/>
  <c r="BN204" i="13"/>
  <c r="B235" i="13"/>
  <c r="BP293" i="13"/>
  <c r="E11" i="13"/>
  <c r="BA272" i="13"/>
  <c r="G157" i="13"/>
  <c r="AJ224" i="13"/>
  <c r="AB111" i="13"/>
  <c r="BG400" i="13"/>
  <c r="AT105" i="13"/>
  <c r="V357" i="13"/>
  <c r="AN489" i="13"/>
  <c r="AE87" i="13"/>
  <c r="T12" i="13"/>
  <c r="P468" i="13"/>
  <c r="AY29" i="13"/>
  <c r="BK239" i="13"/>
  <c r="BB381" i="13"/>
  <c r="P127" i="13"/>
  <c r="BK188" i="13"/>
  <c r="AF110" i="13"/>
  <c r="U136" i="13"/>
  <c r="P268" i="13"/>
  <c r="AN69" i="13"/>
  <c r="BE183" i="13"/>
  <c r="K195" i="13"/>
  <c r="W113" i="13"/>
  <c r="BE192" i="13"/>
  <c r="BA313" i="13"/>
  <c r="AC140" i="13"/>
  <c r="BT75" i="13"/>
  <c r="A159" i="13"/>
  <c r="I69" i="13"/>
  <c r="BE190" i="13"/>
  <c r="J21" i="13"/>
  <c r="AL20" i="13"/>
  <c r="Z422" i="13"/>
  <c r="AF45" i="13"/>
  <c r="Z216" i="13"/>
  <c r="A18" i="13"/>
  <c r="BP314" i="13"/>
  <c r="X44" i="13"/>
  <c r="BL254" i="13"/>
  <c r="F241" i="13"/>
  <c r="BF231" i="13"/>
  <c r="AT125" i="13"/>
  <c r="D143" i="13"/>
  <c r="BV54" i="13"/>
  <c r="K374" i="13"/>
  <c r="AK129" i="13"/>
  <c r="L467" i="13"/>
  <c r="A299" i="13"/>
  <c r="AJ132" i="13"/>
  <c r="BL140" i="13"/>
  <c r="R118" i="13"/>
  <c r="BL210" i="13"/>
  <c r="N324" i="13"/>
  <c r="AX85" i="13"/>
  <c r="BP131" i="13"/>
  <c r="AN167" i="13"/>
  <c r="AY7" i="13"/>
  <c r="AO129" i="13"/>
  <c r="G457" i="13"/>
  <c r="AJ200" i="13"/>
  <c r="AQ110" i="13"/>
  <c r="M172" i="13"/>
  <c r="BI341" i="13"/>
  <c r="AP421" i="13"/>
  <c r="S240" i="13"/>
  <c r="AL499" i="13"/>
  <c r="BA210" i="13"/>
  <c r="BN252" i="13"/>
  <c r="R323" i="13"/>
  <c r="AN430" i="13"/>
  <c r="AN147" i="13"/>
  <c r="B321" i="13"/>
  <c r="AV119" i="13"/>
  <c r="BD21" i="13"/>
  <c r="D482" i="13"/>
  <c r="BS349" i="13"/>
  <c r="BA282" i="13"/>
  <c r="BS231" i="13"/>
  <c r="X157" i="13"/>
  <c r="AI400" i="13"/>
  <c r="AN102" i="13"/>
  <c r="AG177" i="13"/>
  <c r="D357" i="13"/>
  <c r="BK225" i="13"/>
  <c r="BB465" i="13"/>
  <c r="O54" i="13"/>
  <c r="B17" i="13"/>
  <c r="BM439" i="13"/>
  <c r="AM61" i="13"/>
  <c r="BM393" i="13"/>
  <c r="I260" i="13"/>
  <c r="BF37" i="13"/>
  <c r="BD115" i="13"/>
  <c r="AH226" i="13"/>
  <c r="BN35" i="13"/>
  <c r="E12" i="13"/>
  <c r="AZ35" i="13"/>
  <c r="G447" i="13"/>
  <c r="L464" i="13"/>
  <c r="BO277" i="13"/>
  <c r="BC111" i="13"/>
  <c r="BB264" i="13"/>
  <c r="B22" i="13"/>
  <c r="Q434" i="13"/>
  <c r="AK392" i="13"/>
  <c r="BC330" i="13"/>
  <c r="BQ188" i="13"/>
  <c r="AQ257" i="13"/>
  <c r="BK172" i="13"/>
  <c r="A177" i="13"/>
  <c r="BM390" i="13"/>
  <c r="J133" i="13"/>
  <c r="BR331" i="13"/>
  <c r="AQ30" i="13"/>
  <c r="Z99" i="13"/>
  <c r="BI14" i="13"/>
  <c r="AV190" i="13"/>
  <c r="P244" i="13"/>
  <c r="BR326" i="13"/>
  <c r="W270" i="13"/>
  <c r="BL217" i="13"/>
  <c r="A61" i="13"/>
  <c r="AR126" i="13"/>
  <c r="AN183" i="13"/>
  <c r="AK20" i="13"/>
  <c r="AS356" i="13"/>
  <c r="BL494" i="13"/>
  <c r="BD55" i="13"/>
  <c r="L15" i="13"/>
  <c r="AU448" i="13"/>
  <c r="B103" i="13"/>
  <c r="AP20" i="13"/>
  <c r="AO46" i="13"/>
  <c r="BI67" i="13"/>
  <c r="BS180" i="13"/>
  <c r="BG47" i="13"/>
  <c r="AP91" i="13"/>
  <c r="BP475" i="13"/>
  <c r="BI197" i="13"/>
  <c r="D263" i="13"/>
  <c r="AR411" i="13"/>
  <c r="T136" i="13"/>
  <c r="AN168" i="13"/>
  <c r="BJ42" i="13"/>
  <c r="AM57" i="13"/>
  <c r="BG427" i="13"/>
  <c r="D370" i="13"/>
  <c r="B373" i="13"/>
  <c r="AN488" i="13"/>
  <c r="AW271" i="13"/>
  <c r="AU89" i="13"/>
  <c r="BG461" i="13"/>
  <c r="Q403" i="13"/>
  <c r="O205" i="13"/>
  <c r="AP441" i="13"/>
  <c r="AI100" i="13"/>
  <c r="AH185" i="13"/>
  <c r="J233" i="13"/>
  <c r="Z139" i="13"/>
  <c r="AR230" i="13"/>
  <c r="AR20" i="13"/>
  <c r="E106" i="13"/>
  <c r="AA191" i="13"/>
  <c r="AZ250" i="13"/>
  <c r="N149" i="13"/>
  <c r="X48" i="13"/>
  <c r="BH326" i="13"/>
  <c r="AW355" i="13"/>
  <c r="F473" i="13"/>
  <c r="BN390" i="13"/>
  <c r="BR481" i="13"/>
  <c r="C39" i="13"/>
  <c r="AF393" i="13"/>
  <c r="BI394" i="13"/>
  <c r="J263" i="13"/>
  <c r="I211" i="13"/>
  <c r="AG42" i="13"/>
  <c r="Z417" i="13"/>
  <c r="B416" i="13"/>
  <c r="AE243" i="13"/>
  <c r="BJ291" i="13"/>
  <c r="BS52" i="13"/>
  <c r="BD68" i="13"/>
  <c r="I286" i="13"/>
  <c r="BN84" i="13"/>
  <c r="AF18" i="13"/>
  <c r="T28" i="13"/>
  <c r="BN233" i="13"/>
  <c r="O270" i="13"/>
  <c r="AG124" i="13"/>
  <c r="BA49" i="13"/>
  <c r="AZ168" i="13"/>
  <c r="AB433" i="13"/>
  <c r="BH441" i="13"/>
  <c r="BE81" i="13"/>
  <c r="A308" i="13"/>
  <c r="P1" i="13"/>
  <c r="AL3" i="13"/>
  <c r="BQ196" i="13"/>
  <c r="AW198" i="13"/>
  <c r="O199" i="13"/>
  <c r="R13" i="13"/>
  <c r="X294" i="13"/>
  <c r="W410" i="13"/>
  <c r="P249" i="13"/>
  <c r="BI458" i="13"/>
  <c r="AU174" i="13"/>
  <c r="AM290" i="13"/>
  <c r="J486" i="13"/>
  <c r="BS2" i="13"/>
  <c r="B101" i="13"/>
  <c r="AJ124" i="13"/>
  <c r="B433" i="13"/>
  <c r="U66" i="13"/>
  <c r="R322" i="13"/>
  <c r="AE275" i="13"/>
  <c r="AH463" i="13"/>
  <c r="AQ456" i="13"/>
  <c r="AG330" i="13"/>
  <c r="AZ183" i="13"/>
  <c r="AC368" i="13"/>
  <c r="F218" i="13"/>
  <c r="S476" i="13"/>
  <c r="X112" i="13"/>
  <c r="BP145" i="13"/>
  <c r="AB393" i="13"/>
  <c r="BD98" i="13"/>
  <c r="AQ480" i="13"/>
  <c r="AD103" i="13"/>
  <c r="BO442" i="13"/>
  <c r="AH58" i="13"/>
  <c r="AY23" i="13"/>
  <c r="AW102" i="13"/>
  <c r="AF255" i="13"/>
  <c r="H140" i="13"/>
  <c r="AQ215" i="13"/>
  <c r="L418" i="13"/>
  <c r="AB18" i="13"/>
  <c r="AU231" i="13"/>
  <c r="AY89" i="13"/>
  <c r="K110" i="13"/>
  <c r="I80" i="13"/>
  <c r="AY314" i="13"/>
  <c r="AN344" i="13"/>
  <c r="AJ110" i="13"/>
  <c r="U144" i="13"/>
  <c r="AQ74" i="13"/>
  <c r="BH46" i="13"/>
  <c r="AB297" i="13"/>
  <c r="BP129" i="13"/>
  <c r="AW183" i="13"/>
  <c r="BB59" i="13"/>
  <c r="AS235" i="13"/>
  <c r="AI358" i="13"/>
  <c r="AX369" i="13"/>
  <c r="AK97" i="13"/>
  <c r="I172" i="13"/>
  <c r="W236" i="13"/>
  <c r="AG51" i="13"/>
  <c r="O483" i="13"/>
  <c r="BE220" i="13"/>
  <c r="BN64" i="13"/>
  <c r="AA32" i="13"/>
  <c r="AI83" i="13"/>
  <c r="D344" i="13"/>
  <c r="E417" i="13"/>
  <c r="I217" i="13"/>
  <c r="E176" i="13"/>
  <c r="AB232" i="13"/>
  <c r="BO467" i="13"/>
  <c r="BS313" i="13"/>
  <c r="C68" i="13"/>
  <c r="U477" i="13"/>
  <c r="AE395" i="13"/>
  <c r="BV242" i="13"/>
  <c r="BU419" i="13"/>
  <c r="AU166" i="13"/>
  <c r="AN178" i="13"/>
  <c r="BT377" i="13"/>
  <c r="BB225" i="13"/>
  <c r="BM238" i="13"/>
  <c r="BQ347" i="13"/>
  <c r="AA60" i="13"/>
  <c r="BE87" i="13"/>
  <c r="W22" i="13"/>
  <c r="AZ271" i="13"/>
  <c r="BE131" i="13"/>
  <c r="BM298" i="13"/>
  <c r="BL39" i="13"/>
  <c r="BQ83" i="13"/>
  <c r="X74" i="13"/>
  <c r="AC102" i="13"/>
  <c r="BR24" i="13"/>
  <c r="AA196" i="13"/>
  <c r="BK374" i="13"/>
  <c r="B338" i="13"/>
  <c r="V322" i="13"/>
  <c r="BF300" i="13"/>
  <c r="M388" i="13"/>
  <c r="BF370" i="13"/>
  <c r="BC336" i="13"/>
  <c r="Q338" i="13"/>
  <c r="BR115" i="13"/>
  <c r="AA379" i="13"/>
  <c r="BU14" i="13"/>
  <c r="AK232" i="13"/>
  <c r="O112" i="13"/>
  <c r="BR477" i="13"/>
  <c r="BB118" i="13"/>
  <c r="AE200" i="13"/>
  <c r="A392" i="13"/>
  <c r="AQ158" i="13"/>
  <c r="AJ50" i="13"/>
  <c r="BM196" i="13"/>
  <c r="Y239" i="13"/>
  <c r="AF199" i="13"/>
  <c r="BJ284" i="13"/>
  <c r="AG242" i="13"/>
  <c r="S39" i="13"/>
  <c r="BL31" i="13"/>
  <c r="S222" i="13"/>
  <c r="AI65" i="13"/>
  <c r="Q259" i="13"/>
  <c r="BM311" i="13"/>
  <c r="B124" i="13"/>
  <c r="BE288" i="13"/>
  <c r="AS53" i="13"/>
  <c r="AK246" i="13"/>
  <c r="BB22" i="13"/>
  <c r="BT201" i="13"/>
  <c r="L357" i="13"/>
  <c r="BS459" i="13"/>
  <c r="W70" i="13"/>
  <c r="C186" i="13"/>
  <c r="B52" i="13"/>
  <c r="BL224" i="13"/>
  <c r="AE106" i="13"/>
  <c r="Y203" i="13"/>
  <c r="E235" i="13"/>
  <c r="AZ440" i="13"/>
  <c r="AV333" i="13"/>
  <c r="A386" i="13"/>
  <c r="AM318" i="13"/>
  <c r="AQ237" i="13"/>
  <c r="K296" i="13"/>
  <c r="BG251" i="13"/>
  <c r="Q321" i="13"/>
  <c r="B280" i="13"/>
  <c r="A203" i="13"/>
  <c r="A480" i="13"/>
  <c r="AY382" i="13"/>
  <c r="BU430" i="13"/>
  <c r="AT314" i="13"/>
  <c r="AC183" i="13"/>
  <c r="U107" i="13"/>
  <c r="H65" i="13"/>
  <c r="BS222" i="13"/>
  <c r="L316" i="13"/>
  <c r="W180" i="13"/>
  <c r="L9" i="13"/>
  <c r="AS166" i="13"/>
  <c r="I189" i="13"/>
  <c r="AA339" i="13"/>
  <c r="Y479" i="13"/>
  <c r="BA67" i="13"/>
  <c r="T336" i="13"/>
  <c r="AQ109" i="13"/>
  <c r="AP65" i="13"/>
  <c r="I476" i="13"/>
  <c r="AW446" i="13"/>
  <c r="AJ317" i="13"/>
  <c r="AW490" i="13"/>
  <c r="BJ231" i="13"/>
  <c r="S459" i="13"/>
  <c r="BJ166" i="13"/>
  <c r="AQ308" i="13"/>
  <c r="AD43" i="13"/>
  <c r="BW34" i="13"/>
  <c r="AJ73" i="13"/>
  <c r="AW386" i="13"/>
  <c r="B347" i="13"/>
  <c r="BU119" i="13"/>
  <c r="BL98" i="13"/>
  <c r="BL409" i="13"/>
  <c r="AB177" i="13"/>
  <c r="BI338" i="13"/>
  <c r="AQ463" i="13"/>
  <c r="BO359" i="13"/>
  <c r="BT241" i="13"/>
  <c r="F367" i="13"/>
  <c r="AB292" i="13"/>
  <c r="M81" i="13"/>
  <c r="Q340" i="13"/>
  <c r="B429" i="13"/>
  <c r="O456" i="13"/>
  <c r="G336" i="13"/>
  <c r="AF494" i="13"/>
  <c r="AB141" i="13"/>
  <c r="O357" i="13"/>
  <c r="J68" i="13"/>
  <c r="Q286" i="13"/>
  <c r="BS318" i="13"/>
  <c r="AU141" i="13"/>
  <c r="S61" i="13"/>
  <c r="S461" i="13"/>
  <c r="BB212" i="13"/>
  <c r="BB178" i="13"/>
  <c r="BD30" i="13"/>
  <c r="BI490" i="13"/>
  <c r="AU76" i="13"/>
  <c r="BT336" i="13"/>
  <c r="I351" i="13"/>
  <c r="AT77" i="13"/>
  <c r="BU327" i="13"/>
  <c r="BI73" i="13"/>
  <c r="AE323" i="13"/>
  <c r="BU32" i="13"/>
  <c r="BQ411" i="13"/>
  <c r="BJ253" i="13"/>
  <c r="AT231" i="13"/>
  <c r="AS325" i="13"/>
  <c r="BK54" i="13"/>
  <c r="BN453" i="13"/>
  <c r="BQ127" i="13"/>
  <c r="C431" i="13"/>
  <c r="BT192" i="13"/>
  <c r="AE107" i="13"/>
  <c r="BL390" i="13"/>
  <c r="BT25" i="13"/>
  <c r="B299" i="13"/>
  <c r="BE33" i="13"/>
  <c r="AA165" i="13"/>
  <c r="O398" i="13"/>
  <c r="BV325" i="13"/>
  <c r="K446" i="13"/>
  <c r="X17" i="13"/>
  <c r="AW196" i="13"/>
  <c r="A369" i="13"/>
  <c r="BB72" i="13"/>
  <c r="B260" i="13"/>
  <c r="B215" i="13"/>
  <c r="AL243" i="13"/>
  <c r="AV317" i="13"/>
  <c r="Y297" i="13"/>
  <c r="BQ180" i="13"/>
  <c r="BE451" i="13"/>
  <c r="AQ380" i="13"/>
  <c r="AM484" i="13"/>
  <c r="AD93" i="13"/>
  <c r="BM375" i="13"/>
  <c r="AO99" i="13"/>
  <c r="AP96" i="13"/>
  <c r="BA475" i="13"/>
  <c r="AM92" i="13"/>
  <c r="AC235" i="13"/>
  <c r="BM501" i="13"/>
  <c r="I38" i="13"/>
  <c r="BW383" i="13"/>
  <c r="BG33" i="13"/>
  <c r="L187" i="13"/>
  <c r="AQ95" i="13"/>
  <c r="AD383" i="13"/>
  <c r="AR195" i="13"/>
  <c r="AC321" i="13"/>
  <c r="AG38" i="13"/>
  <c r="AL416" i="13"/>
  <c r="AJ377" i="13"/>
  <c r="A206" i="13"/>
  <c r="F477" i="13"/>
  <c r="C227" i="13"/>
  <c r="BR172" i="13"/>
  <c r="S279" i="13"/>
  <c r="AW246" i="13"/>
  <c r="BD298" i="13"/>
  <c r="B218" i="13"/>
  <c r="AE285" i="13"/>
  <c r="AP18" i="13"/>
  <c r="AT206" i="13"/>
  <c r="AD255" i="13"/>
  <c r="Q287" i="13"/>
  <c r="BD8" i="13"/>
  <c r="C215" i="13"/>
  <c r="AS196" i="13"/>
  <c r="BM173" i="13"/>
  <c r="T185" i="13"/>
  <c r="E352" i="13"/>
  <c r="BL166" i="13"/>
  <c r="AS491" i="13"/>
  <c r="AE413" i="13"/>
  <c r="AY155" i="13"/>
  <c r="BQ146" i="13"/>
  <c r="BU174" i="13"/>
  <c r="BN344" i="13"/>
  <c r="AT60" i="13"/>
  <c r="Z142" i="13"/>
  <c r="BR112" i="13"/>
  <c r="AF360" i="13"/>
  <c r="N478" i="13"/>
  <c r="AY34" i="13"/>
  <c r="BB258" i="13"/>
  <c r="Z396" i="13"/>
  <c r="BK397" i="13"/>
  <c r="AE440" i="13"/>
  <c r="X99" i="13"/>
  <c r="AG224" i="13"/>
  <c r="AX355" i="13"/>
  <c r="AT352" i="13"/>
  <c r="AR143" i="13"/>
  <c r="AW353" i="13"/>
  <c r="Y337" i="13"/>
  <c r="AX423" i="13"/>
  <c r="AE85" i="13"/>
  <c r="AH182" i="13"/>
  <c r="K447" i="13"/>
  <c r="AU479" i="13"/>
  <c r="AY475" i="13"/>
  <c r="AI40" i="13"/>
  <c r="S74" i="13"/>
  <c r="AQ336" i="13"/>
  <c r="AJ162" i="13"/>
  <c r="AZ408" i="13"/>
  <c r="AE24" i="13"/>
  <c r="AH421" i="13"/>
  <c r="AV82" i="13"/>
  <c r="P257" i="13"/>
  <c r="AM147" i="13"/>
  <c r="AW313" i="13"/>
  <c r="Z372" i="13"/>
  <c r="AG85" i="13"/>
  <c r="Q117" i="13"/>
  <c r="BD127" i="13"/>
  <c r="BK90" i="13"/>
  <c r="BC475" i="13"/>
  <c r="AZ278" i="13"/>
  <c r="AE66" i="13"/>
  <c r="BT118" i="13"/>
  <c r="A199" i="13"/>
  <c r="BF313" i="13"/>
  <c r="AG353" i="13"/>
  <c r="D33" i="13"/>
  <c r="J274" i="13"/>
  <c r="AI291" i="13"/>
  <c r="AP189" i="13"/>
  <c r="BW458" i="13"/>
  <c r="R86" i="13"/>
  <c r="AP401" i="13"/>
  <c r="I59" i="13"/>
  <c r="AP325" i="13"/>
  <c r="BK138" i="13"/>
  <c r="Y270" i="13"/>
  <c r="BU180" i="13"/>
  <c r="AE319" i="13"/>
  <c r="Z243" i="13"/>
  <c r="BN499" i="13"/>
  <c r="D250" i="13"/>
  <c r="AG453" i="13"/>
  <c r="V111" i="13"/>
  <c r="AU203" i="13"/>
  <c r="BK289" i="13"/>
  <c r="AW326" i="13"/>
  <c r="H164" i="13"/>
  <c r="AX178" i="13"/>
  <c r="E282" i="13"/>
  <c r="AY454" i="13"/>
  <c r="AE119" i="13"/>
  <c r="BS351" i="13"/>
  <c r="AX124" i="13"/>
  <c r="AS381" i="13"/>
  <c r="BQ101" i="13"/>
  <c r="BA29" i="13"/>
  <c r="BW371" i="13"/>
  <c r="U280" i="13"/>
  <c r="G350" i="13"/>
  <c r="BL284" i="13"/>
  <c r="BV235" i="13"/>
  <c r="AO60" i="13"/>
  <c r="AS298" i="13"/>
  <c r="BE26" i="13"/>
  <c r="N25" i="13"/>
  <c r="BI84" i="13"/>
  <c r="AK46" i="13"/>
  <c r="S434" i="13"/>
  <c r="T236" i="13"/>
  <c r="N138" i="13"/>
  <c r="AC196" i="13"/>
  <c r="AZ12" i="13"/>
  <c r="S344" i="13"/>
  <c r="AS340" i="13"/>
  <c r="BU480" i="13"/>
  <c r="W273" i="13"/>
  <c r="BE325" i="13"/>
  <c r="AB212" i="13"/>
  <c r="BN199" i="13"/>
  <c r="AC68" i="13"/>
  <c r="AI333" i="13"/>
  <c r="AM9" i="13"/>
  <c r="B216" i="13"/>
  <c r="BE34" i="13"/>
  <c r="Q84" i="13"/>
  <c r="Y93" i="13"/>
  <c r="O95" i="13"/>
  <c r="AE454" i="13"/>
  <c r="I109" i="13"/>
  <c r="C230" i="13"/>
  <c r="AF203" i="13"/>
  <c r="BO306" i="13"/>
  <c r="AR178" i="13"/>
  <c r="Y186" i="13"/>
  <c r="W484" i="13"/>
  <c r="A200" i="13"/>
  <c r="AV99" i="13"/>
  <c r="Q483" i="13"/>
  <c r="N395" i="13"/>
  <c r="AU155" i="13"/>
  <c r="F281" i="13"/>
  <c r="O387" i="13"/>
  <c r="B263" i="13"/>
  <c r="AJ446" i="13"/>
  <c r="AH149" i="13"/>
  <c r="AS88" i="13"/>
  <c r="BO445" i="13"/>
  <c r="AE65" i="13"/>
  <c r="AQ111" i="13"/>
  <c r="X171" i="13"/>
  <c r="BN140" i="13"/>
  <c r="AT452" i="13"/>
  <c r="Q443" i="13"/>
  <c r="AQ175" i="13"/>
  <c r="N44" i="13"/>
  <c r="BL205" i="13"/>
  <c r="W141" i="13"/>
  <c r="AJ229" i="13"/>
  <c r="BB124" i="13"/>
  <c r="AD350" i="13"/>
  <c r="Q182" i="13"/>
  <c r="AV418" i="13"/>
  <c r="H458" i="13"/>
  <c r="X201" i="13"/>
  <c r="U204" i="13"/>
  <c r="BV244" i="13"/>
  <c r="BG488" i="13"/>
  <c r="AF206" i="13"/>
  <c r="AR375" i="13"/>
  <c r="BB189" i="13"/>
  <c r="AX501" i="13"/>
  <c r="AD308" i="13"/>
  <c r="BK242" i="13"/>
  <c r="BJ236" i="13"/>
  <c r="AO258" i="13"/>
  <c r="BU336" i="13"/>
  <c r="P498" i="13"/>
  <c r="AO422" i="13"/>
  <c r="AT184" i="13"/>
  <c r="BI54" i="13"/>
  <c r="A496" i="13"/>
  <c r="BF121" i="13"/>
  <c r="AG460" i="13"/>
  <c r="AN239" i="13"/>
  <c r="AN299" i="13"/>
  <c r="AC389" i="13"/>
  <c r="AS102" i="13"/>
  <c r="E290" i="13"/>
  <c r="BR347" i="13"/>
  <c r="AJ270" i="13"/>
  <c r="AZ284" i="13"/>
  <c r="R199" i="13"/>
  <c r="M454" i="13"/>
  <c r="BF444" i="13"/>
  <c r="BW36" i="13"/>
  <c r="BU427" i="13"/>
  <c r="AM95" i="13"/>
  <c r="AJ108" i="13"/>
  <c r="BH318" i="13"/>
  <c r="BM360" i="13"/>
  <c r="T346" i="13"/>
  <c r="AL379" i="13"/>
  <c r="M109" i="13"/>
  <c r="BH173" i="13"/>
  <c r="A132" i="13"/>
  <c r="BV261" i="13"/>
  <c r="AO489" i="13"/>
  <c r="AM162" i="13"/>
  <c r="BP53" i="13"/>
  <c r="BW109" i="13"/>
  <c r="AD178" i="13"/>
  <c r="BD86" i="13"/>
  <c r="AJ358" i="13"/>
  <c r="BU26" i="13"/>
  <c r="AP292" i="13"/>
  <c r="AG386" i="13"/>
  <c r="I197" i="13"/>
  <c r="M257" i="13"/>
  <c r="K137" i="13"/>
  <c r="V392" i="13"/>
  <c r="L296" i="13"/>
  <c r="AZ77" i="13"/>
  <c r="C389" i="13"/>
  <c r="AL26" i="13"/>
  <c r="E115" i="13"/>
  <c r="J289" i="13"/>
  <c r="B444" i="13"/>
  <c r="AO160" i="13"/>
  <c r="AG76" i="13"/>
  <c r="Z351" i="13"/>
  <c r="BT73" i="13"/>
  <c r="AL73" i="13"/>
  <c r="AV177" i="13"/>
  <c r="G435" i="13"/>
  <c r="AM233" i="13"/>
  <c r="AD3" i="13"/>
  <c r="AR317" i="13"/>
  <c r="S104" i="13"/>
  <c r="T408" i="13"/>
  <c r="AG123" i="13"/>
  <c r="AC28" i="13"/>
  <c r="U303" i="13"/>
  <c r="AD351" i="13"/>
  <c r="BF28" i="13"/>
  <c r="J30" i="13"/>
  <c r="BF469" i="13"/>
  <c r="BQ136" i="13"/>
  <c r="S141" i="13"/>
  <c r="BE143" i="13"/>
  <c r="AL168" i="13"/>
  <c r="AM216" i="13"/>
  <c r="AF233" i="13"/>
  <c r="P156" i="13"/>
  <c r="AE50" i="13"/>
  <c r="W146" i="13"/>
  <c r="AL411" i="13"/>
  <c r="F128" i="13"/>
  <c r="G143" i="13"/>
  <c r="BO363" i="13"/>
  <c r="AU236" i="13"/>
  <c r="P442" i="13"/>
  <c r="BP274" i="13"/>
  <c r="AT177" i="13"/>
  <c r="BB4" i="13"/>
  <c r="AK386" i="13"/>
  <c r="X132" i="13"/>
  <c r="G226" i="13"/>
  <c r="P31" i="13"/>
  <c r="H398" i="13"/>
  <c r="AD9" i="13"/>
  <c r="AS247" i="13"/>
  <c r="X143" i="13"/>
  <c r="AC371" i="13"/>
  <c r="AM474" i="13"/>
  <c r="K467" i="13"/>
  <c r="S82" i="13"/>
  <c r="W131" i="13"/>
  <c r="BE394" i="13"/>
  <c r="BW236" i="13"/>
  <c r="O404" i="13"/>
  <c r="AN407" i="13"/>
  <c r="R402" i="13"/>
  <c r="BK121" i="13"/>
  <c r="AZ325" i="13"/>
  <c r="Q181" i="13"/>
  <c r="BC418" i="13"/>
  <c r="A4" i="13"/>
  <c r="AZ128" i="13"/>
  <c r="O324" i="13"/>
  <c r="AT298" i="13"/>
  <c r="O144" i="13"/>
  <c r="BQ459" i="13"/>
  <c r="AC443" i="13"/>
  <c r="B35" i="13"/>
  <c r="P212" i="13"/>
  <c r="BL233" i="13"/>
  <c r="V440" i="13"/>
  <c r="BN398" i="13"/>
  <c r="BS250" i="13"/>
  <c r="BU268" i="13"/>
  <c r="AA449" i="13"/>
  <c r="R250" i="13"/>
  <c r="AR48" i="13"/>
  <c r="AX421" i="13"/>
  <c r="BT270" i="13"/>
  <c r="H159" i="13"/>
  <c r="P128" i="13"/>
  <c r="F109" i="13"/>
  <c r="AG308" i="13"/>
  <c r="S377" i="13"/>
  <c r="AJ180" i="13"/>
  <c r="BT312" i="13"/>
  <c r="AL212" i="13"/>
  <c r="BA297" i="13"/>
  <c r="N148" i="13"/>
  <c r="BS223" i="13"/>
  <c r="T225" i="13"/>
  <c r="BO112" i="13"/>
  <c r="E217" i="13"/>
  <c r="BJ113" i="13"/>
  <c r="E260" i="13"/>
  <c r="BD282" i="13"/>
  <c r="BJ358" i="13"/>
  <c r="I292" i="13"/>
  <c r="AM300" i="13"/>
  <c r="BT432" i="13"/>
  <c r="J66" i="13"/>
  <c r="U438" i="13"/>
  <c r="X387" i="13"/>
  <c r="AT444" i="13"/>
  <c r="W159" i="13"/>
  <c r="S205" i="13"/>
  <c r="V51" i="13"/>
  <c r="BF362" i="13"/>
  <c r="BS457" i="13"/>
  <c r="X147" i="13"/>
  <c r="Q133" i="13"/>
  <c r="BG334" i="13"/>
  <c r="X305" i="13"/>
  <c r="J229" i="13"/>
  <c r="BA16" i="13"/>
  <c r="AS80" i="13"/>
  <c r="BT402" i="13"/>
  <c r="AI213" i="13"/>
  <c r="B156" i="13"/>
  <c r="AI103" i="13"/>
  <c r="BG74" i="13"/>
  <c r="AS212" i="13"/>
  <c r="AE231" i="13"/>
  <c r="W287" i="13"/>
  <c r="BF214" i="13"/>
  <c r="AQ141" i="13"/>
  <c r="Z55" i="13"/>
  <c r="AG430" i="13"/>
  <c r="AE205" i="13"/>
  <c r="G468" i="13"/>
  <c r="AX191" i="13"/>
  <c r="I223" i="13"/>
  <c r="AP53" i="13"/>
  <c r="Z268" i="13"/>
  <c r="J422" i="13"/>
  <c r="AX77" i="13"/>
  <c r="K299" i="13"/>
  <c r="A44" i="13"/>
  <c r="AD418" i="13"/>
  <c r="T319" i="13"/>
  <c r="BT83" i="13"/>
  <c r="BA424" i="13"/>
  <c r="BL119" i="13"/>
  <c r="BA333" i="13"/>
  <c r="AM252" i="13"/>
  <c r="AF236" i="13"/>
  <c r="BH412" i="13"/>
  <c r="Q345" i="13"/>
  <c r="BG322" i="13"/>
  <c r="V53" i="13"/>
  <c r="M368" i="13"/>
  <c r="BU75" i="13"/>
  <c r="BD52" i="13"/>
  <c r="BW439" i="13"/>
  <c r="AE78" i="13"/>
  <c r="AL194" i="13"/>
  <c r="AJ69" i="13"/>
  <c r="D186" i="13"/>
  <c r="BL271" i="13"/>
  <c r="D249" i="13"/>
  <c r="H168" i="13"/>
  <c r="AW462" i="13"/>
  <c r="E91" i="13"/>
  <c r="BM343" i="13"/>
  <c r="D160" i="13"/>
  <c r="BK150" i="13"/>
  <c r="BH282" i="13"/>
  <c r="AR323" i="13"/>
  <c r="AO230" i="13"/>
  <c r="AM260" i="13"/>
  <c r="A451" i="13"/>
  <c r="BS307" i="13"/>
  <c r="AR313" i="13"/>
  <c r="BM67" i="13"/>
  <c r="AF352" i="13"/>
  <c r="AP111" i="13"/>
  <c r="BJ220" i="13"/>
  <c r="AU96" i="13"/>
  <c r="Y52" i="13"/>
  <c r="AH338" i="13"/>
  <c r="BI93" i="13"/>
  <c r="BK297" i="13"/>
  <c r="Y387" i="13"/>
  <c r="AB444" i="13"/>
  <c r="Q39" i="13"/>
  <c r="BE277" i="13"/>
  <c r="O495" i="13"/>
  <c r="Y102" i="13"/>
  <c r="Y377" i="13"/>
  <c r="V344" i="13"/>
  <c r="H294" i="13"/>
  <c r="AA290" i="13"/>
  <c r="BG10" i="13"/>
  <c r="AA258" i="13"/>
  <c r="BH57" i="13"/>
  <c r="R106" i="13"/>
  <c r="BT286" i="13"/>
  <c r="BA3" i="13"/>
  <c r="C203" i="13"/>
  <c r="AE70" i="13"/>
  <c r="R280" i="13"/>
  <c r="AA38" i="13"/>
  <c r="BV60" i="13"/>
  <c r="X130" i="13"/>
  <c r="AG87" i="13"/>
  <c r="BO298" i="13"/>
  <c r="AI194" i="13"/>
  <c r="C19" i="13"/>
  <c r="AK320" i="13"/>
  <c r="BS251" i="13"/>
  <c r="AQ316" i="13"/>
  <c r="BP74" i="13"/>
  <c r="AX339" i="13"/>
  <c r="AQ285" i="13"/>
  <c r="BA53" i="13"/>
  <c r="AN484" i="13"/>
  <c r="AZ399" i="13"/>
  <c r="BS242" i="13"/>
  <c r="BK72" i="13"/>
  <c r="AV141" i="13"/>
  <c r="BO411" i="13"/>
  <c r="AF493" i="13"/>
  <c r="AH45" i="13"/>
  <c r="B405" i="13"/>
  <c r="BD321" i="13"/>
  <c r="W237" i="13"/>
  <c r="BK107" i="13"/>
  <c r="BP85" i="13"/>
  <c r="AJ246" i="13"/>
  <c r="AQ13" i="13"/>
  <c r="K325" i="13"/>
  <c r="BC235" i="13"/>
  <c r="BT152" i="13"/>
  <c r="D253" i="13"/>
  <c r="I228" i="13"/>
  <c r="AY143" i="13"/>
  <c r="BM9" i="13"/>
  <c r="BM292" i="13"/>
  <c r="P347" i="13"/>
  <c r="Q105" i="13"/>
  <c r="AI285" i="13"/>
  <c r="A424" i="13"/>
  <c r="AT291" i="13"/>
  <c r="BE223" i="13"/>
  <c r="BE93" i="13"/>
  <c r="AS168" i="13"/>
  <c r="Z145" i="13"/>
  <c r="B292" i="13"/>
  <c r="T339" i="13"/>
  <c r="T39" i="13"/>
  <c r="C117" i="13"/>
  <c r="R17" i="13"/>
  <c r="BH361" i="13"/>
  <c r="AS205" i="13"/>
  <c r="F157" i="13"/>
  <c r="AN136" i="13"/>
  <c r="G400" i="13"/>
  <c r="AA109" i="13"/>
  <c r="AN158" i="13"/>
  <c r="AF78" i="13"/>
  <c r="AT41" i="13"/>
  <c r="BI184" i="13"/>
  <c r="AZ243" i="13"/>
  <c r="BV183" i="13"/>
  <c r="BS372" i="13"/>
  <c r="Q58" i="13"/>
  <c r="BR443" i="13"/>
  <c r="AI229" i="13"/>
  <c r="BF233" i="13"/>
  <c r="I289" i="13"/>
  <c r="AK17" i="13"/>
  <c r="AX296" i="13"/>
  <c r="BK12" i="13"/>
  <c r="AO168" i="13"/>
  <c r="BL79" i="13"/>
  <c r="AI107" i="13"/>
  <c r="J450" i="13"/>
  <c r="AY420" i="13"/>
  <c r="AP67" i="13"/>
  <c r="V261" i="13"/>
  <c r="AM239" i="13"/>
  <c r="BQ422" i="13"/>
  <c r="AC226" i="13"/>
  <c r="F92" i="13"/>
  <c r="BF184" i="13"/>
  <c r="T232" i="13"/>
  <c r="S463" i="13"/>
  <c r="M334" i="13"/>
  <c r="AP330" i="13"/>
  <c r="BJ467" i="13"/>
  <c r="AK309" i="13"/>
  <c r="AL106" i="13"/>
  <c r="AY198" i="13"/>
  <c r="O203" i="13"/>
  <c r="BB300" i="13"/>
  <c r="AE300" i="13"/>
  <c r="BN229" i="13"/>
  <c r="BK96" i="13"/>
  <c r="AW220" i="13"/>
  <c r="BD180" i="13"/>
  <c r="BG430" i="13"/>
  <c r="BN264" i="13"/>
  <c r="AU139" i="13"/>
  <c r="AL405" i="13"/>
  <c r="AJ98" i="13"/>
  <c r="D78" i="13"/>
  <c r="AC276" i="13"/>
  <c r="BE282" i="13"/>
  <c r="S251" i="13"/>
  <c r="AM311" i="13"/>
  <c r="BO35" i="13"/>
  <c r="X381" i="13"/>
  <c r="BI205" i="13"/>
  <c r="I252" i="13"/>
  <c r="AA297" i="13"/>
  <c r="BI261" i="13"/>
  <c r="AU129" i="13"/>
  <c r="AK325" i="13"/>
  <c r="BV45" i="13"/>
  <c r="AR227" i="13"/>
  <c r="D440" i="13"/>
  <c r="BN81" i="13"/>
  <c r="O194" i="13"/>
  <c r="BC132" i="13"/>
  <c r="BD145" i="13"/>
  <c r="P478" i="13"/>
  <c r="AE15" i="13"/>
  <c r="O109" i="13"/>
  <c r="AT95" i="13"/>
  <c r="BM322" i="13"/>
  <c r="H122" i="13"/>
  <c r="S432" i="13"/>
  <c r="AR252" i="13"/>
  <c r="R7" i="13"/>
  <c r="AE487" i="13"/>
  <c r="AV168" i="13"/>
  <c r="Q299" i="13"/>
  <c r="BR141" i="13"/>
  <c r="BC462" i="13"/>
  <c r="AG74" i="13"/>
  <c r="I484" i="13"/>
  <c r="H300" i="13"/>
  <c r="AN416" i="13"/>
  <c r="AC289" i="13"/>
  <c r="BI406" i="13"/>
  <c r="G283" i="13"/>
  <c r="AH460" i="13"/>
  <c r="N97" i="13"/>
  <c r="BE316" i="13"/>
  <c r="BG219" i="13"/>
  <c r="AC200" i="13"/>
  <c r="BJ404" i="13"/>
  <c r="E195" i="13"/>
  <c r="Q431" i="13"/>
  <c r="BS249" i="13"/>
  <c r="BF391" i="13"/>
  <c r="AW289" i="13"/>
  <c r="R91" i="13"/>
  <c r="S171" i="13"/>
  <c r="BP376" i="13"/>
  <c r="BP253" i="13"/>
  <c r="AB356" i="13"/>
  <c r="AZ223" i="13"/>
  <c r="BP337" i="13"/>
  <c r="G148" i="13"/>
  <c r="AZ212" i="13"/>
  <c r="AF99" i="13"/>
  <c r="BF74" i="13"/>
  <c r="BV336" i="13"/>
  <c r="AP188" i="13"/>
  <c r="AD144" i="13"/>
  <c r="AQ449" i="13"/>
  <c r="AA231" i="13"/>
  <c r="F176" i="13"/>
  <c r="BT331" i="13"/>
  <c r="G481" i="13"/>
  <c r="AV197" i="13"/>
  <c r="BI419" i="13"/>
  <c r="BQ77" i="13"/>
  <c r="G338" i="13"/>
  <c r="BT129" i="13"/>
  <c r="BA367" i="13"/>
  <c r="V140" i="13"/>
  <c r="AP393" i="13"/>
  <c r="BI262" i="13"/>
  <c r="AC403" i="13"/>
  <c r="BJ110" i="13"/>
  <c r="BD306" i="13"/>
  <c r="BP14" i="13"/>
  <c r="AS432" i="13"/>
  <c r="AK73" i="13"/>
  <c r="BN26" i="13"/>
  <c r="AU49" i="13"/>
  <c r="BG123" i="13"/>
  <c r="F7" i="13"/>
  <c r="AD347" i="13"/>
  <c r="AC347" i="13"/>
  <c r="AV35" i="13"/>
  <c r="L17" i="13"/>
  <c r="AS293" i="13"/>
  <c r="M491" i="13"/>
  <c r="BA378" i="13"/>
  <c r="Y222" i="13"/>
  <c r="K344" i="13"/>
  <c r="H33" i="13"/>
  <c r="M187" i="13"/>
  <c r="AH405" i="13"/>
  <c r="P34" i="13"/>
  <c r="AY476" i="13"/>
  <c r="BB161" i="13"/>
  <c r="AX142" i="13"/>
  <c r="BV366" i="13"/>
  <c r="J350" i="13"/>
  <c r="BA112" i="13"/>
  <c r="AJ291" i="13"/>
  <c r="AK471" i="13"/>
  <c r="AK488" i="13"/>
  <c r="P246" i="13"/>
  <c r="Y101" i="13"/>
  <c r="AO406" i="13"/>
  <c r="BD206" i="13"/>
  <c r="H111" i="13"/>
  <c r="AP82" i="13"/>
  <c r="BN249" i="13"/>
  <c r="AE211" i="13"/>
  <c r="S45" i="13"/>
  <c r="BS495" i="13"/>
  <c r="E472" i="13"/>
  <c r="AF259" i="13"/>
  <c r="AM355" i="13"/>
  <c r="V78" i="13"/>
  <c r="O135" i="13"/>
  <c r="F326" i="13"/>
  <c r="BI383" i="13"/>
  <c r="AZ63" i="13"/>
  <c r="AJ393" i="13"/>
  <c r="AK186" i="13"/>
  <c r="BU100" i="13"/>
  <c r="BW384" i="13"/>
  <c r="AV39" i="13"/>
  <c r="C377" i="13"/>
  <c r="BS203" i="13"/>
  <c r="BV282" i="13"/>
  <c r="AS257" i="13"/>
  <c r="AR437" i="13"/>
  <c r="AO36" i="13"/>
  <c r="W63" i="13"/>
  <c r="N30" i="13"/>
  <c r="W394" i="13"/>
  <c r="A70" i="13"/>
  <c r="AP147" i="13"/>
  <c r="W240" i="13"/>
  <c r="BD88" i="13"/>
  <c r="AF466" i="13"/>
  <c r="BV501" i="13"/>
  <c r="AD332" i="13"/>
  <c r="BP240" i="13"/>
  <c r="AI226" i="13"/>
  <c r="AZ443" i="13"/>
  <c r="S289" i="13"/>
  <c r="BC496" i="13"/>
  <c r="AM419" i="13"/>
  <c r="A97" i="13"/>
  <c r="AI139" i="13"/>
  <c r="M166" i="13"/>
  <c r="H80" i="13"/>
  <c r="AO208" i="13"/>
  <c r="BU469" i="13"/>
  <c r="G1" i="13"/>
  <c r="O133" i="13"/>
  <c r="BJ262" i="13"/>
  <c r="AA129" i="13"/>
  <c r="AT484" i="13"/>
  <c r="BH144" i="13"/>
  <c r="V475" i="13"/>
  <c r="AT335" i="13"/>
  <c r="AI168" i="13"/>
  <c r="F343" i="13"/>
  <c r="BA205" i="13"/>
  <c r="R85" i="13"/>
  <c r="AZ258" i="13"/>
  <c r="E431" i="13"/>
  <c r="AW47" i="13"/>
  <c r="AY258" i="13"/>
  <c r="AN421" i="13"/>
  <c r="AZ55" i="13"/>
  <c r="O155" i="13"/>
  <c r="BP281" i="13"/>
  <c r="BN207" i="13"/>
  <c r="BQ273" i="13"/>
  <c r="AP133" i="13"/>
  <c r="AP214" i="13"/>
  <c r="J476" i="13"/>
  <c r="Z305" i="13"/>
  <c r="AF44" i="13"/>
  <c r="G305" i="13"/>
  <c r="AO472" i="13"/>
  <c r="AH52" i="13"/>
  <c r="BN90" i="13"/>
  <c r="S184" i="13"/>
  <c r="Q97" i="13"/>
  <c r="AU239" i="13"/>
  <c r="BD230" i="13"/>
  <c r="AS44" i="13"/>
  <c r="AG180" i="13"/>
  <c r="E36" i="13"/>
  <c r="BG371" i="13"/>
  <c r="AX433" i="13"/>
  <c r="B128" i="13"/>
  <c r="BJ382" i="13"/>
  <c r="BE229" i="13"/>
  <c r="BS114" i="13"/>
  <c r="AL307" i="13"/>
  <c r="AR488" i="13"/>
  <c r="G94" i="13"/>
  <c r="AC191" i="13"/>
  <c r="AA399" i="13"/>
  <c r="BE384" i="13"/>
  <c r="AH468" i="13"/>
  <c r="Q393" i="13"/>
  <c r="C404" i="13"/>
  <c r="B415" i="13"/>
  <c r="BW138" i="13"/>
  <c r="AM218" i="13"/>
  <c r="AI51" i="13"/>
  <c r="AE400" i="13"/>
  <c r="O366" i="13"/>
  <c r="BD462" i="13"/>
  <c r="AR349" i="13"/>
  <c r="H106" i="13"/>
  <c r="AP128" i="13"/>
  <c r="AR321" i="13"/>
  <c r="BJ311" i="13"/>
  <c r="BO243" i="13"/>
  <c r="AM357" i="13"/>
  <c r="AO223" i="13"/>
  <c r="AA153" i="13"/>
  <c r="BQ74" i="13"/>
  <c r="AN209" i="13"/>
  <c r="AL172" i="13"/>
  <c r="AU185" i="13"/>
  <c r="AW421" i="13"/>
  <c r="BS87" i="13"/>
  <c r="BB216" i="13"/>
  <c r="R478" i="13"/>
  <c r="U392" i="13"/>
  <c r="Y397" i="13"/>
  <c r="AD498" i="13"/>
  <c r="Y392" i="13"/>
  <c r="AG22" i="13"/>
  <c r="B334" i="13"/>
  <c r="AN434" i="13"/>
  <c r="BH424" i="13"/>
  <c r="AC356" i="13"/>
  <c r="D80" i="13"/>
  <c r="BG436" i="13"/>
  <c r="BQ145" i="13"/>
  <c r="BL40" i="13"/>
  <c r="BG14" i="13"/>
  <c r="AP365" i="13"/>
  <c r="X323" i="13"/>
  <c r="BH26" i="13"/>
  <c r="W171" i="13"/>
  <c r="B191" i="13"/>
  <c r="BP263" i="13"/>
  <c r="G91" i="13"/>
  <c r="AN373" i="13"/>
  <c r="AZ182" i="13"/>
  <c r="AU445" i="13"/>
  <c r="AC204" i="13"/>
  <c r="H286" i="13"/>
  <c r="BA466" i="13"/>
  <c r="T13" i="13"/>
  <c r="R406" i="13"/>
  <c r="BG114" i="13"/>
  <c r="AI292" i="13"/>
  <c r="BT320" i="13"/>
  <c r="AY209" i="13"/>
  <c r="AO9" i="13"/>
  <c r="AC342" i="13"/>
  <c r="AR122" i="13"/>
  <c r="Q412" i="13"/>
  <c r="AM186" i="13"/>
  <c r="F84" i="13"/>
  <c r="BI19" i="13"/>
  <c r="AQ496" i="13"/>
  <c r="V108" i="13"/>
  <c r="AS428" i="13"/>
  <c r="BL321" i="13"/>
  <c r="M236" i="13"/>
  <c r="Z25" i="13"/>
  <c r="AC430" i="13"/>
  <c r="BR110" i="13"/>
  <c r="BS416" i="13"/>
  <c r="BU390" i="13"/>
  <c r="AV115" i="13"/>
  <c r="AD373" i="13"/>
  <c r="AM161" i="13"/>
  <c r="BT491" i="13"/>
  <c r="AC311" i="13"/>
  <c r="BQ204" i="13"/>
  <c r="AF312" i="13"/>
  <c r="BI194" i="13"/>
  <c r="Z412" i="13"/>
  <c r="BM267" i="13"/>
  <c r="BU54" i="13"/>
  <c r="BJ169" i="13"/>
  <c r="BE105" i="13"/>
  <c r="G478" i="13"/>
  <c r="AF172" i="13"/>
  <c r="R392" i="13"/>
  <c r="O306" i="13"/>
  <c r="AW456" i="13"/>
  <c r="I492" i="13"/>
  <c r="K483" i="13"/>
  <c r="BB207" i="13"/>
  <c r="BL216" i="13"/>
  <c r="AZ390" i="13"/>
  <c r="V35" i="13"/>
  <c r="AR172" i="13"/>
  <c r="AO216" i="13"/>
  <c r="BM351" i="13"/>
  <c r="F277" i="13"/>
  <c r="B468" i="13"/>
  <c r="BN18" i="13"/>
  <c r="BK3" i="13"/>
  <c r="BG117" i="13"/>
  <c r="BW70" i="13"/>
  <c r="BF497" i="13"/>
  <c r="AJ260" i="13"/>
  <c r="W187" i="13"/>
  <c r="AN89" i="13"/>
  <c r="S148" i="13"/>
  <c r="U122" i="13"/>
  <c r="BO101" i="13"/>
  <c r="X320" i="13"/>
  <c r="BH262" i="13"/>
  <c r="AB12" i="13"/>
  <c r="T372" i="13"/>
  <c r="BJ319" i="13"/>
  <c r="AI123" i="13"/>
  <c r="AT139" i="13"/>
  <c r="V163" i="13"/>
  <c r="W103" i="13"/>
  <c r="BD166" i="13"/>
  <c r="Q371" i="13"/>
  <c r="AV380" i="13"/>
  <c r="U34" i="13"/>
  <c r="U482" i="13"/>
  <c r="AD443" i="13"/>
  <c r="AS153" i="13"/>
  <c r="AB453" i="13"/>
  <c r="AP223" i="13"/>
  <c r="BL135" i="13"/>
  <c r="AI98" i="13"/>
  <c r="O362" i="13"/>
  <c r="G260" i="13"/>
  <c r="BV364" i="13"/>
  <c r="AM328" i="13"/>
  <c r="E447" i="13"/>
  <c r="M95" i="13"/>
  <c r="H146" i="13"/>
  <c r="BK470" i="13"/>
  <c r="BV452" i="13"/>
  <c r="R333" i="13"/>
  <c r="Q60" i="13"/>
  <c r="Q320" i="13"/>
  <c r="AS411" i="13"/>
  <c r="K339" i="13"/>
  <c r="AQ22" i="13"/>
  <c r="BC162" i="13"/>
  <c r="E494" i="13"/>
  <c r="BU210" i="13"/>
  <c r="AV494" i="13"/>
  <c r="BN85" i="13"/>
  <c r="AF22" i="13"/>
  <c r="AY399" i="13"/>
  <c r="P448" i="13"/>
  <c r="BI253" i="13"/>
  <c r="AZ420" i="13"/>
  <c r="BV442" i="13"/>
  <c r="W212" i="13"/>
  <c r="AN326" i="13"/>
  <c r="AV396" i="13"/>
  <c r="AH426" i="13"/>
  <c r="AK100" i="13"/>
  <c r="BL371" i="13"/>
  <c r="BB487" i="13"/>
  <c r="AA440" i="13"/>
  <c r="R65" i="13"/>
  <c r="AU62" i="13"/>
  <c r="H129" i="13"/>
  <c r="AP225" i="13"/>
  <c r="BU289" i="13"/>
  <c r="D34" i="13"/>
  <c r="BW41" i="13"/>
  <c r="H64" i="13"/>
  <c r="R263" i="13"/>
  <c r="O244" i="13"/>
  <c r="AU325" i="13"/>
  <c r="I171" i="13"/>
  <c r="F298" i="13"/>
  <c r="AK169" i="13"/>
  <c r="BL252" i="13"/>
  <c r="AG398" i="13"/>
  <c r="U50" i="13"/>
  <c r="W310" i="13"/>
  <c r="AJ184" i="13"/>
  <c r="BF432" i="13"/>
  <c r="AZ121" i="13"/>
  <c r="BM141" i="13"/>
  <c r="A105" i="13"/>
  <c r="AI334" i="13"/>
  <c r="BQ318" i="13"/>
  <c r="BV378" i="13"/>
  <c r="B183" i="13"/>
  <c r="R105" i="13"/>
  <c r="BW55" i="13"/>
  <c r="S37" i="13"/>
  <c r="AB246" i="13"/>
  <c r="BK425" i="13"/>
  <c r="AC237" i="13"/>
  <c r="AD346" i="13"/>
  <c r="AY97" i="13"/>
  <c r="AK9" i="13"/>
  <c r="AA411" i="13"/>
  <c r="H23" i="13"/>
  <c r="AC407" i="13"/>
  <c r="BS382" i="13"/>
  <c r="AJ128" i="13"/>
  <c r="BF270" i="13"/>
  <c r="AW94" i="13"/>
  <c r="J413" i="13"/>
  <c r="BM38" i="13"/>
  <c r="AP377" i="13"/>
  <c r="AF321" i="13"/>
  <c r="K277" i="13"/>
  <c r="BV154" i="13"/>
  <c r="BO124" i="13"/>
  <c r="BQ246" i="13"/>
  <c r="M243" i="13"/>
  <c r="BD459" i="13"/>
  <c r="W280" i="13"/>
  <c r="U285" i="13"/>
  <c r="N183" i="13"/>
  <c r="AM348" i="13"/>
  <c r="BN80" i="13"/>
  <c r="AL216" i="13"/>
  <c r="AW129" i="13"/>
  <c r="AH50" i="13"/>
  <c r="AC180" i="13"/>
  <c r="AD412" i="13"/>
  <c r="AJ55" i="13"/>
  <c r="S399" i="13"/>
  <c r="AN187" i="13"/>
  <c r="P66" i="13"/>
  <c r="AB142" i="13"/>
  <c r="BP194" i="13"/>
  <c r="BO425" i="13"/>
  <c r="BL406" i="13"/>
  <c r="BK8" i="13"/>
  <c r="BL131" i="13"/>
  <c r="AX184" i="13"/>
  <c r="AP285" i="13"/>
  <c r="Q55" i="13"/>
  <c r="N376" i="13"/>
  <c r="BE6" i="13"/>
  <c r="AK316" i="13"/>
  <c r="A456" i="13"/>
  <c r="U10" i="13"/>
  <c r="F338" i="13"/>
  <c r="Y75" i="13"/>
  <c r="AL158" i="13"/>
  <c r="BA257" i="13"/>
  <c r="AE317" i="13"/>
  <c r="C222" i="13"/>
  <c r="AP11" i="13"/>
  <c r="AL272" i="13"/>
  <c r="BL46" i="13"/>
  <c r="AC205" i="13"/>
  <c r="BE209" i="13"/>
  <c r="AY156" i="13"/>
  <c r="BB231" i="13"/>
  <c r="AZ80" i="13"/>
  <c r="AM60" i="13"/>
  <c r="AJ171" i="13"/>
  <c r="AQ221" i="13"/>
  <c r="C103" i="13"/>
  <c r="AZ442" i="13"/>
  <c r="C410" i="13"/>
  <c r="AW85" i="13"/>
  <c r="M273" i="13"/>
  <c r="AX475" i="13"/>
  <c r="H501" i="13"/>
  <c r="BC374" i="13"/>
  <c r="X207" i="13"/>
  <c r="BH160" i="13"/>
  <c r="AU224" i="13"/>
  <c r="E412" i="13"/>
  <c r="BA419" i="13"/>
  <c r="AL156" i="13"/>
  <c r="E295" i="13"/>
  <c r="BE330" i="13"/>
  <c r="W229" i="13"/>
  <c r="AP354" i="13"/>
  <c r="AL328" i="13"/>
  <c r="BK500" i="13"/>
  <c r="J75" i="13"/>
  <c r="AI198" i="13"/>
  <c r="L133" i="13"/>
  <c r="J224" i="13"/>
  <c r="BW75" i="13"/>
  <c r="BA175" i="13"/>
  <c r="AS82" i="13"/>
  <c r="AA349" i="13"/>
  <c r="BQ323" i="13"/>
  <c r="AC274" i="13"/>
  <c r="X376" i="13"/>
  <c r="AG115" i="13"/>
  <c r="L136" i="13"/>
  <c r="N307" i="13"/>
  <c r="BB74" i="13"/>
  <c r="BQ181" i="13"/>
  <c r="AC167" i="13"/>
  <c r="Q71" i="13"/>
  <c r="BH39" i="13"/>
  <c r="AB491" i="13"/>
  <c r="AZ277" i="13"/>
  <c r="AA396" i="13"/>
  <c r="AE458" i="13"/>
  <c r="AB299" i="13"/>
  <c r="AD330" i="13"/>
  <c r="O471" i="13"/>
  <c r="AK189" i="13"/>
  <c r="AH181" i="13"/>
  <c r="BI375" i="13"/>
  <c r="AZ148" i="13"/>
  <c r="BP392" i="13"/>
  <c r="AL481" i="13"/>
  <c r="AF171" i="13"/>
  <c r="M216" i="13"/>
  <c r="BL346" i="13"/>
  <c r="A64" i="13"/>
  <c r="BD501" i="13"/>
  <c r="BB6" i="13"/>
  <c r="E337" i="13"/>
  <c r="AO373" i="13"/>
  <c r="AG159" i="13"/>
  <c r="C328" i="13"/>
  <c r="K43" i="13"/>
  <c r="BF20" i="13"/>
  <c r="AQ453" i="13"/>
  <c r="AD437" i="13"/>
  <c r="BG465" i="13"/>
  <c r="BA430" i="13"/>
  <c r="BU47" i="13"/>
  <c r="AW240" i="13"/>
  <c r="Y84" i="13"/>
  <c r="J213" i="13"/>
  <c r="C254" i="13"/>
  <c r="L258" i="13"/>
  <c r="BR234" i="13"/>
  <c r="AY474" i="13"/>
  <c r="BC173" i="13"/>
  <c r="F489" i="13"/>
  <c r="U86" i="13"/>
  <c r="BU110" i="13"/>
  <c r="BU456" i="13"/>
  <c r="B408" i="13"/>
  <c r="BG159" i="13"/>
  <c r="J179" i="13"/>
  <c r="BE86" i="13"/>
  <c r="AJ197" i="13"/>
  <c r="AH219" i="13"/>
  <c r="AY71" i="13"/>
  <c r="B75" i="13"/>
  <c r="Q83" i="13"/>
  <c r="T73" i="13"/>
  <c r="Y106" i="13"/>
  <c r="AS70" i="13"/>
  <c r="BG309" i="13"/>
  <c r="AH70" i="13"/>
  <c r="BD288" i="13"/>
  <c r="E183" i="13"/>
  <c r="AE165" i="13"/>
  <c r="BV410" i="13"/>
  <c r="BS135" i="13"/>
  <c r="BG105" i="13"/>
  <c r="M67" i="13"/>
  <c r="AJ274" i="13"/>
  <c r="A7" i="13"/>
  <c r="V221" i="13"/>
  <c r="AY407" i="13"/>
  <c r="BH151" i="13"/>
  <c r="AE476" i="13"/>
  <c r="AS422" i="13"/>
  <c r="AR389" i="13"/>
  <c r="BA428" i="13"/>
  <c r="BF239" i="13"/>
  <c r="W440" i="13"/>
  <c r="BH199" i="13"/>
  <c r="BR38" i="13"/>
  <c r="BG119" i="13"/>
  <c r="D293" i="13"/>
  <c r="H16" i="13"/>
  <c r="AG98" i="13"/>
  <c r="I379" i="13"/>
  <c r="AM127" i="13"/>
  <c r="E334" i="13"/>
  <c r="G401" i="13"/>
  <c r="BH317" i="13"/>
  <c r="S446" i="13"/>
  <c r="D90" i="13"/>
  <c r="T154" i="13"/>
  <c r="C58" i="13"/>
  <c r="BW252" i="13"/>
  <c r="AQ384" i="13"/>
  <c r="BO59" i="13"/>
  <c r="BK257" i="13"/>
  <c r="AJ278" i="13"/>
  <c r="BW51" i="13"/>
  <c r="AV452" i="13"/>
  <c r="Q242" i="13"/>
  <c r="BE108" i="13"/>
  <c r="BJ228" i="13"/>
  <c r="C265" i="13"/>
  <c r="W374" i="13"/>
  <c r="BM4" i="13"/>
  <c r="AB243" i="13"/>
  <c r="AN68" i="13"/>
  <c r="AE138" i="13"/>
  <c r="W81" i="13"/>
  <c r="H283" i="13"/>
  <c r="BN197" i="13"/>
  <c r="BW94" i="13"/>
  <c r="BM21" i="13"/>
  <c r="AQ473" i="13"/>
  <c r="T88" i="13"/>
  <c r="AH44" i="13"/>
  <c r="BM466" i="13"/>
  <c r="AI4" i="13"/>
  <c r="W318" i="13"/>
  <c r="BT170" i="13"/>
  <c r="AB192" i="13"/>
  <c r="AX363" i="13"/>
  <c r="AT461" i="13"/>
  <c r="AR173" i="13"/>
  <c r="AI133" i="13"/>
  <c r="BK222" i="13"/>
  <c r="BB500" i="13"/>
  <c r="AO279" i="13"/>
  <c r="X103" i="13"/>
  <c r="AR42" i="13"/>
  <c r="BK306" i="13"/>
  <c r="H116" i="13"/>
  <c r="N51" i="13"/>
  <c r="AZ268" i="13"/>
  <c r="BV262" i="13"/>
  <c r="BN444" i="13"/>
  <c r="AS173" i="13"/>
  <c r="Y310" i="13"/>
  <c r="AE118" i="13"/>
  <c r="AO458" i="13"/>
  <c r="AK131" i="13"/>
  <c r="AT471" i="13"/>
  <c r="AT490" i="13"/>
  <c r="O156" i="13"/>
  <c r="BO271" i="13"/>
  <c r="AK147" i="13"/>
  <c r="BA198" i="13"/>
  <c r="AH479" i="13"/>
  <c r="AO244" i="13"/>
  <c r="BD141" i="13"/>
  <c r="BI325" i="13"/>
  <c r="O354" i="13"/>
  <c r="U20" i="13"/>
  <c r="BN396" i="13"/>
  <c r="U399" i="13"/>
  <c r="AQ350" i="13"/>
  <c r="BF349" i="13"/>
  <c r="B251" i="13"/>
  <c r="BH152" i="13"/>
  <c r="BF156" i="13"/>
  <c r="AE148" i="13"/>
  <c r="AB351" i="13"/>
  <c r="E222" i="13"/>
  <c r="AH21" i="13"/>
  <c r="A499" i="13"/>
  <c r="AZ198" i="13"/>
  <c r="BG118" i="13"/>
  <c r="BT208" i="13"/>
  <c r="R358" i="13"/>
  <c r="AW310" i="13"/>
  <c r="Q267" i="13"/>
  <c r="BC38" i="13"/>
  <c r="BQ30" i="13"/>
  <c r="AR492" i="13"/>
  <c r="AZ454" i="13"/>
  <c r="I53" i="13"/>
  <c r="J150" i="13"/>
  <c r="BJ195" i="13"/>
  <c r="BR450" i="13"/>
  <c r="BA13" i="13"/>
  <c r="BI449" i="13"/>
  <c r="BO97" i="13"/>
  <c r="AT24" i="13"/>
  <c r="X71" i="13"/>
  <c r="AN220" i="13"/>
  <c r="BW63" i="13"/>
  <c r="AY142" i="13"/>
  <c r="BW410" i="13"/>
  <c r="AB464" i="13"/>
  <c r="E393" i="13"/>
  <c r="AS415" i="13"/>
  <c r="AY48" i="13"/>
  <c r="AG1" i="13"/>
  <c r="BG450" i="13"/>
  <c r="F46" i="13"/>
  <c r="BK423" i="13"/>
  <c r="A126" i="13"/>
  <c r="AU344" i="13"/>
  <c r="AU379" i="13"/>
  <c r="T42" i="13"/>
  <c r="AT293" i="13"/>
  <c r="AR400" i="13"/>
  <c r="AA170" i="13"/>
  <c r="BR55" i="13"/>
  <c r="AT492" i="13"/>
  <c r="AQ80" i="13"/>
  <c r="BL16" i="13"/>
  <c r="B74" i="13"/>
  <c r="A372" i="13"/>
  <c r="AX492" i="13"/>
  <c r="BU95" i="13"/>
  <c r="F422" i="13"/>
  <c r="AL4" i="13"/>
  <c r="W216" i="13"/>
  <c r="AY311" i="13"/>
  <c r="G186" i="13"/>
  <c r="AH72" i="13"/>
  <c r="BC289" i="13"/>
  <c r="AJ21" i="13"/>
  <c r="B402" i="13"/>
  <c r="BP101" i="13"/>
  <c r="Y135" i="13"/>
  <c r="L103" i="13"/>
  <c r="AZ167" i="13"/>
  <c r="Z266" i="13"/>
  <c r="AG154" i="13"/>
  <c r="AG114" i="13"/>
  <c r="O375" i="13"/>
  <c r="BU306" i="13"/>
  <c r="BV306" i="13"/>
  <c r="BP308" i="13"/>
  <c r="AP191" i="13"/>
  <c r="AB455" i="13"/>
  <c r="BT198" i="13"/>
  <c r="BQ132" i="13"/>
  <c r="O25" i="13"/>
  <c r="AO342" i="13"/>
  <c r="AA344" i="13"/>
  <c r="BD494" i="13"/>
  <c r="AJ468" i="13"/>
  <c r="BP57" i="13"/>
  <c r="BV475" i="13"/>
  <c r="AM350" i="13"/>
  <c r="Z87" i="13"/>
  <c r="J200" i="13"/>
  <c r="K151" i="13"/>
  <c r="BV134" i="13"/>
  <c r="BP421" i="13"/>
  <c r="X258" i="13"/>
  <c r="AV448" i="13"/>
  <c r="X150" i="13"/>
  <c r="BF435" i="13"/>
  <c r="J13" i="13"/>
  <c r="AO309" i="13"/>
  <c r="AI177" i="13"/>
  <c r="AN260" i="13"/>
  <c r="AC433" i="13"/>
  <c r="Z150" i="13"/>
  <c r="D456" i="13"/>
  <c r="BC403" i="13"/>
  <c r="Z261" i="13"/>
  <c r="AR226" i="13"/>
  <c r="BT81" i="13"/>
  <c r="AO499" i="13"/>
  <c r="S27" i="13"/>
  <c r="D445" i="13"/>
  <c r="AK118" i="13"/>
  <c r="BS119" i="13"/>
  <c r="H142" i="13"/>
  <c r="AY19" i="13"/>
  <c r="N101" i="13"/>
  <c r="BA90" i="13"/>
  <c r="BA96" i="13"/>
  <c r="B339" i="13"/>
  <c r="BT9" i="13"/>
  <c r="AN414" i="13"/>
  <c r="AD81" i="13"/>
  <c r="BM94" i="13"/>
  <c r="H89" i="13"/>
  <c r="C75" i="13"/>
  <c r="C217" i="13"/>
  <c r="AD154" i="13"/>
  <c r="BB291" i="13"/>
  <c r="BE80" i="13"/>
  <c r="AR331" i="13"/>
  <c r="AC266" i="13"/>
  <c r="X30" i="13"/>
  <c r="L366" i="13"/>
  <c r="J246" i="13"/>
  <c r="BS32" i="13"/>
  <c r="Y276" i="13"/>
  <c r="AF9" i="13"/>
  <c r="AQ421" i="13"/>
  <c r="S9" i="13"/>
  <c r="BD276" i="13"/>
  <c r="A373" i="13"/>
  <c r="BJ339" i="13"/>
  <c r="BU215" i="13"/>
  <c r="Y92" i="13"/>
  <c r="C28" i="13"/>
  <c r="F469" i="13"/>
  <c r="BW339" i="13"/>
  <c r="Y220" i="13"/>
  <c r="AO490" i="13"/>
  <c r="AP467" i="13"/>
  <c r="AF287" i="13"/>
  <c r="G437" i="13"/>
  <c r="BE88" i="13"/>
  <c r="AZ46" i="13"/>
  <c r="S330" i="13"/>
  <c r="D126" i="13"/>
  <c r="BC473" i="13"/>
  <c r="BG40" i="13"/>
  <c r="Y323" i="13"/>
  <c r="AA496" i="13"/>
  <c r="AU300" i="13"/>
  <c r="Q56" i="13"/>
  <c r="BO56" i="13"/>
  <c r="H225" i="13"/>
  <c r="BM133" i="13"/>
  <c r="S396" i="13"/>
  <c r="C270" i="13"/>
  <c r="X329" i="13"/>
  <c r="BW362" i="13"/>
  <c r="BB128" i="13"/>
  <c r="F99" i="13"/>
  <c r="O491" i="13"/>
  <c r="BV233" i="13"/>
  <c r="BN79" i="13"/>
  <c r="D483" i="13"/>
  <c r="V381" i="13"/>
  <c r="N340" i="13"/>
  <c r="BS92" i="13"/>
  <c r="BJ248" i="13"/>
  <c r="BM91" i="13"/>
  <c r="F333" i="13"/>
  <c r="M353" i="13"/>
  <c r="BM108" i="13"/>
  <c r="BD292" i="13"/>
  <c r="B326" i="13"/>
  <c r="AS258" i="13"/>
  <c r="AX378" i="13"/>
  <c r="O492" i="13"/>
  <c r="BS471" i="13"/>
  <c r="AB367" i="13"/>
  <c r="T107" i="13"/>
  <c r="BK26" i="13"/>
  <c r="D415" i="13"/>
  <c r="U360" i="13"/>
  <c r="AQ311" i="13"/>
  <c r="AR257" i="13"/>
  <c r="AK166" i="13"/>
  <c r="AZ144" i="13"/>
  <c r="BD412" i="13"/>
  <c r="W223" i="13"/>
  <c r="AT353" i="13"/>
  <c r="BD19" i="13"/>
  <c r="BD472" i="13"/>
  <c r="B92" i="13"/>
  <c r="BA158" i="13"/>
  <c r="BG243" i="13"/>
  <c r="AY452" i="13"/>
  <c r="AL300" i="13"/>
  <c r="P369" i="13"/>
  <c r="G252" i="13"/>
  <c r="AS413" i="13"/>
  <c r="AH227" i="13"/>
  <c r="BI357" i="13"/>
  <c r="AK233" i="13"/>
  <c r="AU274" i="13"/>
  <c r="Y226" i="13"/>
  <c r="BQ142" i="13"/>
  <c r="J7" i="13"/>
  <c r="M211" i="13"/>
  <c r="BA196" i="13"/>
  <c r="W45" i="13"/>
  <c r="X121" i="13"/>
  <c r="AA355" i="13"/>
  <c r="AX176" i="13"/>
  <c r="AV354" i="13"/>
  <c r="BK338" i="13"/>
  <c r="AG50" i="13"/>
  <c r="AP373" i="13"/>
  <c r="L44" i="13"/>
  <c r="K401" i="13"/>
  <c r="O406" i="13"/>
  <c r="B37" i="13"/>
  <c r="BB52" i="13"/>
  <c r="X311" i="13"/>
  <c r="AG172" i="13"/>
  <c r="Q38" i="13"/>
  <c r="AC114" i="13"/>
  <c r="AB266" i="13"/>
  <c r="AQ98" i="13"/>
  <c r="AT325" i="13"/>
  <c r="BK63" i="13"/>
  <c r="K15" i="13"/>
  <c r="AU295" i="13"/>
  <c r="BN308" i="13"/>
  <c r="X302" i="13"/>
  <c r="AL44" i="13"/>
  <c r="P179" i="13"/>
  <c r="AT38" i="13"/>
  <c r="BW370" i="13"/>
  <c r="AX204" i="13"/>
  <c r="AH128" i="13"/>
  <c r="AD232" i="13"/>
  <c r="BO451" i="13"/>
  <c r="BM481" i="13"/>
  <c r="AK498" i="13"/>
  <c r="G464" i="13"/>
  <c r="BF137" i="13"/>
  <c r="BB186" i="13"/>
  <c r="P278" i="13"/>
  <c r="Y489" i="13"/>
  <c r="AJ48" i="13"/>
  <c r="K356" i="13"/>
  <c r="BQ111" i="13"/>
  <c r="AI44" i="13"/>
  <c r="AQ326" i="13"/>
  <c r="AS204" i="13"/>
  <c r="BJ19" i="13"/>
  <c r="BE152" i="13"/>
  <c r="BN99" i="13"/>
  <c r="I497" i="13"/>
  <c r="AW117" i="13"/>
  <c r="BI268" i="13"/>
  <c r="BQ129" i="13"/>
  <c r="BU138" i="13"/>
  <c r="AJ190" i="13"/>
  <c r="AY493" i="13"/>
  <c r="BB239" i="13"/>
  <c r="AY408" i="13"/>
  <c r="BK405" i="13"/>
  <c r="K134" i="13"/>
  <c r="BL75" i="13"/>
  <c r="BC338" i="13"/>
  <c r="AC446" i="13"/>
  <c r="D381" i="13"/>
  <c r="AX328" i="13"/>
  <c r="D429" i="13"/>
  <c r="AI396" i="13"/>
  <c r="AY99" i="13"/>
  <c r="AW59" i="13"/>
  <c r="E200" i="13"/>
  <c r="R81" i="13"/>
  <c r="Y209" i="13"/>
  <c r="BD453" i="13"/>
  <c r="BH86" i="13"/>
  <c r="AF351" i="13"/>
  <c r="E60" i="13"/>
  <c r="S189" i="13"/>
  <c r="AO10" i="13"/>
  <c r="H202" i="13"/>
  <c r="AU180" i="13"/>
  <c r="AH94" i="13"/>
  <c r="AL34" i="13"/>
  <c r="Q273" i="13"/>
  <c r="E331" i="13"/>
  <c r="AK350" i="13"/>
  <c r="T434" i="13"/>
  <c r="BH122" i="13"/>
  <c r="AV490" i="13"/>
  <c r="V423" i="13"/>
  <c r="AO323" i="13"/>
  <c r="BN8" i="13"/>
  <c r="F374" i="13"/>
  <c r="AX479" i="13"/>
  <c r="E384" i="13"/>
  <c r="Q125" i="13"/>
  <c r="AY393" i="13"/>
  <c r="T270" i="13"/>
  <c r="AZ263" i="13"/>
  <c r="B68" i="13"/>
  <c r="AU225" i="13"/>
  <c r="O327" i="13"/>
  <c r="T55" i="13"/>
  <c r="H320" i="13"/>
  <c r="BP196" i="13"/>
  <c r="BJ307" i="13"/>
  <c r="E419" i="13"/>
  <c r="AP122" i="13"/>
  <c r="T404" i="13"/>
  <c r="X233" i="13"/>
  <c r="BW436" i="13"/>
  <c r="A389" i="13"/>
  <c r="I141" i="13"/>
  <c r="BB282" i="13"/>
  <c r="E207" i="13"/>
  <c r="C386" i="13"/>
  <c r="AT244" i="13"/>
  <c r="K6" i="13"/>
  <c r="D198" i="13"/>
  <c r="BS140" i="13"/>
  <c r="R150" i="13"/>
  <c r="AM28" i="13"/>
  <c r="M230" i="13"/>
  <c r="AL40" i="13"/>
  <c r="AW396" i="13"/>
  <c r="Z302" i="13"/>
  <c r="AH114" i="13"/>
  <c r="BQ130" i="13"/>
  <c r="Q163" i="13"/>
  <c r="BS273" i="13"/>
  <c r="U272" i="13"/>
  <c r="AU405" i="13"/>
  <c r="BF378" i="13"/>
  <c r="AV128" i="13"/>
  <c r="X450" i="13"/>
  <c r="V290" i="13"/>
  <c r="BE178" i="13"/>
  <c r="AF342" i="13"/>
  <c r="BW57" i="13"/>
  <c r="AN321" i="13"/>
  <c r="Z215" i="13"/>
  <c r="AP237" i="13"/>
  <c r="AW172" i="13"/>
  <c r="Q244" i="13"/>
  <c r="AX259" i="13"/>
  <c r="C403" i="13"/>
  <c r="BO414" i="13"/>
  <c r="AZ226" i="13"/>
  <c r="AN171" i="13"/>
  <c r="BA83" i="13"/>
  <c r="AN256" i="13"/>
  <c r="K65" i="13"/>
  <c r="Z148" i="13"/>
  <c r="N76" i="13"/>
  <c r="AM197" i="13"/>
  <c r="BC249" i="13"/>
  <c r="A311" i="13"/>
  <c r="BV417" i="13"/>
  <c r="BB272" i="13"/>
  <c r="AP286" i="13"/>
  <c r="BD403" i="13"/>
  <c r="M49" i="13"/>
  <c r="E27" i="13"/>
  <c r="AT302" i="13"/>
  <c r="BF136" i="13"/>
  <c r="J328" i="13"/>
  <c r="BQ32" i="13"/>
  <c r="T145" i="13"/>
  <c r="BH429" i="13"/>
  <c r="L65" i="13"/>
  <c r="AH49" i="13"/>
  <c r="J314" i="13"/>
  <c r="AN462" i="13"/>
  <c r="B487" i="13"/>
  <c r="AG282" i="13"/>
  <c r="V299" i="13"/>
  <c r="AK301" i="13"/>
  <c r="BQ49" i="13"/>
  <c r="BG100" i="13"/>
  <c r="BT468" i="13"/>
  <c r="D64" i="13"/>
  <c r="AX250" i="13"/>
  <c r="AB442" i="13"/>
  <c r="AX4" i="13"/>
  <c r="AH273" i="13"/>
  <c r="AN85" i="13"/>
  <c r="AW162" i="13"/>
  <c r="AI442" i="13"/>
  <c r="AF443" i="13"/>
  <c r="AS112" i="13"/>
  <c r="P325" i="13"/>
  <c r="D453" i="13"/>
  <c r="BJ40" i="13"/>
  <c r="AF54" i="13"/>
  <c r="L411" i="13"/>
  <c r="U173" i="13"/>
  <c r="BI456" i="13"/>
  <c r="BT12" i="13"/>
  <c r="BA330" i="13"/>
  <c r="BF501" i="13"/>
  <c r="BQ155" i="13"/>
  <c r="AF487" i="13"/>
  <c r="AE304" i="13"/>
  <c r="BL460" i="13"/>
  <c r="N215" i="13"/>
  <c r="AD426" i="13"/>
  <c r="AJ9" i="13"/>
  <c r="Q85" i="13"/>
  <c r="R494" i="13"/>
  <c r="AN485" i="13"/>
  <c r="M281" i="13"/>
  <c r="BT282" i="13"/>
  <c r="AR266" i="13"/>
  <c r="AM67" i="13"/>
  <c r="T230" i="13"/>
  <c r="BJ118" i="13"/>
  <c r="BV187" i="13"/>
  <c r="S198" i="13"/>
  <c r="BQ501" i="13"/>
  <c r="BS178" i="13"/>
  <c r="BI103" i="13"/>
  <c r="L135" i="13"/>
  <c r="P282" i="13"/>
  <c r="AQ53" i="13"/>
  <c r="AS392" i="13"/>
  <c r="BW350" i="13"/>
  <c r="U323" i="13"/>
  <c r="BI231" i="13"/>
  <c r="Q436" i="13"/>
  <c r="AD90" i="13"/>
  <c r="BH52" i="13"/>
  <c r="AM104" i="13"/>
  <c r="AH71" i="13"/>
  <c r="U455" i="13"/>
  <c r="BQ69" i="13"/>
  <c r="R300" i="13"/>
  <c r="BO83" i="13"/>
  <c r="AQ305" i="13"/>
  <c r="BJ60" i="13"/>
  <c r="K164" i="13"/>
  <c r="AP336" i="13"/>
  <c r="BQ359" i="13"/>
  <c r="BD133" i="13"/>
  <c r="Z434" i="13"/>
  <c r="BF167" i="13"/>
  <c r="BO477" i="13"/>
  <c r="BL86" i="13"/>
  <c r="BK228" i="13"/>
  <c r="AT327" i="13"/>
  <c r="BQ57" i="13"/>
  <c r="R187" i="13"/>
  <c r="BW91" i="13"/>
  <c r="BN300" i="13"/>
  <c r="BO184" i="13"/>
  <c r="AZ91" i="13"/>
  <c r="Q26" i="13"/>
  <c r="M255" i="13"/>
  <c r="BB494" i="13"/>
  <c r="V311" i="13"/>
  <c r="P445" i="13"/>
  <c r="AI82" i="13"/>
  <c r="M347" i="13"/>
  <c r="AX3" i="13"/>
  <c r="AA492" i="13"/>
  <c r="W197" i="13"/>
  <c r="AN131" i="13"/>
  <c r="AR234" i="13"/>
  <c r="I164" i="13"/>
  <c r="BA300" i="13"/>
  <c r="BW38" i="13"/>
  <c r="BB37" i="13"/>
  <c r="D100" i="13"/>
  <c r="BW399" i="13"/>
  <c r="N231" i="13"/>
  <c r="BB130" i="13"/>
  <c r="V329" i="13"/>
  <c r="AL320" i="13"/>
  <c r="AV444" i="13"/>
  <c r="O241" i="13"/>
  <c r="H127" i="13"/>
  <c r="AV110" i="13"/>
  <c r="AZ321" i="13"/>
  <c r="BQ301" i="13"/>
  <c r="B211" i="13"/>
  <c r="G218" i="13"/>
  <c r="BI470" i="13"/>
  <c r="Y451" i="13"/>
  <c r="AE5" i="13"/>
  <c r="BO229" i="13"/>
  <c r="Y494" i="13"/>
  <c r="AJ267" i="13"/>
  <c r="AB106" i="13"/>
  <c r="S44" i="13"/>
  <c r="AZ370" i="13"/>
  <c r="W289" i="13"/>
  <c r="AJ348" i="13"/>
  <c r="P307" i="13"/>
  <c r="AG189" i="13"/>
  <c r="BG449" i="13"/>
  <c r="G300" i="13"/>
  <c r="AJ450" i="13"/>
  <c r="AD147" i="13"/>
  <c r="AC50" i="13"/>
  <c r="BE402" i="13"/>
  <c r="I161" i="13"/>
  <c r="C480" i="13"/>
  <c r="BH432" i="13"/>
  <c r="U225" i="13"/>
  <c r="U264" i="13"/>
  <c r="AK196" i="13"/>
  <c r="AI60" i="13"/>
  <c r="AW458" i="13"/>
  <c r="BT374" i="13"/>
  <c r="BA318" i="13"/>
  <c r="AF376" i="13"/>
  <c r="F198" i="13"/>
  <c r="AA285" i="13"/>
  <c r="BK490" i="13"/>
  <c r="A395" i="13"/>
  <c r="B303" i="13"/>
  <c r="BD286" i="13"/>
  <c r="K393" i="13"/>
  <c r="AA256" i="13"/>
  <c r="Z209" i="13"/>
  <c r="AL36" i="13"/>
  <c r="AD163" i="13"/>
  <c r="AJ52" i="13"/>
  <c r="X209" i="13"/>
  <c r="BU315" i="13"/>
  <c r="BV322" i="13"/>
  <c r="AE281" i="13"/>
  <c r="V82" i="13"/>
  <c r="BN306" i="13"/>
  <c r="AB94" i="13"/>
  <c r="F144" i="13"/>
  <c r="H413" i="13"/>
  <c r="AV300" i="13"/>
  <c r="AM365" i="13"/>
  <c r="I294" i="13"/>
  <c r="AW483" i="13"/>
  <c r="BL51" i="13"/>
  <c r="T152" i="13"/>
  <c r="BW148" i="13"/>
  <c r="AV478" i="13"/>
  <c r="AN309" i="13"/>
  <c r="AF364" i="13"/>
  <c r="AD494" i="13"/>
  <c r="BW430" i="13"/>
  <c r="J362" i="13"/>
  <c r="AL274" i="13"/>
  <c r="N490" i="13"/>
  <c r="G474" i="13"/>
  <c r="BW349" i="13"/>
  <c r="AL89" i="13"/>
  <c r="BK386" i="13"/>
  <c r="O265" i="13"/>
  <c r="M34" i="13"/>
  <c r="AF455" i="13"/>
  <c r="O351" i="13"/>
  <c r="O322" i="13"/>
  <c r="BM372" i="13"/>
  <c r="AQ487" i="13"/>
  <c r="AB484" i="13"/>
  <c r="BB108" i="13"/>
  <c r="T78" i="13"/>
  <c r="AE261" i="13"/>
  <c r="J468" i="13"/>
  <c r="W204" i="13"/>
  <c r="S2" i="13"/>
  <c r="BJ85" i="13"/>
  <c r="AS270" i="13"/>
  <c r="AN401" i="13"/>
  <c r="AP115" i="13"/>
  <c r="I485" i="13"/>
  <c r="D276" i="13"/>
  <c r="AW324" i="13"/>
  <c r="AA204" i="13"/>
  <c r="AX420" i="13"/>
  <c r="AS122" i="13"/>
  <c r="T307" i="13"/>
  <c r="AX476" i="13"/>
  <c r="J143" i="13"/>
  <c r="E71" i="13"/>
  <c r="W193" i="13"/>
  <c r="AC283" i="13"/>
  <c r="BP334" i="13"/>
  <c r="BO225" i="13"/>
  <c r="M481" i="13"/>
  <c r="BM22" i="13"/>
  <c r="AH134" i="13"/>
  <c r="AK435" i="13"/>
  <c r="T168" i="13"/>
  <c r="AJ67" i="13"/>
  <c r="Z232" i="13"/>
  <c r="BV404" i="13"/>
  <c r="BG256" i="13"/>
  <c r="K333" i="13"/>
  <c r="W116" i="13"/>
  <c r="AZ266" i="13"/>
  <c r="B119" i="13"/>
  <c r="B60" i="13"/>
  <c r="V15" i="13"/>
  <c r="P375" i="13"/>
  <c r="AJ100" i="13"/>
  <c r="AN491" i="13"/>
  <c r="I13" i="13"/>
  <c r="BD388" i="13"/>
  <c r="BW32" i="13"/>
  <c r="AU312" i="13"/>
  <c r="AO115" i="13"/>
  <c r="BS209" i="13"/>
  <c r="BA275" i="13"/>
  <c r="J195" i="13"/>
  <c r="AF162" i="13"/>
  <c r="BO319" i="13"/>
  <c r="BO374" i="13"/>
  <c r="M153" i="13"/>
  <c r="U249" i="13"/>
  <c r="AG34" i="13"/>
  <c r="BL350" i="13"/>
  <c r="L410" i="13"/>
  <c r="AH136" i="13"/>
  <c r="K457" i="13"/>
  <c r="BU382" i="13"/>
  <c r="BI130" i="13"/>
  <c r="AM369" i="13"/>
  <c r="AW242" i="13"/>
  <c r="BA190" i="13"/>
  <c r="AH276" i="13"/>
  <c r="BR7" i="13"/>
  <c r="T263" i="13"/>
  <c r="V174" i="13"/>
  <c r="AL373" i="13"/>
  <c r="BF286" i="13"/>
  <c r="AB264" i="13"/>
  <c r="AP374" i="13"/>
  <c r="U24" i="13"/>
  <c r="BC47" i="13"/>
  <c r="AE193" i="13"/>
  <c r="BH202" i="13"/>
  <c r="BK485" i="13"/>
  <c r="BW181" i="13"/>
  <c r="BD99" i="13"/>
  <c r="AR466" i="13"/>
  <c r="BH84" i="13"/>
  <c r="Z446" i="13"/>
  <c r="AT99" i="13"/>
  <c r="I30" i="13"/>
  <c r="BR232" i="13"/>
  <c r="AA116" i="13"/>
  <c r="I262" i="13"/>
  <c r="O200" i="13"/>
  <c r="AP270" i="13"/>
  <c r="BB294" i="13"/>
  <c r="T167" i="13"/>
  <c r="AA52" i="13"/>
  <c r="B452" i="13"/>
  <c r="BU80" i="13"/>
  <c r="AQ176" i="13"/>
  <c r="AP304" i="13"/>
  <c r="AE496" i="13"/>
  <c r="M329" i="13"/>
  <c r="M484" i="13"/>
  <c r="BH154" i="13"/>
  <c r="BL319" i="13"/>
  <c r="BH471" i="13"/>
  <c r="BC106" i="13"/>
  <c r="V79" i="13"/>
  <c r="AE63" i="13"/>
  <c r="AI164" i="13"/>
  <c r="AJ63" i="13"/>
  <c r="V383" i="13"/>
  <c r="I136" i="13"/>
  <c r="F103" i="13"/>
  <c r="N56" i="13"/>
  <c r="BS386" i="13"/>
  <c r="Q385" i="13"/>
  <c r="AH202" i="13"/>
  <c r="R414" i="13"/>
  <c r="R236" i="13"/>
  <c r="BK79" i="13"/>
  <c r="G113" i="13"/>
  <c r="BR427" i="13"/>
  <c r="B63" i="13"/>
  <c r="G33" i="13"/>
  <c r="V402" i="13"/>
  <c r="AA192" i="13"/>
  <c r="BK385" i="13"/>
  <c r="BD22" i="13"/>
  <c r="E48" i="13"/>
  <c r="BB191" i="13"/>
  <c r="N134" i="13"/>
  <c r="AH420" i="13"/>
  <c r="BA324" i="13"/>
  <c r="BO286" i="13"/>
  <c r="BJ343" i="13"/>
  <c r="BI299" i="13"/>
  <c r="BR292" i="13"/>
  <c r="BQ296" i="13"/>
  <c r="AD333" i="13"/>
  <c r="S278" i="13"/>
  <c r="X261" i="13"/>
  <c r="C166" i="13"/>
  <c r="AO480" i="13"/>
  <c r="BE231" i="13"/>
  <c r="O316" i="13"/>
  <c r="E220" i="13"/>
  <c r="AF173" i="13"/>
  <c r="AL250" i="13"/>
  <c r="G229" i="13"/>
  <c r="AB9" i="13"/>
  <c r="BB164" i="13"/>
  <c r="BQ66" i="13"/>
  <c r="AU29" i="13"/>
  <c r="AA251" i="13"/>
  <c r="AC378" i="13"/>
  <c r="BS400" i="13"/>
  <c r="BL161" i="13"/>
  <c r="P3" i="13"/>
  <c r="BT61" i="13"/>
  <c r="BD420" i="13"/>
  <c r="BO73" i="13"/>
  <c r="AG86" i="13"/>
  <c r="U90" i="13"/>
  <c r="AO137" i="13"/>
  <c r="BF228" i="13"/>
  <c r="AS343" i="13"/>
  <c r="AR183" i="13"/>
  <c r="AF456" i="13"/>
  <c r="V280" i="13"/>
  <c r="L407" i="13"/>
  <c r="S248" i="13"/>
  <c r="W398" i="13"/>
  <c r="G405" i="13"/>
  <c r="BL441" i="13"/>
  <c r="AY232" i="13"/>
  <c r="AV363" i="13"/>
  <c r="AA82" i="13"/>
  <c r="AE329" i="13"/>
  <c r="AC394" i="13"/>
  <c r="S346" i="13"/>
  <c r="P110" i="13"/>
  <c r="AB276" i="13"/>
  <c r="AY160" i="13"/>
  <c r="AO72" i="13"/>
  <c r="AX245" i="13"/>
  <c r="AQ353" i="13"/>
  <c r="BK28" i="13"/>
  <c r="C113" i="13"/>
  <c r="AR182" i="13"/>
  <c r="AQ423" i="13"/>
  <c r="S114" i="13"/>
  <c r="Q40" i="13"/>
  <c r="Z421" i="13"/>
  <c r="M48" i="13"/>
  <c r="V500" i="13"/>
  <c r="BO222" i="13"/>
  <c r="AZ117" i="13"/>
  <c r="N233" i="13"/>
  <c r="BU394" i="13"/>
  <c r="G337" i="13"/>
  <c r="AC6" i="13"/>
  <c r="BH235" i="13"/>
  <c r="F202" i="13"/>
  <c r="I322" i="13"/>
  <c r="Q190" i="13"/>
  <c r="AN313" i="13"/>
  <c r="O30" i="13"/>
  <c r="B309" i="13"/>
  <c r="R347" i="13"/>
  <c r="B34" i="13"/>
  <c r="Y119" i="13"/>
  <c r="AH251" i="13"/>
  <c r="S33" i="13"/>
  <c r="BU142" i="13"/>
  <c r="AF379" i="13"/>
  <c r="AD66" i="13"/>
  <c r="AA47" i="13"/>
  <c r="AF97" i="13"/>
  <c r="AI22" i="13"/>
  <c r="BP120" i="13"/>
  <c r="J154" i="13"/>
  <c r="N84" i="13"/>
  <c r="Q194" i="13"/>
  <c r="D306" i="13"/>
  <c r="M407" i="13"/>
  <c r="H59" i="13"/>
  <c r="AS23" i="13"/>
  <c r="AM285" i="13"/>
  <c r="AG400" i="13"/>
  <c r="T374" i="13"/>
  <c r="BS159" i="13"/>
  <c r="BO143" i="13"/>
  <c r="AF74" i="13"/>
  <c r="K133" i="13"/>
  <c r="M235" i="13"/>
  <c r="AR471" i="13"/>
  <c r="AW13" i="13"/>
  <c r="AE372" i="13"/>
  <c r="M357" i="13"/>
  <c r="V296" i="13"/>
  <c r="BA312" i="13"/>
  <c r="K103" i="13"/>
  <c r="W457" i="13"/>
  <c r="U394" i="13"/>
  <c r="AS184" i="13"/>
  <c r="BG66" i="13"/>
  <c r="X312" i="13"/>
  <c r="T82" i="13"/>
  <c r="AL67" i="13"/>
  <c r="AO57" i="13"/>
  <c r="AH232" i="13"/>
  <c r="AC402" i="13"/>
  <c r="BE170" i="13"/>
  <c r="H180" i="13"/>
  <c r="BI72" i="13"/>
  <c r="BP157" i="13"/>
  <c r="BS8" i="13"/>
  <c r="P320" i="13"/>
  <c r="AU297" i="13"/>
  <c r="R78" i="13"/>
  <c r="BC483" i="13"/>
  <c r="G339" i="13"/>
  <c r="BR263" i="13"/>
  <c r="C93" i="13"/>
  <c r="BA240" i="13"/>
  <c r="AX380" i="13"/>
  <c r="S79" i="13"/>
  <c r="I431" i="13"/>
  <c r="BK105" i="13"/>
  <c r="AC129" i="13"/>
  <c r="AE168" i="13"/>
  <c r="P340" i="13"/>
  <c r="BJ8" i="13"/>
  <c r="W165" i="13"/>
  <c r="S283" i="13"/>
  <c r="AX393" i="13"/>
  <c r="Q236" i="13"/>
  <c r="AI202" i="13"/>
  <c r="BH136" i="13"/>
  <c r="BG291" i="13"/>
  <c r="AP242" i="13"/>
  <c r="BP465" i="13"/>
  <c r="AE203" i="13"/>
  <c r="AL275" i="13"/>
  <c r="AN204" i="13"/>
  <c r="AY72" i="13"/>
  <c r="BD497" i="13"/>
  <c r="B392" i="13"/>
  <c r="AQ93" i="13"/>
  <c r="G57" i="13"/>
  <c r="E75" i="13"/>
  <c r="T301" i="13"/>
  <c r="BL125" i="13"/>
  <c r="R361" i="13"/>
  <c r="BT466" i="13"/>
  <c r="R378" i="13"/>
  <c r="BB147" i="13"/>
  <c r="AC256" i="13"/>
  <c r="Z92" i="13"/>
  <c r="L157" i="13"/>
  <c r="BI31" i="13"/>
  <c r="AI366" i="13"/>
  <c r="AB354" i="13"/>
  <c r="E69" i="13"/>
  <c r="W89" i="13"/>
  <c r="BD128" i="13"/>
  <c r="V327" i="13"/>
  <c r="AX114" i="13"/>
  <c r="N446" i="13"/>
  <c r="AO226" i="13"/>
  <c r="X224" i="13"/>
  <c r="Y230" i="13"/>
  <c r="C387" i="13"/>
  <c r="I199" i="13"/>
  <c r="AS374" i="13"/>
  <c r="A467" i="13"/>
  <c r="AX210" i="13"/>
  <c r="E87" i="13"/>
  <c r="BU361" i="13"/>
  <c r="V7" i="13"/>
  <c r="AB42" i="13"/>
  <c r="BU158" i="13"/>
  <c r="X418" i="13"/>
  <c r="AP81" i="13"/>
  <c r="K136" i="13"/>
  <c r="R186" i="13"/>
  <c r="AE136" i="13"/>
  <c r="AL57" i="13"/>
  <c r="AG335" i="13"/>
  <c r="BM204" i="13"/>
  <c r="BW197" i="13"/>
  <c r="AN211" i="13"/>
  <c r="H238" i="13"/>
  <c r="AV58" i="13"/>
  <c r="BI158" i="13"/>
  <c r="BD170" i="13"/>
  <c r="E433" i="13"/>
  <c r="BF290" i="13"/>
  <c r="BE442" i="13"/>
  <c r="AG218" i="13"/>
  <c r="BS129" i="13"/>
  <c r="L428" i="13"/>
  <c r="AM493" i="13"/>
  <c r="BO111" i="13"/>
  <c r="T43" i="13"/>
  <c r="AU170" i="13"/>
  <c r="BA137" i="13"/>
  <c r="M386" i="13"/>
  <c r="W158" i="13"/>
  <c r="AS407" i="13"/>
  <c r="L262" i="13"/>
  <c r="AL422" i="13"/>
  <c r="BH205" i="13"/>
  <c r="AM486" i="13"/>
  <c r="F375" i="13"/>
  <c r="BT15" i="13"/>
  <c r="U178" i="13"/>
  <c r="AQ314" i="13"/>
  <c r="BF267" i="13"/>
  <c r="AO454" i="13"/>
  <c r="BF374" i="13"/>
  <c r="BA314" i="13"/>
  <c r="BI290" i="13"/>
  <c r="AM68" i="13"/>
  <c r="BU57" i="13"/>
  <c r="BD368" i="13"/>
  <c r="BL377" i="13"/>
  <c r="AS324" i="13"/>
  <c r="BH414" i="13"/>
  <c r="BT202" i="13"/>
  <c r="AV172" i="13"/>
  <c r="AQ248" i="13"/>
  <c r="D488" i="13"/>
  <c r="BS403" i="13"/>
  <c r="R165" i="13"/>
  <c r="N220" i="13"/>
  <c r="AX174" i="13"/>
  <c r="AS72" i="13"/>
  <c r="BD483" i="13"/>
  <c r="V69" i="13"/>
  <c r="AO399" i="13"/>
  <c r="V266" i="13"/>
  <c r="V144" i="13"/>
  <c r="AF17" i="13"/>
  <c r="BC449" i="13"/>
  <c r="M417" i="13"/>
  <c r="AP211" i="13"/>
  <c r="BO5" i="13"/>
  <c r="AH32" i="13"/>
  <c r="U380" i="13"/>
  <c r="AN55" i="13"/>
  <c r="AG454" i="13"/>
  <c r="T289" i="13"/>
  <c r="BO82" i="13"/>
  <c r="J344" i="13"/>
  <c r="BA197" i="13"/>
  <c r="BI309" i="13"/>
  <c r="O252" i="13"/>
  <c r="AW257" i="13"/>
  <c r="E428" i="13"/>
  <c r="BS44" i="13"/>
  <c r="AT239" i="13"/>
  <c r="AZ452" i="13"/>
  <c r="D414" i="13"/>
  <c r="T474" i="13"/>
  <c r="P314" i="13"/>
  <c r="BJ398" i="13"/>
  <c r="AF304" i="13"/>
  <c r="BK309" i="13"/>
  <c r="N484" i="13"/>
  <c r="AC405" i="13"/>
  <c r="AL214" i="13"/>
  <c r="AJ385" i="13"/>
  <c r="AN296" i="13"/>
  <c r="BK403" i="13"/>
  <c r="V485" i="13"/>
  <c r="BR23" i="13"/>
  <c r="O90" i="13"/>
  <c r="BO338" i="13"/>
  <c r="AZ484" i="13"/>
  <c r="AA187" i="13"/>
  <c r="BQ167" i="13"/>
  <c r="BP280" i="13"/>
  <c r="AY368" i="13"/>
  <c r="BO389" i="13"/>
  <c r="Z444" i="13"/>
  <c r="E80" i="13"/>
  <c r="BK74" i="13"/>
  <c r="C178" i="13"/>
  <c r="AD192" i="13"/>
  <c r="G273" i="13"/>
  <c r="H387" i="13"/>
  <c r="BK261" i="13"/>
  <c r="BK248" i="13"/>
  <c r="BG486" i="13"/>
  <c r="E357" i="13"/>
  <c r="BT497" i="13"/>
  <c r="AZ476" i="13"/>
  <c r="BR36" i="13"/>
  <c r="AL109" i="13"/>
  <c r="C1" i="13"/>
  <c r="BC78" i="13"/>
  <c r="F304" i="13"/>
  <c r="AJ236" i="13"/>
  <c r="BD84" i="13"/>
  <c r="AF82" i="13"/>
  <c r="AW342" i="13"/>
  <c r="BK221" i="13"/>
  <c r="Y224" i="13"/>
  <c r="K232" i="13"/>
  <c r="AO141" i="13"/>
  <c r="BG221" i="13"/>
  <c r="AR327" i="13"/>
  <c r="BC241" i="13"/>
  <c r="E372" i="13"/>
  <c r="T124" i="13"/>
  <c r="W233" i="13"/>
  <c r="BA157" i="13"/>
  <c r="BI435" i="13"/>
  <c r="BG261" i="13"/>
  <c r="J187" i="13"/>
  <c r="BQ227" i="13"/>
  <c r="N450" i="13"/>
  <c r="BR138" i="13"/>
  <c r="T472" i="13"/>
  <c r="E238" i="13"/>
  <c r="BC76" i="13"/>
  <c r="BT273" i="13"/>
  <c r="O484" i="13"/>
  <c r="AA225" i="13"/>
  <c r="AI233" i="13"/>
  <c r="M316" i="13"/>
  <c r="D413" i="13"/>
  <c r="X255" i="13"/>
  <c r="BL316" i="13"/>
  <c r="U184" i="13"/>
  <c r="F457" i="13"/>
  <c r="O313" i="13"/>
  <c r="C286" i="13"/>
  <c r="AS40" i="13"/>
  <c r="U133" i="13"/>
  <c r="G347" i="13"/>
  <c r="D498" i="13"/>
  <c r="BH59" i="13"/>
  <c r="V117" i="13"/>
  <c r="BN474" i="13"/>
  <c r="AI398" i="13"/>
  <c r="BM137" i="13"/>
  <c r="BQ282" i="13"/>
  <c r="BP64" i="13"/>
  <c r="S294" i="13"/>
  <c r="AF422" i="13"/>
  <c r="BA19" i="13"/>
  <c r="BD231" i="13"/>
  <c r="BF187" i="13"/>
  <c r="AT436" i="13"/>
  <c r="AO58" i="13"/>
  <c r="BW259" i="13"/>
  <c r="I349" i="13"/>
  <c r="AE134" i="13"/>
  <c r="AS345" i="13"/>
  <c r="BR231" i="13"/>
  <c r="R264" i="13"/>
  <c r="AA67" i="13"/>
  <c r="BN238" i="13"/>
  <c r="AZ447" i="13"/>
  <c r="BN126" i="13"/>
  <c r="BW110" i="13"/>
  <c r="AT319" i="13"/>
  <c r="AS295" i="13"/>
  <c r="N426" i="13"/>
  <c r="I242" i="13"/>
  <c r="AU421" i="13"/>
  <c r="T365" i="13"/>
  <c r="H197" i="13"/>
  <c r="AC142" i="13"/>
  <c r="I404" i="13"/>
  <c r="AX405" i="13"/>
  <c r="BV173" i="13"/>
  <c r="N303" i="13"/>
  <c r="AO132" i="13"/>
  <c r="BJ111" i="13"/>
  <c r="AJ460" i="13"/>
  <c r="I175" i="13"/>
  <c r="BN350" i="13"/>
  <c r="AG63" i="13"/>
  <c r="AC434" i="13"/>
  <c r="C67" i="13"/>
  <c r="B133" i="13"/>
  <c r="G351" i="13"/>
  <c r="Y98" i="13"/>
  <c r="N314" i="13"/>
  <c r="BB181" i="13"/>
  <c r="U230" i="13"/>
  <c r="AS329" i="13"/>
  <c r="J137" i="13"/>
  <c r="BP404" i="13"/>
  <c r="U241" i="13"/>
  <c r="X153" i="13"/>
  <c r="I271" i="13"/>
  <c r="P404" i="13"/>
  <c r="AL163" i="13"/>
  <c r="AZ372" i="13"/>
  <c r="AI156" i="13"/>
  <c r="F368" i="13"/>
  <c r="BI402" i="13"/>
  <c r="BW178" i="13"/>
  <c r="AY64" i="13"/>
  <c r="AG229" i="13"/>
  <c r="X116" i="13"/>
  <c r="AQ33" i="13"/>
  <c r="AE322" i="13"/>
  <c r="X495" i="13"/>
  <c r="BP301" i="13"/>
  <c r="A146" i="13"/>
  <c r="BU166" i="13"/>
  <c r="Y437" i="13"/>
  <c r="V32" i="13"/>
  <c r="BL345" i="13"/>
  <c r="D305" i="13"/>
  <c r="AW176" i="13"/>
  <c r="D385" i="13"/>
  <c r="BB79" i="13"/>
  <c r="BT486" i="13"/>
  <c r="AF140" i="13"/>
  <c r="A93" i="13"/>
  <c r="BA237" i="13"/>
  <c r="C218" i="13"/>
  <c r="AS447" i="13"/>
  <c r="C243" i="13"/>
  <c r="A233" i="13"/>
  <c r="AM345" i="13"/>
  <c r="AQ92" i="13"/>
  <c r="T160" i="13"/>
  <c r="C204" i="13"/>
  <c r="AD198" i="13"/>
  <c r="BL54" i="13"/>
  <c r="G213" i="13"/>
  <c r="AZ417" i="13"/>
  <c r="I206" i="13"/>
  <c r="E285" i="13"/>
  <c r="BC168" i="13"/>
  <c r="AB123" i="13"/>
  <c r="X345" i="13"/>
  <c r="AB309" i="13"/>
  <c r="AQ309" i="13"/>
  <c r="BT250" i="13"/>
  <c r="BA406" i="13"/>
  <c r="M298" i="13"/>
  <c r="AD319" i="13"/>
  <c r="I403" i="13"/>
  <c r="AN63" i="13"/>
  <c r="R357" i="13"/>
  <c r="O18" i="13"/>
  <c r="AI434" i="13"/>
  <c r="AY210" i="13"/>
  <c r="AG6" i="13"/>
  <c r="AF428" i="13"/>
  <c r="AK109" i="13"/>
  <c r="BD93" i="13"/>
  <c r="AP473" i="13"/>
  <c r="BP276" i="13"/>
  <c r="B242" i="13"/>
  <c r="R42" i="13"/>
  <c r="W106" i="13"/>
  <c r="AZ137" i="13"/>
  <c r="BJ299" i="13"/>
  <c r="AZ247" i="13"/>
  <c r="AO192" i="13"/>
  <c r="W435" i="13"/>
  <c r="AV22" i="13"/>
  <c r="BM367" i="13"/>
  <c r="AL430" i="13"/>
  <c r="BO169" i="13"/>
  <c r="AW161" i="13"/>
  <c r="AV461" i="13"/>
  <c r="T102" i="13"/>
  <c r="BH420" i="13"/>
  <c r="AS71" i="13"/>
  <c r="BC242" i="13"/>
  <c r="S191" i="13"/>
  <c r="BN262" i="13"/>
  <c r="O264" i="13"/>
  <c r="Z443" i="13"/>
  <c r="AZ181" i="13"/>
  <c r="X300" i="13"/>
  <c r="AA488" i="13"/>
  <c r="AL165" i="13"/>
  <c r="BG462" i="13"/>
  <c r="AQ462" i="13"/>
  <c r="AG164" i="13"/>
  <c r="X497" i="13"/>
  <c r="AR413" i="13"/>
  <c r="BS259" i="13"/>
  <c r="BU46" i="13"/>
  <c r="P432" i="13"/>
  <c r="A193" i="13"/>
  <c r="T476" i="13"/>
  <c r="D138" i="13"/>
  <c r="H145" i="13"/>
  <c r="F15" i="13"/>
  <c r="AR192" i="13"/>
  <c r="BB276" i="13"/>
  <c r="X236" i="13"/>
  <c r="C467" i="13"/>
  <c r="P213" i="13"/>
  <c r="H191" i="13"/>
  <c r="B442" i="13"/>
  <c r="N54" i="13"/>
  <c r="S386" i="13"/>
  <c r="L22" i="13"/>
  <c r="AQ54" i="13"/>
  <c r="BN370" i="13"/>
  <c r="W202" i="13"/>
  <c r="E361" i="13"/>
  <c r="AE482" i="13"/>
  <c r="AO29" i="13"/>
  <c r="N167" i="13"/>
  <c r="BL366" i="13"/>
  <c r="AV450" i="13"/>
  <c r="F501" i="13"/>
  <c r="AB301" i="13"/>
  <c r="BC236" i="13"/>
  <c r="J79" i="13"/>
  <c r="BM136" i="13"/>
  <c r="BJ329" i="13"/>
  <c r="AY214" i="13"/>
  <c r="C475" i="13"/>
  <c r="BG483" i="13"/>
  <c r="G448" i="13"/>
  <c r="BV351" i="13"/>
  <c r="J149" i="13"/>
  <c r="AG307" i="13"/>
  <c r="BG455" i="13"/>
  <c r="BS104" i="13"/>
  <c r="BU490" i="13"/>
  <c r="F71" i="13"/>
  <c r="AZ64" i="13"/>
  <c r="AW214" i="13"/>
  <c r="U159" i="13"/>
  <c r="BE124" i="13"/>
  <c r="AM30" i="13"/>
  <c r="A477" i="13"/>
  <c r="L180" i="13"/>
  <c r="R268" i="13"/>
  <c r="AL312" i="13"/>
  <c r="O168" i="13"/>
  <c r="AZ73" i="13"/>
  <c r="S211" i="13"/>
  <c r="BM305" i="13"/>
  <c r="BB77" i="13"/>
  <c r="R171" i="13"/>
  <c r="O418" i="13"/>
  <c r="N491" i="13"/>
  <c r="Z366" i="13"/>
  <c r="C200" i="13"/>
  <c r="AN392" i="13"/>
  <c r="L59" i="13"/>
  <c r="AG341" i="13"/>
  <c r="O349" i="13"/>
  <c r="AX427" i="13"/>
  <c r="AQ94" i="13"/>
  <c r="AS58" i="13"/>
  <c r="T177" i="13"/>
  <c r="BI29" i="13"/>
  <c r="J387" i="13"/>
  <c r="M435" i="13"/>
  <c r="AM501" i="13"/>
  <c r="AF413" i="13"/>
  <c r="BE150" i="13"/>
  <c r="A34" i="13"/>
  <c r="BC335" i="13"/>
  <c r="AA386" i="13"/>
  <c r="V474" i="13"/>
  <c r="BV124" i="13"/>
  <c r="R112" i="13"/>
  <c r="AJ167" i="13"/>
  <c r="P480" i="13"/>
  <c r="BV256" i="13"/>
  <c r="H14" i="13"/>
  <c r="E90" i="13"/>
  <c r="AQ116" i="13"/>
  <c r="AM263" i="13"/>
  <c r="D372" i="13"/>
  <c r="BI298" i="13"/>
  <c r="AL412" i="13"/>
  <c r="BR135" i="13"/>
  <c r="AO54" i="13"/>
  <c r="BC386" i="13"/>
  <c r="BL239" i="13"/>
  <c r="AN370" i="13"/>
  <c r="BJ354" i="13"/>
  <c r="AP485" i="13"/>
  <c r="Z39" i="13"/>
  <c r="AC65" i="13"/>
  <c r="BM139" i="13"/>
  <c r="R32" i="13"/>
  <c r="AU53" i="13"/>
  <c r="Q156" i="13"/>
  <c r="Q266" i="13"/>
  <c r="T468" i="13"/>
  <c r="C325" i="13"/>
  <c r="AZ437" i="13"/>
  <c r="BH500" i="13"/>
  <c r="AI330" i="13"/>
  <c r="AF406" i="13"/>
  <c r="BF373" i="13"/>
  <c r="AS98" i="13"/>
  <c r="AH408" i="13"/>
  <c r="AS319" i="13"/>
  <c r="J471" i="13"/>
  <c r="AO135" i="13"/>
  <c r="D28" i="13"/>
  <c r="AX478" i="13"/>
  <c r="BG434" i="13"/>
  <c r="AR197" i="13"/>
  <c r="BM59" i="13"/>
  <c r="BB364" i="13"/>
  <c r="BQ348" i="13"/>
  <c r="BA283" i="13"/>
  <c r="AO450" i="13"/>
  <c r="H338" i="13"/>
  <c r="O61" i="13"/>
  <c r="A36" i="13"/>
  <c r="BA420" i="13"/>
  <c r="BC17" i="13"/>
  <c r="BS450" i="13"/>
  <c r="AB32" i="13"/>
  <c r="N262" i="13"/>
  <c r="BO317" i="13"/>
  <c r="D139" i="13"/>
  <c r="AV92" i="13"/>
  <c r="AQ51" i="13"/>
  <c r="AU318" i="13"/>
  <c r="D155" i="13"/>
  <c r="B193" i="13"/>
  <c r="BQ489" i="13"/>
  <c r="BA41" i="13"/>
  <c r="AY116" i="13"/>
  <c r="X194" i="13"/>
  <c r="AP313" i="13"/>
  <c r="BT362" i="13"/>
  <c r="Z368" i="13"/>
  <c r="BF244" i="13"/>
  <c r="AG470" i="13"/>
  <c r="AV263" i="13"/>
  <c r="W142" i="13"/>
  <c r="Q153" i="13"/>
  <c r="AT263" i="13"/>
  <c r="AJ469" i="13"/>
  <c r="BW402" i="13"/>
  <c r="AG20" i="13"/>
  <c r="H346" i="13"/>
  <c r="AQ233" i="13"/>
  <c r="AL284" i="13"/>
  <c r="AF131" i="13"/>
  <c r="BK38" i="13"/>
  <c r="AE17" i="13"/>
  <c r="K218" i="13"/>
  <c r="AB41" i="13"/>
  <c r="AE420" i="13"/>
  <c r="V112" i="13"/>
  <c r="T279" i="13"/>
  <c r="AY347" i="13"/>
  <c r="AB44" i="13"/>
  <c r="AR410" i="13"/>
  <c r="BB30" i="13"/>
  <c r="J493" i="13"/>
  <c r="Q392" i="13"/>
  <c r="U410" i="13"/>
  <c r="BW431" i="13"/>
  <c r="AQ152" i="13"/>
  <c r="K220" i="13"/>
  <c r="BN181" i="13"/>
  <c r="BG367" i="13"/>
  <c r="AO253" i="13"/>
  <c r="K98" i="13"/>
  <c r="BB228" i="13"/>
  <c r="BR228" i="13"/>
  <c r="L48" i="13"/>
  <c r="AT300" i="13"/>
  <c r="R293" i="13"/>
  <c r="AM343" i="13"/>
  <c r="BC341" i="13"/>
  <c r="AZ122" i="13"/>
  <c r="BN463" i="13"/>
  <c r="AO250" i="13"/>
  <c r="BM497" i="13"/>
  <c r="Q157" i="13"/>
  <c r="BP384" i="13"/>
  <c r="AT58" i="13"/>
  <c r="M141" i="13"/>
  <c r="V50" i="13"/>
  <c r="G93" i="13"/>
  <c r="B102" i="13"/>
  <c r="BC223" i="13"/>
  <c r="BN13" i="13"/>
  <c r="BP270" i="13"/>
  <c r="AL54" i="13"/>
  <c r="BI228" i="13"/>
  <c r="AW126" i="13"/>
  <c r="J39" i="13"/>
  <c r="Z355" i="13"/>
  <c r="AJ177" i="13"/>
  <c r="BN50" i="13"/>
  <c r="B38" i="13"/>
  <c r="BT172" i="13"/>
  <c r="Q331" i="13"/>
  <c r="N107" i="13"/>
  <c r="B396" i="13"/>
  <c r="BB141" i="13"/>
  <c r="BB233" i="13"/>
  <c r="AO64" i="13"/>
  <c r="G160" i="13"/>
  <c r="AE268" i="13"/>
  <c r="A353" i="13"/>
  <c r="BR449" i="13"/>
  <c r="AL31" i="13"/>
  <c r="AG478" i="13"/>
  <c r="T241" i="13"/>
  <c r="AR28" i="13"/>
  <c r="K206" i="13"/>
  <c r="AJ384" i="13"/>
  <c r="AN449" i="13"/>
  <c r="AL176" i="13"/>
  <c r="BA39" i="13"/>
  <c r="BK285" i="13"/>
  <c r="BC477" i="13"/>
  <c r="BN468" i="13"/>
  <c r="Y345" i="13"/>
  <c r="AC319" i="13"/>
  <c r="L83" i="13"/>
  <c r="BM386" i="13"/>
  <c r="AD162" i="13"/>
  <c r="AX442" i="13"/>
  <c r="BV7" i="13"/>
  <c r="AC46" i="13"/>
  <c r="AN452" i="13"/>
  <c r="Z109" i="13"/>
  <c r="AW192" i="13"/>
  <c r="BR117" i="13"/>
  <c r="AS243" i="13"/>
  <c r="AJ354" i="13"/>
  <c r="AG133" i="13"/>
  <c r="BI473" i="13"/>
  <c r="AA117" i="13"/>
  <c r="BC231" i="13"/>
  <c r="J494" i="13"/>
  <c r="AA489" i="13"/>
  <c r="BA142" i="13"/>
  <c r="AQ16" i="13"/>
  <c r="AP218" i="13"/>
  <c r="R369" i="13"/>
  <c r="Y192" i="13"/>
  <c r="D272" i="13"/>
  <c r="AA190" i="13"/>
  <c r="BI358" i="13"/>
  <c r="BN213" i="13"/>
  <c r="K482" i="13"/>
  <c r="AP144" i="13"/>
  <c r="G329" i="13"/>
  <c r="AB185" i="13"/>
  <c r="BM371" i="13"/>
  <c r="E97" i="13"/>
  <c r="AC445" i="13"/>
  <c r="AY186" i="13"/>
  <c r="A128" i="13"/>
  <c r="AF24" i="13"/>
  <c r="AH315" i="13"/>
  <c r="B438" i="13"/>
  <c r="AX22" i="13"/>
  <c r="W42" i="13"/>
  <c r="AF319" i="13"/>
  <c r="BT66" i="13"/>
  <c r="Y430" i="13"/>
  <c r="R303" i="13"/>
  <c r="AB339" i="13"/>
  <c r="BG101" i="13"/>
  <c r="BS226" i="13"/>
  <c r="R207" i="13"/>
  <c r="AK267" i="13"/>
  <c r="BW417" i="13"/>
  <c r="AO427" i="13"/>
  <c r="AN144" i="13"/>
  <c r="C395" i="13"/>
  <c r="W2" i="13"/>
  <c r="AN56" i="13"/>
  <c r="AS226" i="13"/>
  <c r="Z418" i="13"/>
  <c r="AU35" i="13"/>
  <c r="BF227" i="13"/>
  <c r="BA377" i="13"/>
  <c r="BG50" i="13"/>
  <c r="AD242" i="13"/>
  <c r="BP8" i="13"/>
  <c r="BJ454" i="13"/>
  <c r="BR83" i="13"/>
  <c r="M71" i="13"/>
  <c r="M367" i="13"/>
  <c r="L41" i="13"/>
  <c r="K124" i="13"/>
  <c r="AP387" i="13"/>
  <c r="L117" i="13"/>
  <c r="Z256" i="13"/>
  <c r="BH95" i="13"/>
  <c r="K260" i="13"/>
  <c r="AF168" i="13"/>
  <c r="AP163" i="13"/>
  <c r="G123" i="13"/>
  <c r="H131" i="13"/>
  <c r="Q270" i="13"/>
  <c r="AX70" i="13"/>
  <c r="Z452" i="13"/>
  <c r="N330" i="13"/>
  <c r="BW303" i="13"/>
  <c r="X107" i="13"/>
  <c r="AS355" i="13"/>
  <c r="BL275" i="13"/>
  <c r="X500" i="13"/>
  <c r="BD57" i="13"/>
  <c r="A27" i="13"/>
  <c r="AW285" i="13"/>
  <c r="G418" i="13"/>
  <c r="AQ366" i="13"/>
  <c r="V320" i="13"/>
  <c r="AZ93" i="13"/>
  <c r="AF488" i="13"/>
  <c r="F497" i="13"/>
  <c r="A354" i="13"/>
  <c r="R228" i="13"/>
  <c r="AA157" i="13"/>
  <c r="F115" i="13"/>
  <c r="BE412" i="13"/>
  <c r="BV26" i="13"/>
  <c r="AL325" i="13"/>
  <c r="O97" i="13"/>
  <c r="AH397" i="13"/>
  <c r="K318" i="13"/>
  <c r="T446" i="13"/>
  <c r="BT370" i="13"/>
  <c r="BO32" i="13"/>
  <c r="AD214" i="13"/>
  <c r="AG322" i="13"/>
  <c r="AW450" i="13"/>
  <c r="J69" i="13"/>
  <c r="AQ84" i="13"/>
  <c r="AV113" i="13"/>
  <c r="BE425" i="13"/>
  <c r="AS66" i="13"/>
  <c r="AC208" i="13"/>
  <c r="J78" i="13"/>
  <c r="AK150" i="13"/>
  <c r="BN115" i="13"/>
  <c r="S401" i="13"/>
  <c r="AC231" i="13"/>
  <c r="BA403" i="13"/>
  <c r="BB284" i="13"/>
  <c r="E377" i="13"/>
  <c r="BH163" i="13"/>
  <c r="K177" i="13"/>
  <c r="BC308" i="13"/>
  <c r="BA206" i="13"/>
  <c r="BL194" i="13"/>
  <c r="BU49" i="13"/>
  <c r="G257" i="13"/>
  <c r="Z205" i="13"/>
  <c r="AV236" i="13"/>
  <c r="AC258" i="13"/>
  <c r="I427" i="13"/>
  <c r="P423" i="13"/>
  <c r="AJ222" i="13"/>
  <c r="BF86" i="13"/>
  <c r="BL255" i="13"/>
  <c r="L274" i="13"/>
  <c r="AF120" i="13"/>
  <c r="R348" i="13"/>
  <c r="AV320" i="13"/>
  <c r="V129" i="13"/>
  <c r="Q468" i="13"/>
  <c r="AP348" i="13"/>
  <c r="AK380" i="13"/>
  <c r="AU319" i="13"/>
  <c r="BO499" i="13"/>
  <c r="H27" i="13"/>
  <c r="BW464" i="13"/>
  <c r="AC184" i="13"/>
  <c r="AI159" i="13"/>
  <c r="P88" i="13"/>
  <c r="W210" i="13"/>
  <c r="C78" i="13"/>
  <c r="BP189" i="13"/>
  <c r="BS317" i="13"/>
  <c r="AZ425" i="13"/>
  <c r="AQ495" i="13"/>
  <c r="V389" i="13"/>
  <c r="BE119" i="13"/>
  <c r="Z348" i="13"/>
  <c r="R466" i="13"/>
  <c r="AB8" i="13"/>
  <c r="AA292" i="13"/>
  <c r="T497" i="13"/>
  <c r="BN92" i="13"/>
  <c r="AT143" i="13"/>
  <c r="BH381" i="13"/>
  <c r="BK440" i="13"/>
  <c r="BC90" i="13"/>
  <c r="BC128" i="13"/>
  <c r="R89" i="13"/>
  <c r="Q191" i="13"/>
  <c r="BQ305" i="13"/>
  <c r="R11" i="13"/>
  <c r="I139" i="13"/>
  <c r="W373" i="13"/>
  <c r="AE41" i="13"/>
  <c r="AF119" i="13"/>
  <c r="BO427" i="13"/>
  <c r="BB31" i="13"/>
  <c r="AK281" i="13"/>
  <c r="E205" i="13"/>
  <c r="BM442" i="13"/>
  <c r="BW404" i="13"/>
  <c r="BW323" i="13"/>
  <c r="AW497" i="13"/>
  <c r="I117" i="13"/>
  <c r="BE339" i="13"/>
  <c r="BN364" i="13"/>
  <c r="BH69" i="13"/>
  <c r="AG254" i="13"/>
  <c r="BO489" i="13"/>
  <c r="BN200" i="13"/>
  <c r="F89" i="13"/>
  <c r="AV51" i="13"/>
  <c r="BQ423" i="13"/>
  <c r="AQ324" i="13"/>
  <c r="BD44" i="13"/>
  <c r="AS351" i="13"/>
  <c r="AK353" i="13"/>
  <c r="L207" i="13"/>
  <c r="BD12" i="13"/>
  <c r="AK356" i="13"/>
  <c r="AW227" i="13"/>
  <c r="AM55" i="13"/>
  <c r="AV134" i="13"/>
  <c r="AA263" i="13"/>
  <c r="AI55" i="13"/>
  <c r="D231" i="13"/>
  <c r="J165" i="13"/>
  <c r="B279" i="13"/>
  <c r="AK15" i="13"/>
  <c r="AV423" i="13"/>
  <c r="V421" i="13"/>
  <c r="BK127" i="13"/>
  <c r="N53" i="13"/>
  <c r="X408" i="13"/>
  <c r="V224" i="13"/>
  <c r="AR14" i="13"/>
  <c r="BT339" i="13"/>
  <c r="BO52" i="13"/>
  <c r="S345" i="13"/>
  <c r="U439" i="13"/>
  <c r="BR483" i="13"/>
  <c r="BL74" i="13"/>
  <c r="Y26" i="13"/>
  <c r="AT369" i="13"/>
  <c r="A148" i="13"/>
  <c r="AC363" i="13"/>
  <c r="T329" i="13"/>
  <c r="BU188" i="13"/>
  <c r="BM151" i="13"/>
  <c r="AM278" i="13"/>
  <c r="AA90" i="13"/>
  <c r="BP152" i="13"/>
  <c r="AB154" i="13"/>
  <c r="V213" i="13"/>
  <c r="U30" i="13"/>
  <c r="AR193" i="13"/>
  <c r="BS198" i="13"/>
  <c r="BF304" i="13"/>
  <c r="R240" i="13"/>
  <c r="BE501" i="13"/>
  <c r="BO265" i="13"/>
  <c r="AV403" i="13"/>
  <c r="AC295" i="13"/>
  <c r="I50" i="13"/>
  <c r="BT31" i="13"/>
  <c r="AG29" i="13"/>
  <c r="K12" i="13"/>
  <c r="X485" i="13"/>
  <c r="V139" i="13"/>
  <c r="AC409" i="13"/>
  <c r="BP183" i="13"/>
  <c r="AT149" i="13"/>
  <c r="BL427" i="13"/>
  <c r="G39" i="13"/>
  <c r="BW338" i="13"/>
  <c r="N161" i="13"/>
  <c r="AY279" i="13"/>
  <c r="BV479" i="13"/>
  <c r="BL186" i="13"/>
  <c r="X470" i="13"/>
  <c r="BC489" i="13"/>
  <c r="E227" i="13"/>
  <c r="BN419" i="13"/>
  <c r="BI392" i="13"/>
  <c r="Y149" i="13"/>
  <c r="AA108" i="13"/>
  <c r="BR302" i="13"/>
  <c r="Z462" i="13"/>
  <c r="F43" i="13"/>
  <c r="BJ184" i="13"/>
  <c r="BV241" i="13"/>
  <c r="BE134" i="13"/>
  <c r="BU454" i="13"/>
  <c r="AR29" i="13"/>
  <c r="C282" i="13"/>
  <c r="X66" i="13"/>
  <c r="AG71" i="13"/>
  <c r="R220" i="13"/>
  <c r="U496" i="13"/>
  <c r="BT214" i="13"/>
  <c r="BV294" i="13"/>
  <c r="Y453" i="13"/>
  <c r="BN418" i="13"/>
  <c r="AL60" i="13"/>
  <c r="U356" i="13"/>
  <c r="BU498" i="13"/>
  <c r="AR107" i="13"/>
  <c r="AE162" i="13"/>
  <c r="C474" i="13"/>
  <c r="Y245" i="13"/>
  <c r="BU102" i="13"/>
  <c r="BN139" i="13"/>
  <c r="AB96" i="13"/>
  <c r="BK474" i="13"/>
  <c r="AB45" i="13"/>
  <c r="BW135" i="13"/>
  <c r="AL197" i="13"/>
  <c r="L408" i="13"/>
  <c r="BI181" i="13"/>
  <c r="O50" i="13"/>
  <c r="M47" i="13"/>
  <c r="AV59" i="13"/>
  <c r="P39" i="13"/>
  <c r="Q381" i="13"/>
  <c r="L233" i="13"/>
  <c r="G149" i="13"/>
  <c r="H94" i="13"/>
  <c r="S332" i="13"/>
  <c r="AX356" i="13"/>
  <c r="R176" i="13"/>
  <c r="AU465" i="13"/>
  <c r="BI488" i="13"/>
  <c r="BG352" i="13"/>
  <c r="BN431" i="13"/>
  <c r="AQ468" i="13"/>
  <c r="O122" i="13"/>
  <c r="AA478" i="13"/>
  <c r="BS331" i="13"/>
  <c r="BM370" i="13"/>
  <c r="AX11" i="13"/>
  <c r="X407" i="13"/>
  <c r="E480" i="13"/>
  <c r="BN143" i="13"/>
  <c r="BF360" i="13"/>
  <c r="AM114" i="13"/>
  <c r="F30" i="13"/>
  <c r="BO153" i="13"/>
  <c r="AP171" i="13"/>
  <c r="T431" i="13"/>
  <c r="BU433" i="13"/>
  <c r="BN241" i="13"/>
  <c r="AG286" i="13"/>
  <c r="F13" i="13"/>
  <c r="H484" i="13"/>
  <c r="D421" i="13"/>
  <c r="L71" i="13"/>
  <c r="BR205" i="13"/>
  <c r="L437" i="13"/>
  <c r="AN341" i="13"/>
  <c r="S454" i="13"/>
  <c r="J185" i="13"/>
  <c r="P463" i="13"/>
  <c r="BG351" i="13"/>
  <c r="BL229" i="13"/>
  <c r="BJ127" i="13"/>
  <c r="BQ47" i="13"/>
  <c r="W294" i="13"/>
  <c r="T440" i="13"/>
  <c r="AS103" i="13"/>
  <c r="AE177" i="13"/>
  <c r="BG497" i="13"/>
  <c r="BF177" i="13"/>
  <c r="BV227" i="13"/>
  <c r="AY17" i="13"/>
  <c r="AO436" i="13"/>
  <c r="BS436" i="13"/>
  <c r="D92" i="13"/>
  <c r="BG279" i="13"/>
  <c r="AM167" i="13"/>
  <c r="AA345" i="13"/>
  <c r="BE483" i="13"/>
  <c r="A342" i="13"/>
  <c r="AT344" i="13"/>
  <c r="BC32" i="13"/>
  <c r="X139" i="13"/>
  <c r="V477" i="13"/>
  <c r="AM400" i="13"/>
  <c r="BB363" i="13"/>
  <c r="AU220" i="13"/>
  <c r="BJ145" i="13"/>
  <c r="AT282" i="13"/>
  <c r="BP102" i="13"/>
  <c r="BR420" i="13"/>
  <c r="AO410" i="13"/>
  <c r="AW315" i="13"/>
  <c r="BW262" i="13"/>
  <c r="BN299" i="13"/>
  <c r="BV91" i="13"/>
  <c r="U126" i="13"/>
  <c r="BA476" i="13"/>
  <c r="Z210" i="13"/>
  <c r="AI430" i="13"/>
  <c r="BB430" i="13"/>
  <c r="M272" i="13"/>
  <c r="AH203" i="13"/>
  <c r="AA481" i="13"/>
  <c r="BB75" i="13"/>
  <c r="BA4" i="13"/>
  <c r="J386" i="13"/>
  <c r="BN273" i="13"/>
  <c r="BT92" i="13"/>
  <c r="BI303" i="13"/>
  <c r="BG116" i="13"/>
  <c r="BW231" i="13"/>
  <c r="AC298" i="13"/>
  <c r="AW501" i="13"/>
  <c r="BP483" i="13"/>
  <c r="BG452" i="13"/>
  <c r="BW1" i="13"/>
  <c r="AD19" i="13"/>
  <c r="AV102" i="13"/>
  <c r="BN322" i="13"/>
  <c r="X131" i="13"/>
  <c r="BB91" i="13"/>
  <c r="T477" i="13"/>
  <c r="I326" i="13"/>
  <c r="AO377" i="13"/>
  <c r="AY276" i="13"/>
  <c r="AH494" i="13"/>
  <c r="BA320" i="13"/>
  <c r="X499" i="13"/>
  <c r="BC192" i="13"/>
  <c r="BI471" i="13"/>
  <c r="AZ340" i="13"/>
  <c r="AL458" i="13"/>
  <c r="BR140" i="13"/>
  <c r="BV50" i="13"/>
  <c r="AH345" i="13"/>
  <c r="AN97" i="13"/>
  <c r="AY10" i="13"/>
  <c r="S365" i="13"/>
  <c r="AI232" i="13"/>
  <c r="K80" i="13"/>
  <c r="BG457" i="13"/>
  <c r="U139" i="13"/>
  <c r="I94" i="13"/>
  <c r="T166" i="13"/>
  <c r="AK202" i="13"/>
  <c r="BP82" i="13"/>
  <c r="AY449" i="13"/>
  <c r="AJ487" i="13"/>
  <c r="S159" i="13"/>
  <c r="N121" i="13"/>
  <c r="AG142" i="13"/>
  <c r="A437" i="13"/>
  <c r="E52" i="13"/>
  <c r="BM356" i="13"/>
  <c r="W393" i="13"/>
  <c r="BL361" i="13"/>
  <c r="BE177" i="13"/>
  <c r="AA106" i="13"/>
  <c r="BH233" i="13"/>
  <c r="G469" i="13"/>
  <c r="AE339" i="13"/>
  <c r="BA416" i="13"/>
  <c r="BD465" i="13"/>
  <c r="AO281" i="13"/>
  <c r="L454" i="13"/>
  <c r="D209" i="13"/>
  <c r="AS116" i="13"/>
  <c r="AG374" i="13"/>
  <c r="AV406" i="13"/>
  <c r="AV340" i="13"/>
  <c r="BJ434" i="13"/>
  <c r="E167" i="13"/>
  <c r="BI376" i="13"/>
  <c r="AO134" i="13"/>
  <c r="AL406" i="13"/>
  <c r="BO67" i="13"/>
  <c r="AL354" i="13"/>
  <c r="BF159" i="13"/>
  <c r="AO124" i="13"/>
  <c r="AE112" i="13"/>
  <c r="Z369" i="13"/>
  <c r="AW366" i="13"/>
  <c r="BN222" i="13"/>
  <c r="Q132" i="13"/>
  <c r="Q72" i="13"/>
  <c r="P207" i="13"/>
  <c r="X111" i="13"/>
  <c r="D202" i="13"/>
  <c r="P352" i="13"/>
  <c r="BH481" i="13"/>
  <c r="BH223" i="13"/>
  <c r="G319" i="13"/>
  <c r="H456" i="13"/>
  <c r="G269" i="13"/>
  <c r="BM161" i="13"/>
  <c r="BN188" i="13"/>
  <c r="AW378" i="13"/>
  <c r="BF345" i="13"/>
  <c r="BK41" i="13"/>
  <c r="C237" i="13"/>
  <c r="BT342" i="13"/>
  <c r="AR365" i="13"/>
  <c r="AO75" i="13"/>
  <c r="AR191" i="13"/>
  <c r="BA144" i="13"/>
  <c r="X248" i="13"/>
  <c r="AN156" i="13"/>
  <c r="U52" i="13"/>
  <c r="G141" i="13"/>
  <c r="BU140" i="13"/>
  <c r="BB126" i="13"/>
  <c r="K79" i="13"/>
  <c r="I316" i="13"/>
  <c r="BE352" i="13"/>
  <c r="AX402" i="13"/>
  <c r="AT141" i="13"/>
  <c r="AR152" i="13"/>
  <c r="BW429" i="13"/>
  <c r="AE212" i="13"/>
  <c r="BV62" i="13"/>
  <c r="G320" i="13"/>
  <c r="H359" i="13"/>
  <c r="P491" i="13"/>
  <c r="U142" i="13"/>
  <c r="BM274" i="13"/>
  <c r="O208" i="13"/>
  <c r="BD90" i="13"/>
  <c r="BM232" i="13"/>
  <c r="J110" i="13"/>
  <c r="AX422" i="13"/>
  <c r="Y44" i="13"/>
  <c r="BO487" i="13"/>
  <c r="X120" i="13"/>
  <c r="AE58" i="13"/>
  <c r="M377" i="13"/>
  <c r="BC280" i="13"/>
  <c r="AP324" i="13"/>
  <c r="E201" i="13"/>
  <c r="B3" i="13"/>
  <c r="BL59" i="13"/>
  <c r="BG175" i="13"/>
  <c r="AA303" i="13"/>
  <c r="AD289" i="13"/>
  <c r="AJ341" i="13"/>
  <c r="BU319" i="13"/>
  <c r="AK313" i="13"/>
  <c r="BD214" i="13"/>
  <c r="W185" i="13"/>
  <c r="BI122" i="13"/>
  <c r="BP155" i="13"/>
  <c r="I477" i="13"/>
  <c r="G394" i="13"/>
  <c r="X95" i="13"/>
  <c r="U308" i="13"/>
  <c r="B205" i="13"/>
  <c r="T90" i="13"/>
  <c r="AD45" i="13"/>
  <c r="BE4" i="13"/>
  <c r="BM233" i="13"/>
  <c r="AS360" i="13"/>
  <c r="AJ86" i="13"/>
  <c r="H368" i="13"/>
  <c r="AJ281" i="13"/>
  <c r="BQ239" i="13"/>
  <c r="AC95" i="13"/>
  <c r="AH90" i="13"/>
  <c r="AX52" i="13"/>
  <c r="Q15" i="13"/>
  <c r="AA76" i="13"/>
  <c r="BT494" i="13"/>
  <c r="AU150" i="13"/>
  <c r="AI200" i="13"/>
  <c r="AC145" i="13"/>
  <c r="BC328" i="13"/>
  <c r="U487" i="13"/>
  <c r="Y461" i="13"/>
  <c r="K313" i="13"/>
  <c r="L282" i="13"/>
  <c r="AY37" i="13"/>
  <c r="A326" i="13"/>
  <c r="AV278" i="13"/>
  <c r="BL206" i="13"/>
  <c r="P218" i="13"/>
  <c r="AI89" i="13"/>
  <c r="AU195" i="13"/>
  <c r="BD208" i="13"/>
  <c r="AY333" i="13"/>
  <c r="AR462" i="13"/>
  <c r="BC79" i="13"/>
  <c r="AM454" i="13"/>
  <c r="AU198" i="13"/>
  <c r="BG76" i="13"/>
  <c r="AY194" i="13"/>
  <c r="AG371" i="13"/>
  <c r="F39" i="13"/>
  <c r="AP382" i="13"/>
  <c r="BQ183" i="13"/>
  <c r="BN319" i="13"/>
  <c r="AC24" i="13"/>
  <c r="AF392" i="13"/>
  <c r="W56" i="13"/>
  <c r="AU463" i="13"/>
  <c r="I156" i="13"/>
  <c r="N382" i="13"/>
  <c r="AQ222" i="13"/>
  <c r="S319" i="13"/>
  <c r="BE436" i="13"/>
  <c r="X400" i="13"/>
  <c r="Z108" i="13"/>
  <c r="BM35" i="13"/>
  <c r="BI154" i="13"/>
  <c r="AX307" i="13"/>
  <c r="BR436" i="13"/>
  <c r="O181" i="13"/>
  <c r="B421" i="13"/>
  <c r="AD456" i="13"/>
  <c r="AF394" i="13"/>
  <c r="R58" i="13"/>
  <c r="BO441" i="13"/>
  <c r="AX240" i="13"/>
  <c r="BP439" i="13"/>
  <c r="AO62" i="13"/>
  <c r="AN50" i="13"/>
  <c r="AI165" i="13"/>
  <c r="AS26" i="13"/>
  <c r="BW264" i="13"/>
  <c r="BH195" i="13"/>
  <c r="U416" i="13"/>
  <c r="E479" i="13"/>
  <c r="AN451" i="13"/>
  <c r="AO222" i="13"/>
  <c r="AC475" i="13"/>
  <c r="BB295" i="13"/>
  <c r="BK435" i="13"/>
  <c r="BV202" i="13"/>
  <c r="A153" i="13"/>
  <c r="BJ123" i="13"/>
  <c r="BU491" i="13"/>
  <c r="AK223" i="13"/>
  <c r="M89" i="13"/>
  <c r="AT386" i="13"/>
  <c r="I426" i="13"/>
  <c r="BV47" i="13"/>
  <c r="BU352" i="13"/>
  <c r="Q405" i="13"/>
  <c r="BG24" i="13"/>
  <c r="BN397" i="13"/>
  <c r="AA267" i="13"/>
  <c r="AO423" i="13"/>
  <c r="AL233" i="13"/>
  <c r="BS131" i="13"/>
  <c r="I318" i="13"/>
  <c r="AP175" i="13"/>
  <c r="AX459" i="13"/>
  <c r="Y142" i="13"/>
  <c r="W181" i="13"/>
  <c r="BR77" i="13"/>
  <c r="AS136" i="13"/>
  <c r="R76" i="13"/>
  <c r="BU341" i="13"/>
  <c r="E14" i="13"/>
  <c r="BF424" i="13"/>
  <c r="BA14" i="13"/>
  <c r="S422" i="13"/>
  <c r="BV496" i="13"/>
  <c r="A399" i="13"/>
  <c r="C244" i="13"/>
  <c r="G303" i="13"/>
  <c r="I395" i="13"/>
  <c r="BL130" i="13"/>
  <c r="L392" i="13"/>
  <c r="AT13" i="13"/>
  <c r="BM420" i="13"/>
  <c r="K391" i="13"/>
  <c r="BK375" i="13"/>
  <c r="O455" i="13"/>
  <c r="BC425" i="13"/>
  <c r="AT93" i="13"/>
  <c r="AI336" i="13"/>
  <c r="BF57" i="13"/>
  <c r="BM359" i="13"/>
  <c r="BB380" i="13"/>
  <c r="AQ419" i="13"/>
  <c r="R131" i="13"/>
  <c r="BD371" i="13"/>
  <c r="BJ102" i="13"/>
  <c r="AG382" i="13"/>
  <c r="AV212" i="13"/>
  <c r="AU51" i="13"/>
  <c r="K415" i="13"/>
  <c r="AR97" i="13"/>
  <c r="BJ244" i="13"/>
  <c r="BW360" i="13"/>
  <c r="AI493" i="13"/>
  <c r="Q437" i="13"/>
  <c r="AC37" i="13"/>
  <c r="AG270" i="13"/>
  <c r="R178" i="13"/>
  <c r="BM147" i="13"/>
  <c r="AE277" i="13"/>
  <c r="AI112" i="13"/>
  <c r="D58" i="13"/>
  <c r="O314" i="13"/>
  <c r="T382" i="13"/>
  <c r="Q110" i="13"/>
  <c r="Z74" i="13"/>
  <c r="BK270" i="13"/>
  <c r="AL241" i="13"/>
  <c r="AW194" i="13"/>
  <c r="AC52" i="13"/>
  <c r="AC158" i="13"/>
  <c r="AG323" i="13"/>
  <c r="AP234" i="13"/>
  <c r="BF459" i="13"/>
  <c r="BF440" i="13"/>
  <c r="AM433" i="13"/>
  <c r="B24" i="13"/>
  <c r="AY283" i="13"/>
  <c r="Z363" i="13"/>
  <c r="BL32" i="13"/>
  <c r="AH404" i="13"/>
  <c r="AD168" i="13"/>
  <c r="AY6" i="13"/>
  <c r="D102" i="13"/>
  <c r="A329" i="13"/>
  <c r="AP146" i="13"/>
  <c r="AL293" i="13"/>
  <c r="BH134" i="13"/>
  <c r="U205" i="13"/>
  <c r="BW202" i="13"/>
  <c r="J339" i="13"/>
  <c r="BO494" i="13"/>
  <c r="BD332" i="13"/>
  <c r="AG273" i="13"/>
  <c r="AD359" i="13"/>
  <c r="BP32" i="13"/>
  <c r="BR341" i="13"/>
  <c r="AO462" i="13"/>
  <c r="B127" i="13"/>
  <c r="R459" i="13"/>
  <c r="AF338" i="13"/>
  <c r="AB95" i="13"/>
  <c r="L452" i="13"/>
  <c r="Q305" i="13"/>
  <c r="BK184" i="13"/>
  <c r="BV84" i="13"/>
  <c r="BM454" i="13"/>
  <c r="V210" i="13"/>
  <c r="P91" i="13"/>
  <c r="B289" i="13"/>
  <c r="I385" i="13"/>
  <c r="AW303" i="13"/>
  <c r="I336" i="13"/>
  <c r="M349" i="13"/>
  <c r="BO87" i="13"/>
  <c r="G70" i="13"/>
  <c r="Q356" i="13"/>
  <c r="K173" i="13"/>
  <c r="BQ493" i="13"/>
  <c r="O218" i="13"/>
  <c r="BF11" i="13"/>
  <c r="N397" i="13"/>
  <c r="BM92" i="13"/>
  <c r="AK70" i="13"/>
  <c r="AW11" i="13"/>
  <c r="Y378" i="13"/>
  <c r="AK427" i="13"/>
  <c r="AS32" i="13"/>
  <c r="BL10" i="13"/>
  <c r="N302" i="13"/>
  <c r="BA248" i="13"/>
  <c r="BJ182" i="13"/>
  <c r="BL106" i="13"/>
  <c r="AJ484" i="13"/>
  <c r="C437" i="13"/>
  <c r="AE347" i="13"/>
  <c r="AS200" i="13"/>
  <c r="AS111" i="13"/>
  <c r="BO368" i="13"/>
  <c r="BQ27" i="13"/>
  <c r="H450" i="13"/>
  <c r="BH310" i="13"/>
  <c r="X21" i="13"/>
  <c r="J260" i="13"/>
  <c r="AQ247" i="13"/>
  <c r="AK44" i="13"/>
  <c r="BV491" i="13"/>
  <c r="AC380" i="13"/>
  <c r="AE157" i="13"/>
  <c r="BW497" i="13"/>
  <c r="E360" i="13"/>
  <c r="AO170" i="13"/>
  <c r="K144" i="13"/>
  <c r="BR129" i="13"/>
  <c r="AS121" i="13"/>
  <c r="AP339" i="13"/>
  <c r="Z501" i="13"/>
  <c r="BA228" i="13"/>
  <c r="AL164" i="13"/>
  <c r="AW451" i="13"/>
  <c r="A328" i="13"/>
  <c r="AY236" i="13"/>
  <c r="P458" i="13"/>
  <c r="S208" i="13"/>
  <c r="K66" i="13"/>
  <c r="AM305" i="13"/>
  <c r="BC271" i="13"/>
  <c r="AT18" i="13"/>
  <c r="AI486" i="13"/>
  <c r="BB397" i="13"/>
  <c r="AX17" i="13"/>
  <c r="AQ238" i="13"/>
  <c r="AK83" i="13"/>
  <c r="AQ122" i="13"/>
  <c r="AJ323" i="13"/>
  <c r="AH293" i="13"/>
  <c r="W83" i="13"/>
  <c r="BQ470" i="13"/>
  <c r="Z489" i="13"/>
  <c r="J97" i="13"/>
  <c r="P82" i="13"/>
  <c r="AC216" i="13"/>
  <c r="AW128" i="13"/>
  <c r="AN80" i="13"/>
  <c r="L58" i="13"/>
  <c r="G312" i="13"/>
  <c r="AE298" i="13"/>
  <c r="BE471" i="13"/>
  <c r="AP394" i="13"/>
  <c r="BK273" i="13"/>
  <c r="AI381" i="13"/>
  <c r="AK391" i="13"/>
  <c r="BP169" i="13"/>
  <c r="X94" i="13"/>
  <c r="BT67" i="13"/>
  <c r="V132" i="13"/>
  <c r="BH405" i="13"/>
  <c r="K424" i="13"/>
  <c r="BM172" i="13"/>
  <c r="BR28" i="13"/>
  <c r="J27" i="13"/>
  <c r="I390" i="13"/>
  <c r="S280" i="13"/>
  <c r="BH297" i="13"/>
  <c r="BQ38" i="13"/>
  <c r="BL148" i="13"/>
  <c r="AB481" i="13"/>
  <c r="P187" i="13"/>
  <c r="BT265" i="13"/>
  <c r="X403" i="13"/>
  <c r="M51" i="13"/>
  <c r="X483" i="13"/>
  <c r="BC119" i="13"/>
  <c r="G117" i="13"/>
  <c r="M247" i="13"/>
  <c r="J303" i="13"/>
  <c r="AD320" i="13"/>
  <c r="P444" i="13"/>
  <c r="P266" i="13"/>
  <c r="K113" i="13"/>
  <c r="AD453" i="13"/>
  <c r="BV271" i="13"/>
  <c r="AJ462" i="13"/>
  <c r="A198" i="13"/>
  <c r="BS144" i="13"/>
  <c r="Z477" i="13"/>
  <c r="U318" i="13"/>
  <c r="AA164" i="13"/>
  <c r="AS49" i="13"/>
  <c r="AB180" i="13"/>
  <c r="AY478" i="13"/>
  <c r="Q214" i="13"/>
  <c r="AZ500" i="13"/>
  <c r="T222" i="13"/>
  <c r="K174" i="13"/>
  <c r="X382" i="13"/>
  <c r="BA397" i="13"/>
  <c r="AU82" i="13"/>
  <c r="BH200" i="13"/>
  <c r="M140" i="13"/>
  <c r="BR180" i="13"/>
  <c r="AB399" i="13"/>
  <c r="AY39" i="13"/>
  <c r="AR223" i="13"/>
  <c r="AM175" i="13"/>
  <c r="AO225" i="13"/>
  <c r="AI453" i="13"/>
  <c r="AR388" i="13"/>
  <c r="BP108" i="13"/>
  <c r="Z343" i="13"/>
  <c r="AB143" i="13"/>
  <c r="BL60" i="13"/>
  <c r="AC484" i="13"/>
  <c r="AO97" i="13"/>
  <c r="BP342" i="13"/>
  <c r="BA118" i="13"/>
  <c r="BR53" i="13"/>
  <c r="BF252" i="13"/>
  <c r="AW413" i="13"/>
  <c r="J278" i="13"/>
  <c r="D113" i="13"/>
  <c r="BM361" i="13"/>
  <c r="BR81" i="13"/>
  <c r="AK259" i="13"/>
  <c r="BJ317" i="13"/>
  <c r="P158" i="13"/>
  <c r="AR353" i="13"/>
  <c r="AR232" i="13"/>
  <c r="T283" i="13"/>
  <c r="Z468" i="13"/>
  <c r="BI291" i="13"/>
  <c r="BJ198" i="13"/>
  <c r="AH233" i="13"/>
  <c r="C263" i="13"/>
  <c r="Z176" i="13"/>
  <c r="AS456" i="13"/>
  <c r="AN115" i="13"/>
  <c r="K233" i="13"/>
  <c r="BA342" i="13"/>
  <c r="F81" i="13"/>
  <c r="AY218" i="13"/>
  <c r="V446" i="13"/>
  <c r="BC320" i="13"/>
  <c r="I99" i="13"/>
  <c r="N68" i="13"/>
  <c r="AT53" i="13"/>
  <c r="I255" i="13"/>
  <c r="AH147" i="13"/>
  <c r="BB61" i="13"/>
  <c r="X318" i="13"/>
  <c r="BQ116" i="13"/>
  <c r="AP326" i="13"/>
  <c r="BU415" i="13"/>
  <c r="N142" i="13"/>
  <c r="BP138" i="13"/>
  <c r="AO47" i="13"/>
  <c r="AP63" i="13"/>
  <c r="AE171" i="13"/>
  <c r="AF439" i="13"/>
  <c r="AV151" i="13"/>
  <c r="C149" i="13"/>
  <c r="BN194" i="13"/>
  <c r="F413" i="13"/>
  <c r="V326" i="13"/>
  <c r="P177" i="13"/>
  <c r="B430" i="13"/>
  <c r="AP428" i="13"/>
  <c r="AJ87" i="13"/>
  <c r="Y475" i="13"/>
  <c r="R442" i="13"/>
  <c r="BT454" i="13"/>
  <c r="AC90" i="13"/>
  <c r="U328" i="13"/>
  <c r="BL99" i="13"/>
  <c r="AP88" i="13"/>
  <c r="BK389" i="13"/>
  <c r="BN3" i="13"/>
  <c r="AT228" i="13"/>
  <c r="AG221" i="13"/>
  <c r="AI1" i="13"/>
  <c r="I366" i="13"/>
  <c r="R421" i="13"/>
  <c r="AL370" i="13"/>
  <c r="AY305" i="13"/>
  <c r="N290" i="13"/>
  <c r="B492" i="13"/>
  <c r="F220" i="13"/>
  <c r="J102" i="13"/>
  <c r="B220" i="13"/>
  <c r="AR290" i="13"/>
  <c r="BU473" i="13"/>
  <c r="AA475" i="13"/>
  <c r="AK34" i="13"/>
  <c r="BK233" i="13"/>
  <c r="AQ325" i="13"/>
  <c r="O399" i="13"/>
  <c r="N221" i="13"/>
  <c r="T290" i="13"/>
  <c r="O277" i="13"/>
  <c r="BR297" i="13"/>
  <c r="BT479" i="13"/>
  <c r="BI450" i="13"/>
  <c r="BG392" i="13"/>
  <c r="BG478" i="13"/>
  <c r="U74" i="13"/>
  <c r="AH416" i="13"/>
  <c r="W405" i="13"/>
  <c r="BH30" i="13"/>
  <c r="J34" i="13"/>
  <c r="N369" i="13"/>
  <c r="AX195" i="13"/>
  <c r="R345" i="13"/>
  <c r="AO401" i="13"/>
  <c r="BD125" i="13"/>
  <c r="AQ58" i="13"/>
  <c r="Q53" i="13"/>
  <c r="AP173" i="13"/>
  <c r="BQ439" i="13"/>
  <c r="AR294" i="13"/>
  <c r="D242" i="13"/>
  <c r="BR165" i="13"/>
  <c r="D342" i="13"/>
  <c r="BO259" i="13"/>
  <c r="AN345" i="13"/>
  <c r="BF132" i="13"/>
  <c r="Z33" i="13"/>
  <c r="Z44" i="13"/>
  <c r="AL436" i="13"/>
  <c r="W122" i="13"/>
  <c r="BR58" i="13"/>
  <c r="AD285" i="13"/>
  <c r="BP251" i="13"/>
  <c r="AP375" i="13"/>
  <c r="BW470" i="13"/>
  <c r="AM457" i="13"/>
  <c r="AV294" i="13"/>
  <c r="D267" i="13"/>
  <c r="AB341" i="13"/>
  <c r="AY243" i="13"/>
  <c r="U28" i="13"/>
  <c r="X64" i="13"/>
  <c r="C136" i="13"/>
  <c r="AU269" i="13"/>
  <c r="BP381" i="13"/>
  <c r="BS14" i="13"/>
  <c r="W487" i="13"/>
  <c r="AD97" i="13"/>
  <c r="J411" i="13"/>
  <c r="BH393" i="13"/>
  <c r="V16" i="13"/>
  <c r="Y74" i="13"/>
  <c r="L347" i="13"/>
  <c r="D320" i="13"/>
  <c r="BS225" i="13"/>
  <c r="A390" i="13"/>
  <c r="BB215" i="13"/>
  <c r="AM488" i="13"/>
  <c r="F181" i="13"/>
  <c r="BK104" i="13"/>
  <c r="BG346" i="13"/>
  <c r="AR295" i="13"/>
  <c r="AR90" i="13"/>
  <c r="S267" i="13"/>
  <c r="BI47" i="13"/>
  <c r="A284" i="13"/>
  <c r="BC159" i="13"/>
  <c r="L471" i="13"/>
  <c r="AK384" i="13"/>
  <c r="C27" i="13"/>
  <c r="AE110" i="13"/>
  <c r="BU287" i="13"/>
  <c r="BE41" i="13"/>
  <c r="Y27" i="13"/>
  <c r="BM452" i="13"/>
  <c r="AQ134" i="13"/>
  <c r="C121" i="13"/>
  <c r="BS449" i="13"/>
  <c r="AN43" i="13"/>
  <c r="Y481" i="13"/>
  <c r="T27" i="13"/>
  <c r="AR181" i="13"/>
  <c r="F137" i="13"/>
  <c r="C14" i="13"/>
  <c r="I285" i="13"/>
  <c r="R155" i="13"/>
  <c r="AW371" i="13"/>
  <c r="C351" i="13"/>
  <c r="AB7" i="13"/>
  <c r="T118" i="13"/>
  <c r="AA398" i="13"/>
  <c r="V498" i="13"/>
  <c r="L112" i="13"/>
  <c r="AD284" i="13"/>
  <c r="F275" i="13"/>
  <c r="K63" i="13"/>
  <c r="D314" i="13"/>
  <c r="AT257" i="13"/>
  <c r="N276" i="13"/>
  <c r="AL345" i="13"/>
  <c r="K309" i="13"/>
  <c r="BI199" i="13"/>
  <c r="B121" i="13"/>
  <c r="O254" i="13"/>
  <c r="S234" i="13"/>
  <c r="BT242" i="13"/>
  <c r="BD97" i="13"/>
  <c r="BH279" i="13"/>
  <c r="AS110" i="13"/>
  <c r="AV171" i="13"/>
  <c r="I323" i="13"/>
  <c r="AN151" i="13"/>
  <c r="BF353" i="13"/>
  <c r="AR59" i="13"/>
  <c r="BJ155" i="13"/>
  <c r="AF408" i="13"/>
  <c r="AL385" i="13"/>
  <c r="U214" i="13"/>
  <c r="AU121" i="13"/>
  <c r="AT277" i="13"/>
  <c r="BE198" i="13"/>
  <c r="BN239" i="13"/>
  <c r="BU151" i="13"/>
  <c r="BE42" i="13"/>
  <c r="BJ247" i="13"/>
  <c r="BJ65" i="13"/>
  <c r="BJ154" i="13"/>
  <c r="Y120" i="13"/>
  <c r="F306" i="13"/>
  <c r="AE26" i="13"/>
  <c r="BR17" i="13"/>
  <c r="AP390" i="13"/>
  <c r="AV401" i="13"/>
  <c r="AC406" i="13"/>
  <c r="BK372" i="13"/>
  <c r="T377" i="13"/>
  <c r="M413" i="13"/>
  <c r="BG280" i="13"/>
  <c r="BH102" i="13"/>
  <c r="BQ224" i="13"/>
  <c r="BS326" i="13"/>
  <c r="AD292" i="13"/>
  <c r="BN491" i="13"/>
  <c r="BC409" i="13"/>
  <c r="BV174" i="13"/>
  <c r="P264" i="13"/>
  <c r="Z42" i="13"/>
  <c r="BP182" i="13"/>
  <c r="AI325" i="13"/>
  <c r="Y491" i="13"/>
  <c r="C479" i="13"/>
  <c r="AZ411" i="13"/>
  <c r="AA95" i="13"/>
  <c r="N449" i="13"/>
  <c r="F359" i="13"/>
  <c r="BF250" i="13"/>
  <c r="A385" i="13"/>
  <c r="G372" i="13"/>
  <c r="BD218" i="13"/>
  <c r="BL424" i="13"/>
  <c r="AU330" i="13"/>
  <c r="AS188" i="13"/>
  <c r="AW365" i="13"/>
  <c r="U43" i="13"/>
  <c r="AZ100" i="13"/>
  <c r="B154" i="13"/>
  <c r="P438" i="13"/>
  <c r="X166" i="13"/>
  <c r="M358" i="13"/>
  <c r="BR93" i="13"/>
  <c r="AN494" i="13"/>
  <c r="E153" i="13"/>
  <c r="BQ162" i="13"/>
  <c r="BK213" i="13"/>
  <c r="AV439" i="13"/>
  <c r="AS403" i="13"/>
  <c r="AV464" i="13"/>
  <c r="D323" i="13"/>
  <c r="K294" i="13"/>
  <c r="BU36" i="13"/>
  <c r="BD10" i="13"/>
  <c r="I114" i="13"/>
  <c r="BM194" i="13"/>
  <c r="AI342" i="13"/>
  <c r="BW111" i="13"/>
  <c r="AG128" i="13"/>
  <c r="BN289" i="13"/>
  <c r="BR355" i="13"/>
  <c r="H301" i="13"/>
  <c r="B315" i="13"/>
  <c r="AE382" i="13"/>
  <c r="AS232" i="13"/>
  <c r="BS296" i="13"/>
  <c r="AM129" i="13"/>
  <c r="BM29" i="13"/>
  <c r="AO173" i="13"/>
  <c r="AO109" i="13"/>
  <c r="O434" i="13"/>
  <c r="L314" i="13"/>
  <c r="A258" i="13"/>
  <c r="AZ486" i="13"/>
  <c r="AT378" i="13"/>
  <c r="B425" i="13"/>
  <c r="AL450" i="13"/>
  <c r="AX202" i="13"/>
  <c r="AU359" i="13"/>
  <c r="F370" i="13"/>
  <c r="AC54" i="13"/>
  <c r="BC500" i="13"/>
  <c r="Z171" i="13"/>
  <c r="AI143" i="13"/>
  <c r="AJ423" i="13"/>
  <c r="AL389" i="13"/>
  <c r="J239" i="13"/>
  <c r="AM269" i="13"/>
  <c r="BP54" i="13"/>
  <c r="AD459" i="13"/>
  <c r="R188" i="13"/>
  <c r="AK491" i="13"/>
  <c r="AJ294" i="13"/>
  <c r="AD247" i="13"/>
  <c r="BT123" i="13"/>
  <c r="O427" i="13"/>
  <c r="BB433" i="13"/>
  <c r="AO260" i="13"/>
  <c r="Z456" i="13"/>
  <c r="O105" i="13"/>
  <c r="X195" i="13"/>
  <c r="AU393" i="13"/>
  <c r="X325" i="13"/>
  <c r="BP15" i="13"/>
  <c r="C446" i="13"/>
  <c r="L100" i="13"/>
  <c r="BF330" i="13"/>
  <c r="BS95" i="13"/>
  <c r="BG60" i="13"/>
  <c r="AB363" i="13"/>
  <c r="AB19" i="13"/>
  <c r="I422" i="13"/>
  <c r="BU387" i="13"/>
  <c r="AG95" i="13"/>
  <c r="AV311" i="13"/>
  <c r="AS109" i="13"/>
  <c r="AV433" i="13"/>
  <c r="V37" i="13"/>
  <c r="F355" i="13"/>
  <c r="AJ252" i="13"/>
  <c r="B343" i="13"/>
  <c r="AT254" i="13"/>
  <c r="BA77" i="13"/>
  <c r="V464" i="13"/>
  <c r="W217" i="13"/>
  <c r="AF15" i="13"/>
  <c r="T399" i="13"/>
  <c r="P79" i="13"/>
  <c r="BE303" i="13"/>
  <c r="BV301" i="13"/>
  <c r="K72" i="13"/>
  <c r="AQ335" i="13"/>
  <c r="AX225" i="13"/>
  <c r="BV102" i="13"/>
  <c r="BK68" i="13"/>
  <c r="BI486" i="13"/>
  <c r="BC8" i="13"/>
  <c r="AK110" i="13"/>
  <c r="AH450" i="13"/>
  <c r="AC77" i="13"/>
  <c r="AX133" i="13"/>
  <c r="AS335" i="13"/>
  <c r="AB247" i="13"/>
  <c r="M21" i="13"/>
  <c r="AN172" i="13"/>
  <c r="BM90" i="13"/>
  <c r="AQ200" i="13"/>
  <c r="AA143" i="13"/>
  <c r="A250" i="13"/>
  <c r="H394" i="13"/>
  <c r="Z114" i="13"/>
  <c r="P123" i="13"/>
  <c r="G370" i="13"/>
  <c r="BQ399" i="13"/>
  <c r="BJ326" i="13"/>
  <c r="AN394" i="13"/>
  <c r="BA293" i="13"/>
  <c r="BG31" i="13"/>
  <c r="O226" i="13"/>
  <c r="M180" i="13"/>
  <c r="BQ242" i="13"/>
  <c r="Q218" i="13"/>
  <c r="AY315" i="13"/>
  <c r="Y469" i="13"/>
  <c r="AH300" i="13"/>
  <c r="AV456" i="13"/>
  <c r="BC454" i="13"/>
  <c r="AM128" i="13"/>
  <c r="BS118" i="13"/>
  <c r="T149" i="13"/>
  <c r="BQ483" i="13"/>
  <c r="R390" i="13"/>
  <c r="AG324" i="13"/>
  <c r="BD140" i="13"/>
  <c r="N257" i="13"/>
  <c r="N102" i="13"/>
  <c r="F121" i="13"/>
  <c r="BE262" i="13"/>
  <c r="T250" i="13"/>
  <c r="BD487" i="13"/>
  <c r="BB50" i="13"/>
  <c r="AP493" i="13"/>
  <c r="BB318" i="13"/>
  <c r="BF219" i="13"/>
  <c r="V403" i="13"/>
  <c r="AO380" i="13"/>
  <c r="BI297" i="13"/>
  <c r="B146" i="13"/>
  <c r="H90" i="13"/>
  <c r="B391" i="13"/>
  <c r="BA214" i="13"/>
  <c r="BM239" i="13"/>
  <c r="S109" i="13"/>
  <c r="BA221" i="13"/>
  <c r="BJ500" i="13"/>
  <c r="BE484" i="13"/>
  <c r="BA211" i="13"/>
  <c r="AL292" i="13"/>
  <c r="BE355" i="13"/>
  <c r="N137" i="13"/>
  <c r="B432" i="13"/>
  <c r="AP40" i="13"/>
  <c r="BS18" i="13"/>
  <c r="AT6" i="13"/>
  <c r="O225" i="13"/>
  <c r="AS357" i="13"/>
  <c r="BB153" i="13"/>
  <c r="BP16" i="13"/>
  <c r="BB243" i="13"/>
  <c r="AA30" i="13"/>
  <c r="G35" i="13"/>
  <c r="E351" i="13"/>
  <c r="K199" i="13"/>
  <c r="AI29" i="13"/>
  <c r="BB384" i="13"/>
  <c r="AB53" i="13"/>
  <c r="AB205" i="13"/>
  <c r="AD125" i="13"/>
  <c r="BA134" i="13"/>
  <c r="BL3" i="13"/>
  <c r="Q419" i="13"/>
  <c r="N197" i="13"/>
  <c r="D358" i="13"/>
  <c r="AH161" i="13"/>
  <c r="BH308" i="13"/>
  <c r="R40" i="13"/>
  <c r="X158" i="13"/>
  <c r="P254" i="13"/>
  <c r="AL148" i="13"/>
  <c r="BQ441" i="13"/>
  <c r="H98" i="13"/>
  <c r="V487" i="13"/>
  <c r="BV32" i="13"/>
  <c r="BF144" i="13"/>
  <c r="BL120" i="13"/>
  <c r="AU10" i="13"/>
  <c r="BW335" i="13"/>
  <c r="AV13" i="13"/>
  <c r="AF2" i="13"/>
  <c r="A197" i="13"/>
  <c r="F8" i="13"/>
  <c r="I341" i="13"/>
  <c r="Q309" i="13"/>
  <c r="BB168" i="13"/>
  <c r="J90" i="13"/>
  <c r="N338" i="13"/>
  <c r="AX335" i="13"/>
  <c r="E154" i="13"/>
  <c r="N270" i="13"/>
  <c r="V405" i="13"/>
  <c r="BG391" i="13"/>
  <c r="M74" i="13"/>
  <c r="C175" i="13"/>
  <c r="BC214" i="13"/>
  <c r="BS101" i="13"/>
  <c r="AE481" i="13"/>
  <c r="Y294" i="13"/>
  <c r="BE255" i="13"/>
  <c r="BP424" i="13"/>
  <c r="AQ442" i="13"/>
  <c r="AV460" i="13"/>
  <c r="BW346" i="13"/>
  <c r="AO289" i="13"/>
  <c r="L43" i="13"/>
  <c r="AO306" i="13"/>
  <c r="AI49" i="13"/>
  <c r="BB446" i="13"/>
  <c r="AO327" i="13"/>
  <c r="AS252" i="13"/>
  <c r="V315" i="13"/>
  <c r="AT303" i="13"/>
  <c r="AY53" i="13"/>
  <c r="AE97" i="13"/>
  <c r="F6" i="13"/>
  <c r="J17" i="13"/>
  <c r="BI195" i="13"/>
  <c r="Z199" i="13"/>
  <c r="X134" i="13"/>
  <c r="F358" i="13"/>
  <c r="AI435" i="13"/>
  <c r="BA55" i="13"/>
  <c r="AA354" i="13"/>
  <c r="G187" i="13"/>
  <c r="BL391" i="13"/>
  <c r="Y330" i="13"/>
  <c r="AS299" i="13"/>
  <c r="AV249" i="13"/>
  <c r="AG186" i="13"/>
  <c r="AZ84" i="13"/>
  <c r="AJ212" i="13"/>
  <c r="R185" i="13"/>
  <c r="L477" i="13"/>
  <c r="P332" i="13"/>
  <c r="AC486" i="13"/>
  <c r="AD422" i="13"/>
  <c r="BD178" i="13"/>
  <c r="BW142" i="13"/>
  <c r="S97" i="13"/>
  <c r="A489" i="13"/>
  <c r="E448" i="13"/>
  <c r="AE286" i="13"/>
  <c r="I218" i="13"/>
  <c r="BC270" i="13"/>
  <c r="AJ336" i="13"/>
  <c r="T97" i="13"/>
  <c r="BS72" i="13"/>
  <c r="BR471" i="13"/>
  <c r="Y99" i="13"/>
  <c r="O176" i="13"/>
  <c r="AH201" i="13"/>
  <c r="BC137" i="13"/>
  <c r="BH124" i="13"/>
  <c r="S163" i="13"/>
  <c r="AU350" i="13"/>
  <c r="BB336" i="13"/>
  <c r="BA308" i="13"/>
  <c r="O488" i="13"/>
  <c r="AP39" i="13"/>
  <c r="BC209" i="13"/>
  <c r="BL487" i="13"/>
  <c r="AS29" i="13"/>
  <c r="K138" i="13"/>
  <c r="BI377" i="13"/>
  <c r="Y370" i="13"/>
  <c r="Z291" i="13"/>
  <c r="BJ226" i="13"/>
  <c r="Q343" i="13"/>
  <c r="AA486" i="13"/>
  <c r="BQ352" i="13"/>
  <c r="BM8" i="13"/>
  <c r="BM350" i="13"/>
  <c r="U121" i="13"/>
  <c r="BN288" i="13"/>
  <c r="AU73" i="13"/>
  <c r="AM253" i="13"/>
  <c r="AA414" i="13"/>
  <c r="BA501" i="13"/>
  <c r="BN423" i="13"/>
  <c r="K369" i="13"/>
  <c r="U129" i="13"/>
  <c r="P464" i="13"/>
  <c r="Q196" i="13"/>
  <c r="N293" i="13"/>
  <c r="BA440" i="13"/>
  <c r="R214" i="13"/>
  <c r="BO49" i="13"/>
  <c r="E333" i="13"/>
  <c r="AI500" i="13"/>
  <c r="AV411" i="13"/>
  <c r="P494" i="13"/>
  <c r="D432" i="13"/>
  <c r="U47" i="13"/>
  <c r="BR21" i="13"/>
  <c r="AR363" i="13"/>
  <c r="AK494" i="13"/>
  <c r="AJ302" i="13"/>
  <c r="BC178" i="13"/>
  <c r="P23" i="13"/>
  <c r="BK322" i="13"/>
  <c r="AH196" i="13"/>
  <c r="Y256" i="13"/>
  <c r="AA240" i="13"/>
  <c r="AC427" i="13"/>
  <c r="AJ298" i="13"/>
  <c r="S342" i="13"/>
  <c r="E422" i="13"/>
  <c r="Y460" i="13"/>
  <c r="C450" i="13"/>
  <c r="BI433" i="13"/>
  <c r="AM86" i="13"/>
  <c r="AR228" i="13"/>
  <c r="V243" i="13"/>
  <c r="AR139" i="13"/>
  <c r="AP283" i="13"/>
  <c r="V460" i="13"/>
  <c r="G17" i="13"/>
  <c r="AA435" i="13"/>
  <c r="E477" i="13"/>
  <c r="B404" i="13"/>
  <c r="BF237" i="13"/>
  <c r="G48" i="13"/>
  <c r="A271" i="13"/>
  <c r="N485" i="13"/>
  <c r="AX471" i="13"/>
  <c r="S465" i="13"/>
  <c r="BQ168" i="13"/>
  <c r="I456" i="13"/>
  <c r="BD112" i="13"/>
  <c r="BL188" i="13"/>
  <c r="BN211" i="13"/>
  <c r="X378" i="13"/>
  <c r="BC165" i="13"/>
  <c r="O113" i="13"/>
  <c r="BN290" i="13"/>
  <c r="AX190" i="13"/>
  <c r="AX122" i="13"/>
  <c r="E53" i="13"/>
  <c r="AK472" i="13"/>
  <c r="P378" i="13"/>
  <c r="AH18" i="13"/>
  <c r="F58" i="13"/>
  <c r="BO211" i="13"/>
  <c r="Y112" i="13"/>
  <c r="BD17" i="13"/>
  <c r="BO318" i="13"/>
  <c r="I337" i="13"/>
  <c r="AB267" i="13"/>
  <c r="BD200" i="13"/>
  <c r="AX455" i="13"/>
  <c r="W263" i="13"/>
  <c r="T359" i="13"/>
  <c r="BE263" i="13"/>
  <c r="AO198" i="13"/>
  <c r="Q6" i="13"/>
  <c r="R71" i="13"/>
  <c r="BP208" i="13"/>
  <c r="AP100" i="13"/>
  <c r="Z122" i="13"/>
  <c r="AP298" i="13"/>
  <c r="AB10" i="13"/>
  <c r="N153" i="13"/>
  <c r="BC92" i="13"/>
  <c r="BE427" i="13"/>
  <c r="I20" i="13"/>
  <c r="E73" i="13"/>
  <c r="Q34" i="13"/>
  <c r="BK466" i="13"/>
  <c r="Z482" i="13"/>
  <c r="AS339" i="13"/>
  <c r="AU250" i="13"/>
  <c r="AH400" i="13"/>
  <c r="Z37" i="13"/>
  <c r="BF5" i="13"/>
  <c r="K149" i="13"/>
  <c r="AM1" i="13"/>
  <c r="AX140" i="13"/>
  <c r="AS296" i="13"/>
  <c r="G278" i="13"/>
  <c r="BM28" i="13"/>
  <c r="AG363" i="13"/>
  <c r="I79" i="13"/>
  <c r="AG391" i="13"/>
  <c r="N416" i="13"/>
  <c r="N272" i="13"/>
  <c r="AQ334" i="13"/>
  <c r="AS248" i="13"/>
  <c r="M63" i="13"/>
  <c r="F173" i="13"/>
  <c r="BT398" i="13"/>
  <c r="BA417" i="13"/>
  <c r="AH347" i="13"/>
  <c r="BF31" i="13"/>
  <c r="P191" i="13"/>
  <c r="I364" i="13"/>
  <c r="Y19" i="13"/>
  <c r="I158" i="13"/>
  <c r="AJ262" i="13"/>
  <c r="C135" i="13"/>
  <c r="BN168" i="13"/>
  <c r="AU387" i="13"/>
  <c r="AF356" i="13"/>
  <c r="AY434" i="13"/>
  <c r="AF402" i="13"/>
  <c r="BM111" i="13"/>
  <c r="AG79" i="13"/>
  <c r="BN195" i="13"/>
  <c r="AC400" i="13"/>
  <c r="BM491" i="13"/>
  <c r="AP166" i="13"/>
  <c r="AI223" i="13"/>
  <c r="BA366" i="13"/>
  <c r="AU125" i="13"/>
  <c r="A292" i="13"/>
  <c r="U488" i="13"/>
  <c r="AJ331" i="13"/>
  <c r="J438" i="13"/>
  <c r="BH203" i="13"/>
  <c r="V180" i="13"/>
  <c r="AU324" i="13"/>
  <c r="D374" i="13"/>
  <c r="T3" i="13"/>
  <c r="BV41" i="13"/>
  <c r="AJ187" i="13"/>
  <c r="BH50" i="13"/>
  <c r="Y67" i="13"/>
  <c r="AX154" i="13"/>
  <c r="AB488" i="13"/>
  <c r="BV221" i="13"/>
  <c r="N261" i="13"/>
  <c r="BO123" i="13"/>
  <c r="N433" i="13"/>
  <c r="E131" i="13"/>
  <c r="BM39" i="13"/>
  <c r="Q183" i="13"/>
  <c r="P142" i="13"/>
  <c r="BJ57" i="13"/>
  <c r="BM236" i="13"/>
  <c r="J330" i="13"/>
  <c r="E381" i="13"/>
  <c r="AL5" i="13"/>
  <c r="BJ488" i="13"/>
  <c r="D45" i="13"/>
  <c r="Q461" i="13"/>
  <c r="X271" i="13"/>
  <c r="BD450" i="13"/>
  <c r="BA408" i="13"/>
  <c r="A404" i="13"/>
  <c r="M250" i="13"/>
  <c r="AB325" i="13"/>
  <c r="AB376" i="13"/>
  <c r="K78" i="13"/>
  <c r="AR461" i="13"/>
  <c r="G445" i="13"/>
  <c r="AI61" i="13"/>
  <c r="AL133" i="13"/>
  <c r="BF241" i="13"/>
  <c r="AB437" i="13"/>
  <c r="Q149" i="13"/>
  <c r="BV451" i="13"/>
  <c r="BE118" i="13"/>
  <c r="V454" i="13"/>
  <c r="L487" i="13"/>
  <c r="W307" i="13"/>
  <c r="AY248" i="13"/>
  <c r="AH258" i="13"/>
  <c r="BE422" i="13"/>
  <c r="N360" i="13"/>
  <c r="AM312" i="13"/>
  <c r="L4" i="13"/>
  <c r="AI178" i="13"/>
  <c r="AG446" i="13"/>
  <c r="BG487" i="13"/>
  <c r="H284" i="13"/>
  <c r="Z27" i="13"/>
  <c r="G156" i="13"/>
  <c r="AD307" i="13"/>
  <c r="BH125" i="13"/>
  <c r="K147" i="13"/>
  <c r="AL75" i="13"/>
  <c r="AM201" i="13"/>
  <c r="AL138" i="13"/>
  <c r="K256" i="13"/>
  <c r="BO41" i="13"/>
  <c r="AU157" i="13"/>
  <c r="M471" i="13"/>
  <c r="K222" i="13"/>
  <c r="T272" i="13"/>
  <c r="BF46" i="13"/>
  <c r="BM365" i="13"/>
  <c r="BT169" i="13"/>
  <c r="U175" i="13"/>
  <c r="AC17" i="13"/>
  <c r="BW112" i="13"/>
  <c r="BH53" i="13"/>
  <c r="N256" i="13"/>
  <c r="G317" i="13"/>
  <c r="AK187" i="13"/>
  <c r="A335" i="13"/>
  <c r="BM68" i="13"/>
  <c r="AY259" i="13"/>
  <c r="K11" i="13"/>
  <c r="BW498" i="13"/>
  <c r="BG477" i="13"/>
  <c r="H152" i="13"/>
  <c r="N399" i="13"/>
  <c r="AY15" i="13"/>
  <c r="F490" i="13"/>
  <c r="AF80" i="13"/>
  <c r="AF222" i="13"/>
  <c r="R286" i="13"/>
  <c r="P174" i="13"/>
  <c r="O452" i="13"/>
  <c r="BN173" i="13"/>
  <c r="AY330" i="13"/>
  <c r="AK263" i="13"/>
  <c r="O182" i="13"/>
  <c r="BU139" i="13"/>
  <c r="S64" i="13"/>
  <c r="BO23" i="13"/>
  <c r="BD235" i="13"/>
  <c r="C491" i="13"/>
  <c r="AP172" i="13"/>
  <c r="AF77" i="13"/>
  <c r="F317" i="13"/>
  <c r="AN23" i="13"/>
  <c r="AT331" i="13"/>
  <c r="B39" i="13"/>
  <c r="BE373" i="13"/>
  <c r="BU311" i="13"/>
  <c r="J447" i="13"/>
  <c r="BB350" i="13"/>
  <c r="I107" i="13"/>
  <c r="BO423" i="13"/>
  <c r="U459" i="13"/>
  <c r="AI43" i="13"/>
  <c r="BR214" i="13"/>
  <c r="AD233" i="13"/>
  <c r="AD254" i="13"/>
  <c r="AD221" i="13"/>
  <c r="K17" i="13"/>
  <c r="AD381" i="13"/>
  <c r="H185" i="13"/>
  <c r="BL408" i="13"/>
  <c r="AZ305" i="13"/>
  <c r="BQ264" i="13"/>
  <c r="BO37" i="13"/>
  <c r="J345" i="13"/>
  <c r="AA175" i="13"/>
  <c r="I57" i="13"/>
  <c r="AG179" i="13"/>
  <c r="AH246" i="13"/>
  <c r="Y435" i="13"/>
  <c r="M148" i="13"/>
  <c r="G298" i="13"/>
  <c r="AY274" i="13"/>
  <c r="BQ433" i="13"/>
  <c r="V370" i="13"/>
  <c r="P216" i="13"/>
  <c r="AQ133" i="13"/>
  <c r="AT84" i="13"/>
  <c r="M473" i="13"/>
  <c r="BN248" i="13"/>
  <c r="M485" i="13"/>
  <c r="BR72" i="13"/>
  <c r="BG143" i="13"/>
  <c r="BO122" i="13"/>
  <c r="AM19" i="13"/>
  <c r="B454" i="13"/>
  <c r="AJ159" i="13"/>
  <c r="BJ366" i="13"/>
  <c r="F451" i="13"/>
  <c r="BG71" i="13"/>
  <c r="AB227" i="13"/>
  <c r="BO130" i="13"/>
  <c r="K297" i="13"/>
  <c r="AM382" i="13"/>
  <c r="K419" i="13"/>
  <c r="T224" i="13"/>
  <c r="AC153" i="13"/>
  <c r="AF125" i="13"/>
  <c r="H175" i="13"/>
  <c r="AV173" i="13"/>
  <c r="E312" i="13"/>
  <c r="E259" i="13"/>
  <c r="F259" i="13"/>
  <c r="BU9" i="13"/>
  <c r="AP360" i="13"/>
  <c r="AR33" i="13"/>
  <c r="E325" i="13"/>
  <c r="AR60" i="13"/>
  <c r="BM27" i="13"/>
  <c r="BK50" i="13"/>
  <c r="Y493" i="13"/>
  <c r="I418" i="13"/>
  <c r="H62" i="13"/>
  <c r="BE17" i="13"/>
  <c r="C302" i="13"/>
  <c r="AP268" i="13"/>
  <c r="X178" i="13"/>
  <c r="F169" i="13"/>
  <c r="BJ52" i="13"/>
  <c r="M198" i="13"/>
  <c r="AH333" i="13"/>
  <c r="AL199" i="13"/>
  <c r="AR426" i="13"/>
  <c r="AK254" i="13"/>
  <c r="AQ43" i="13"/>
  <c r="BP426" i="13"/>
  <c r="F206" i="13"/>
  <c r="BQ477" i="13"/>
  <c r="AB412" i="13"/>
  <c r="BN243" i="13"/>
  <c r="W490" i="13"/>
  <c r="O45" i="13"/>
  <c r="BT48" i="13"/>
  <c r="Q284" i="13"/>
  <c r="AI436" i="13"/>
  <c r="U255" i="13"/>
  <c r="AA121" i="13"/>
  <c r="AT109" i="13"/>
  <c r="AT485" i="13"/>
  <c r="AT29" i="13"/>
  <c r="F207" i="13"/>
  <c r="BI476" i="13"/>
  <c r="AW416" i="13"/>
  <c r="BK183" i="13"/>
  <c r="BT234" i="13"/>
  <c r="M415" i="13"/>
  <c r="AN36" i="13"/>
  <c r="BK305" i="13"/>
  <c r="AO498" i="13"/>
  <c r="AM32" i="13"/>
  <c r="U81" i="13"/>
  <c r="AA302" i="13"/>
  <c r="AL92" i="13"/>
  <c r="AU207" i="13"/>
  <c r="V80" i="13"/>
  <c r="BC125" i="13"/>
  <c r="AG170" i="13"/>
  <c r="BT283" i="13"/>
  <c r="AF445" i="13"/>
  <c r="BA343" i="13"/>
  <c r="T280" i="13"/>
  <c r="BW359" i="13"/>
  <c r="BL482" i="13"/>
  <c r="AL429" i="13"/>
  <c r="BI264" i="13"/>
  <c r="AS225" i="13"/>
  <c r="AZ9" i="13"/>
  <c r="I148" i="13"/>
  <c r="AU130" i="13"/>
  <c r="AF457" i="13"/>
  <c r="AB71" i="13"/>
  <c r="R329" i="13"/>
  <c r="AU437" i="13"/>
  <c r="V348" i="13"/>
  <c r="BO68" i="13"/>
  <c r="F258" i="13"/>
  <c r="BD1" i="13"/>
  <c r="E161" i="13"/>
  <c r="Z47" i="13"/>
  <c r="P241" i="13"/>
  <c r="AA262" i="13"/>
  <c r="H365" i="13"/>
  <c r="Q424" i="13"/>
  <c r="AN315" i="13"/>
  <c r="AQ106" i="13"/>
  <c r="BL298" i="13"/>
  <c r="Y261" i="13"/>
  <c r="BE242" i="13"/>
  <c r="BK463" i="13"/>
  <c r="AY190" i="13"/>
  <c r="BN295" i="13"/>
  <c r="BR470" i="13"/>
  <c r="BM138" i="13"/>
  <c r="L368" i="13"/>
  <c r="J272" i="13"/>
  <c r="BC51" i="13"/>
  <c r="AI449" i="13"/>
  <c r="AG219" i="13"/>
  <c r="G239" i="13"/>
  <c r="BE290" i="13"/>
  <c r="I452" i="13"/>
  <c r="BJ271" i="13"/>
  <c r="BA169" i="13"/>
  <c r="AB21" i="13"/>
  <c r="AA416" i="13"/>
  <c r="V365" i="13"/>
  <c r="AV5" i="13"/>
  <c r="BJ390" i="13"/>
  <c r="AZ3" i="13"/>
  <c r="BP288" i="13"/>
  <c r="BE154" i="13"/>
  <c r="BO433" i="13"/>
  <c r="BF75" i="13"/>
  <c r="C427" i="13"/>
  <c r="BG394" i="13"/>
  <c r="P83" i="13"/>
  <c r="BI442" i="13"/>
  <c r="S447" i="13"/>
  <c r="AB102" i="13"/>
  <c r="A333" i="13"/>
  <c r="AC297" i="13"/>
  <c r="AK344" i="13"/>
  <c r="AF307" i="13"/>
  <c r="Q104" i="13"/>
  <c r="BQ133" i="13"/>
  <c r="S270" i="13"/>
  <c r="AJ22" i="13"/>
  <c r="F114" i="13"/>
  <c r="AC367" i="13"/>
  <c r="AT419" i="13"/>
  <c r="I180" i="13"/>
  <c r="BH372" i="13"/>
  <c r="A485" i="13"/>
  <c r="BU200" i="13"/>
  <c r="BI94" i="13"/>
  <c r="D384" i="13"/>
  <c r="D99" i="13"/>
  <c r="X484" i="13"/>
  <c r="BJ171" i="13"/>
  <c r="AJ420" i="13"/>
  <c r="BO497" i="13"/>
  <c r="BN359" i="13"/>
  <c r="Z499" i="13"/>
  <c r="BB156" i="13"/>
  <c r="BM221" i="13"/>
  <c r="Y269" i="13"/>
  <c r="V430" i="13"/>
  <c r="BC347" i="13"/>
  <c r="Y449" i="13"/>
  <c r="AP30" i="13"/>
  <c r="BO221" i="13"/>
  <c r="Z7" i="13"/>
  <c r="B238" i="13"/>
  <c r="AY437" i="13"/>
  <c r="AS429" i="13"/>
  <c r="AR280" i="13"/>
  <c r="BR421" i="13"/>
  <c r="AH178" i="13"/>
  <c r="BN230" i="13"/>
  <c r="AM89" i="13"/>
  <c r="AL426" i="13"/>
  <c r="F440" i="13"/>
  <c r="BU168" i="13"/>
  <c r="BF55" i="13"/>
  <c r="BR61" i="13"/>
  <c r="AF11" i="13"/>
  <c r="R396" i="13"/>
  <c r="AG268" i="13"/>
  <c r="AA115" i="13"/>
  <c r="AR25" i="13"/>
  <c r="BE321" i="13"/>
  <c r="Z50" i="13"/>
  <c r="AO345" i="13"/>
  <c r="AK208" i="13"/>
  <c r="AB184" i="13"/>
  <c r="D120" i="13"/>
  <c r="Z487" i="13"/>
  <c r="AA68" i="13"/>
  <c r="AG440" i="13"/>
  <c r="F160" i="13"/>
  <c r="AC223" i="13"/>
  <c r="BL163" i="13"/>
  <c r="W328" i="13"/>
  <c r="BM118" i="13"/>
  <c r="T413" i="13"/>
  <c r="AN243" i="13"/>
  <c r="AC307" i="13"/>
  <c r="AT101" i="13"/>
  <c r="AT374" i="13"/>
  <c r="AP340" i="13"/>
  <c r="BI411" i="13"/>
  <c r="AT388" i="13"/>
  <c r="R282" i="13"/>
  <c r="AB359" i="13"/>
  <c r="AX429" i="13"/>
  <c r="AH231" i="13"/>
  <c r="AJ436" i="13"/>
  <c r="BP343" i="13"/>
  <c r="V41" i="13"/>
  <c r="AT112" i="13"/>
  <c r="BB40" i="13"/>
  <c r="W362" i="13"/>
  <c r="W283" i="13"/>
  <c r="BQ468" i="13"/>
  <c r="X223" i="13"/>
  <c r="BK379" i="13"/>
  <c r="AP427" i="13"/>
  <c r="E223" i="13"/>
  <c r="AD489" i="13"/>
  <c r="J276" i="13"/>
  <c r="BP109" i="13"/>
  <c r="BL322" i="13"/>
  <c r="BV231" i="13"/>
  <c r="BS377" i="13"/>
  <c r="S241" i="13"/>
  <c r="Z161" i="13"/>
  <c r="E298" i="13"/>
  <c r="BD65" i="13"/>
  <c r="BT315" i="13"/>
  <c r="Z257" i="13"/>
  <c r="AI380" i="13"/>
  <c r="A71" i="13"/>
  <c r="BH464" i="13"/>
  <c r="AD486" i="13"/>
  <c r="BB365" i="13"/>
  <c r="AT441" i="13"/>
  <c r="B249" i="13"/>
  <c r="U305" i="13"/>
  <c r="BS308" i="13"/>
  <c r="AJ115" i="13"/>
  <c r="J100" i="13"/>
  <c r="BG151" i="13"/>
  <c r="BE186" i="13"/>
  <c r="AY216" i="13"/>
  <c r="AJ467" i="13"/>
  <c r="BL48" i="13"/>
  <c r="AU374" i="13"/>
  <c r="BO204" i="13"/>
  <c r="BN412" i="13"/>
  <c r="BR499" i="13"/>
  <c r="AA71" i="13"/>
  <c r="AK252" i="13"/>
  <c r="BL58" i="13"/>
  <c r="BK69" i="13"/>
  <c r="AO408" i="13"/>
  <c r="BH66" i="13"/>
  <c r="AY438" i="13"/>
  <c r="R395" i="13"/>
  <c r="AJ369" i="13"/>
  <c r="Y129" i="13"/>
  <c r="AH195" i="13"/>
  <c r="Q176" i="13"/>
  <c r="I184" i="13"/>
  <c r="J16" i="13"/>
  <c r="T111" i="13"/>
  <c r="AB306" i="13"/>
  <c r="BR102" i="13"/>
  <c r="BG237" i="13"/>
  <c r="AS371" i="13"/>
  <c r="L101" i="13"/>
  <c r="BS45" i="13"/>
  <c r="S485" i="13"/>
  <c r="L253" i="13"/>
  <c r="A497" i="13"/>
  <c r="BC385" i="13"/>
  <c r="N322" i="13"/>
  <c r="AD262" i="13"/>
  <c r="G244" i="13"/>
  <c r="L422" i="13"/>
  <c r="U143" i="13"/>
  <c r="AY286" i="13"/>
  <c r="AY319" i="13"/>
  <c r="BE57" i="13"/>
  <c r="AN77" i="13"/>
  <c r="V262" i="13"/>
  <c r="AF325" i="13"/>
  <c r="AL318" i="13"/>
  <c r="Y70" i="13"/>
  <c r="AD461" i="13"/>
  <c r="AH262" i="13"/>
  <c r="BG409" i="13"/>
  <c r="BE345" i="13"/>
  <c r="BQ118" i="13"/>
  <c r="BC478" i="13"/>
  <c r="AW76" i="13"/>
  <c r="U259" i="13"/>
  <c r="AJ28" i="13"/>
  <c r="BF494" i="13"/>
  <c r="BO125" i="13"/>
  <c r="AK21" i="13"/>
  <c r="AK406" i="13"/>
  <c r="AY313" i="13"/>
  <c r="AN173" i="13"/>
  <c r="BW272" i="13"/>
  <c r="N275" i="13"/>
  <c r="AR419" i="13"/>
  <c r="AS18" i="13"/>
  <c r="AN199" i="13"/>
  <c r="C10" i="13"/>
  <c r="BR354" i="13"/>
  <c r="AU37" i="13"/>
  <c r="AI383" i="13"/>
  <c r="AU483" i="13"/>
  <c r="N483" i="13"/>
  <c r="AQ231" i="13"/>
  <c r="V397" i="13"/>
  <c r="P229" i="13"/>
  <c r="V400" i="13"/>
  <c r="AZ115" i="13"/>
  <c r="AM402" i="13"/>
  <c r="AG494" i="13"/>
  <c r="P71" i="13"/>
  <c r="AN286" i="13"/>
  <c r="V457" i="13"/>
  <c r="AA479" i="13"/>
  <c r="BH106" i="13"/>
  <c r="AI28" i="13"/>
  <c r="BV363" i="13"/>
  <c r="AF232" i="13"/>
  <c r="W402" i="13"/>
  <c r="AP457" i="13"/>
  <c r="AL49" i="13"/>
  <c r="BG155" i="13"/>
  <c r="BQ338" i="13"/>
  <c r="J324" i="13"/>
  <c r="BR188" i="13"/>
  <c r="AA462" i="13"/>
  <c r="AA201" i="13"/>
  <c r="X214" i="13"/>
  <c r="X269" i="13"/>
  <c r="O215" i="13"/>
  <c r="BE269" i="13"/>
  <c r="Q208" i="13"/>
  <c r="V441" i="13"/>
  <c r="H132" i="13"/>
  <c r="D109" i="13"/>
  <c r="AB361" i="13"/>
  <c r="B26" i="13"/>
  <c r="D317" i="13"/>
  <c r="AK179" i="13"/>
  <c r="BP9" i="13"/>
  <c r="C488" i="13"/>
  <c r="BS1" i="13"/>
  <c r="X399" i="13"/>
  <c r="BC257" i="13"/>
  <c r="P73" i="13"/>
  <c r="BV360" i="13"/>
  <c r="E6" i="13"/>
  <c r="BD319" i="13"/>
  <c r="BR267" i="13"/>
  <c r="BT167" i="13"/>
  <c r="S381" i="13"/>
  <c r="C35" i="13"/>
  <c r="AI372" i="13"/>
  <c r="BD119" i="13"/>
  <c r="BA329" i="13"/>
  <c r="AR166" i="13"/>
  <c r="T452" i="13"/>
  <c r="E330" i="13"/>
  <c r="AE156" i="13"/>
  <c r="AJ449" i="13"/>
  <c r="E72" i="13"/>
  <c r="W114" i="13"/>
  <c r="F480" i="13"/>
  <c r="BW388" i="13"/>
  <c r="AN22" i="13"/>
  <c r="AP87" i="13"/>
  <c r="BG388" i="13"/>
  <c r="BR154" i="13"/>
  <c r="BS70" i="13"/>
  <c r="BA305" i="13"/>
  <c r="AI362" i="13"/>
  <c r="AH438" i="13"/>
  <c r="S53" i="13"/>
  <c r="AE8" i="13"/>
  <c r="P355" i="13"/>
  <c r="AO116" i="13"/>
  <c r="BO85" i="13"/>
  <c r="Y456" i="13"/>
  <c r="N486" i="13"/>
  <c r="AB335" i="13"/>
  <c r="R445" i="13"/>
  <c r="BU437" i="13"/>
  <c r="AI109" i="13"/>
  <c r="BS58" i="13"/>
  <c r="AT81" i="13"/>
  <c r="AZ394" i="13"/>
  <c r="BA311" i="13"/>
  <c r="AH429" i="13"/>
  <c r="AF245" i="13"/>
  <c r="B182" i="13"/>
  <c r="AO389" i="13"/>
  <c r="U391" i="13"/>
  <c r="BN244" i="13"/>
  <c r="BT164" i="13"/>
  <c r="M159" i="13"/>
  <c r="AR474" i="13"/>
  <c r="BW311" i="13"/>
  <c r="BP44" i="13"/>
  <c r="AV463" i="13"/>
  <c r="S376" i="13"/>
  <c r="BT296" i="13"/>
  <c r="AL24" i="13"/>
  <c r="AV132" i="13"/>
  <c r="BK145" i="13"/>
  <c r="BD331" i="13"/>
  <c r="BM416" i="13"/>
  <c r="BN164" i="13"/>
  <c r="U365" i="13"/>
  <c r="D35" i="13"/>
  <c r="F168" i="13"/>
  <c r="L154" i="13"/>
  <c r="I231" i="13"/>
  <c r="AO276" i="13"/>
  <c r="BT186" i="13"/>
  <c r="AQ297" i="13"/>
  <c r="AI339" i="13"/>
  <c r="BU410" i="13"/>
  <c r="R415" i="13"/>
  <c r="AX91" i="13"/>
  <c r="AL289" i="13"/>
  <c r="AG147" i="13"/>
  <c r="AA281" i="13"/>
  <c r="AO391" i="13"/>
  <c r="BT117" i="13"/>
  <c r="AM372" i="13"/>
  <c r="R441" i="13"/>
  <c r="AR66" i="13"/>
  <c r="G451" i="13"/>
  <c r="AW341" i="13"/>
  <c r="BA155" i="13"/>
  <c r="Q96" i="13"/>
  <c r="BV129" i="13"/>
  <c r="G411" i="13"/>
  <c r="BL318" i="13"/>
  <c r="AB175" i="13"/>
  <c r="M195" i="13"/>
  <c r="BG232" i="13"/>
  <c r="M501" i="13"/>
  <c r="BG23" i="13"/>
  <c r="AS137" i="13"/>
  <c r="BC456" i="13"/>
  <c r="BN450" i="13"/>
  <c r="BE276" i="13"/>
  <c r="BR164" i="13"/>
  <c r="X421" i="13"/>
  <c r="AV261" i="13"/>
  <c r="F52" i="13"/>
  <c r="BE215" i="13"/>
  <c r="M319" i="13"/>
  <c r="AS16" i="13"/>
  <c r="AV52" i="13"/>
  <c r="AM164" i="13"/>
  <c r="BO258" i="13"/>
  <c r="BD116" i="13"/>
  <c r="AF66" i="13"/>
  <c r="Y63" i="13"/>
  <c r="AP316" i="13"/>
  <c r="BH58" i="13"/>
  <c r="P493" i="13"/>
  <c r="V39" i="13"/>
  <c r="AQ8" i="13"/>
  <c r="BE125" i="13"/>
  <c r="BQ194" i="13"/>
  <c r="BB461" i="13"/>
  <c r="Z41" i="13"/>
  <c r="M176" i="13"/>
  <c r="BM102" i="13"/>
  <c r="BF181" i="13"/>
  <c r="BD284" i="13"/>
  <c r="BG326" i="13"/>
  <c r="AI35" i="13"/>
  <c r="BJ96" i="13"/>
  <c r="AL306" i="13"/>
  <c r="BK254" i="13"/>
  <c r="AH432" i="13"/>
  <c r="BR485" i="13"/>
  <c r="AV449" i="13"/>
  <c r="BB432" i="13"/>
  <c r="AL456" i="13"/>
  <c r="AD296" i="13"/>
  <c r="AP429" i="13"/>
  <c r="L461" i="13"/>
  <c r="AW258" i="13"/>
  <c r="BL416" i="13"/>
  <c r="I82" i="13"/>
  <c r="AI146" i="13"/>
  <c r="AT73" i="13"/>
  <c r="BS327" i="13"/>
  <c r="AH328" i="13"/>
  <c r="Y199" i="13"/>
  <c r="AD421" i="13"/>
  <c r="AN148" i="13"/>
  <c r="K245" i="13"/>
  <c r="BW17" i="13"/>
  <c r="AY193" i="13"/>
  <c r="AM394" i="13"/>
  <c r="V183" i="13"/>
  <c r="AJ338" i="13"/>
  <c r="AY461" i="13"/>
  <c r="AZ39" i="13"/>
  <c r="J126" i="13"/>
  <c r="I131" i="13"/>
  <c r="AO338" i="13"/>
  <c r="AZ472" i="13"/>
  <c r="BG451" i="13"/>
  <c r="H75" i="13"/>
  <c r="AL196" i="13"/>
  <c r="BW443" i="13"/>
  <c r="AF501" i="13"/>
  <c r="BT80" i="13"/>
  <c r="E7" i="13"/>
  <c r="I219" i="13"/>
  <c r="AQ191" i="13"/>
  <c r="BT438" i="13"/>
  <c r="AG352" i="13"/>
  <c r="BJ146" i="13"/>
  <c r="AK170" i="13"/>
  <c r="BP353" i="13"/>
  <c r="AI374" i="13"/>
  <c r="AX150" i="13"/>
  <c r="K430" i="13"/>
  <c r="B489" i="13"/>
  <c r="BQ160" i="13"/>
  <c r="V415" i="13"/>
  <c r="D501" i="13"/>
  <c r="AN192" i="13"/>
  <c r="H485" i="13"/>
  <c r="BE35" i="13"/>
  <c r="M352" i="13"/>
  <c r="BS295" i="13"/>
  <c r="F482" i="13"/>
  <c r="BT58" i="13"/>
  <c r="BW133" i="13"/>
  <c r="BM330" i="13"/>
  <c r="T439" i="13"/>
  <c r="AJ41" i="13"/>
  <c r="AS315" i="13"/>
  <c r="W163" i="13"/>
  <c r="L177" i="13"/>
  <c r="AI263" i="13"/>
  <c r="AI205" i="13"/>
  <c r="AZ68" i="13"/>
  <c r="BD310" i="13"/>
  <c r="M286" i="13"/>
  <c r="AD116" i="13"/>
  <c r="M317" i="13"/>
  <c r="BV216" i="13"/>
  <c r="AJ105" i="13"/>
  <c r="Y296" i="13"/>
  <c r="A367" i="13"/>
  <c r="AP71" i="13"/>
  <c r="BF403" i="13"/>
  <c r="M100" i="13"/>
  <c r="BK198" i="13"/>
  <c r="S272" i="13"/>
  <c r="S71" i="13"/>
  <c r="BD31" i="13"/>
  <c r="AI34" i="13"/>
  <c r="BF436" i="13"/>
  <c r="AB366" i="13"/>
  <c r="BE174" i="13"/>
  <c r="BL342" i="13"/>
  <c r="AP137" i="13"/>
  <c r="AG380" i="13"/>
  <c r="AZ74" i="13"/>
  <c r="AK81" i="13"/>
  <c r="AJ174" i="13"/>
  <c r="BI34" i="13"/>
  <c r="B51" i="13"/>
  <c r="AC415" i="13"/>
  <c r="I284" i="13"/>
  <c r="BI434" i="13"/>
  <c r="U138" i="13"/>
  <c r="V56" i="13"/>
  <c r="P277" i="13"/>
  <c r="BK208" i="13"/>
  <c r="BC239" i="13"/>
  <c r="AO440" i="13"/>
  <c r="BU407" i="13"/>
  <c r="BR27" i="13"/>
  <c r="V240" i="13"/>
  <c r="BF222" i="13"/>
  <c r="AL270" i="13"/>
  <c r="V269" i="13"/>
  <c r="AE141" i="13"/>
  <c r="J431" i="13"/>
  <c r="AM117" i="13"/>
  <c r="BS468" i="13"/>
  <c r="A140" i="13"/>
  <c r="BC62" i="13"/>
  <c r="AS20" i="13"/>
  <c r="F293" i="13"/>
  <c r="K128" i="13"/>
  <c r="F314" i="13"/>
  <c r="AD186" i="13"/>
  <c r="BT359" i="13"/>
  <c r="L439" i="13"/>
  <c r="BT193" i="13"/>
  <c r="BU269" i="13"/>
  <c r="AM31" i="13"/>
  <c r="AO397" i="13"/>
  <c r="BR439" i="13"/>
  <c r="G232" i="13"/>
  <c r="M239" i="13"/>
  <c r="I480" i="13"/>
  <c r="AW455" i="13"/>
  <c r="L295" i="13"/>
  <c r="BA426" i="13"/>
  <c r="I321" i="13"/>
  <c r="F296" i="13"/>
  <c r="AT379" i="13"/>
  <c r="O258" i="13"/>
  <c r="BJ458" i="13"/>
  <c r="BV448" i="13"/>
  <c r="BL47" i="13"/>
  <c r="AZ308" i="13"/>
  <c r="BN465" i="13"/>
  <c r="U16" i="13"/>
  <c r="BQ250" i="13"/>
  <c r="BP348" i="13"/>
  <c r="C52" i="13"/>
  <c r="S188" i="13"/>
  <c r="AB478" i="13"/>
  <c r="AY141" i="13"/>
  <c r="AF461" i="13"/>
  <c r="R389" i="13"/>
  <c r="AU378" i="13"/>
  <c r="AR94" i="13"/>
  <c r="AJ75" i="13"/>
  <c r="AQ313" i="13"/>
  <c r="AR361" i="13"/>
  <c r="BV307" i="13"/>
  <c r="AR354" i="13"/>
  <c r="BB371" i="13"/>
  <c r="BH165" i="13"/>
  <c r="Y215" i="13"/>
  <c r="R315" i="13"/>
  <c r="BT459" i="13"/>
  <c r="BS76" i="13"/>
  <c r="AF176" i="13"/>
  <c r="BQ295" i="13"/>
  <c r="X263" i="13"/>
  <c r="BF329" i="13"/>
  <c r="M487" i="13"/>
  <c r="AB281" i="13"/>
  <c r="T163" i="13"/>
  <c r="AF68" i="13"/>
  <c r="AX156" i="13"/>
  <c r="BR288" i="13"/>
  <c r="O303" i="13"/>
  <c r="BQ216" i="13"/>
  <c r="BT163" i="13"/>
  <c r="BG235" i="13"/>
  <c r="AQ268" i="13"/>
  <c r="BU402" i="13"/>
  <c r="BS413" i="13"/>
  <c r="AL327" i="13"/>
  <c r="AM451" i="13"/>
  <c r="AD300" i="13"/>
  <c r="AV408" i="13"/>
  <c r="AV108" i="13"/>
  <c r="AS460" i="13"/>
  <c r="BC345" i="13"/>
  <c r="AQ474" i="13"/>
  <c r="U61" i="13"/>
  <c r="BP401" i="13"/>
  <c r="AQ44" i="13"/>
  <c r="AZ140" i="13"/>
  <c r="BQ261" i="13"/>
  <c r="BT168" i="13"/>
  <c r="AV28" i="13"/>
  <c r="AU400" i="13"/>
  <c r="AC198" i="13"/>
  <c r="B247" i="13"/>
  <c r="W206" i="13"/>
  <c r="BK292" i="13"/>
  <c r="AT237" i="13"/>
  <c r="S341" i="13"/>
  <c r="AX43" i="13"/>
  <c r="L245" i="13"/>
  <c r="D258" i="13"/>
  <c r="M318" i="13"/>
  <c r="AI428" i="13"/>
  <c r="BF296" i="13"/>
  <c r="K477" i="13"/>
  <c r="AN470" i="13"/>
  <c r="BR193" i="13"/>
  <c r="BC188" i="13"/>
  <c r="BB211" i="13"/>
  <c r="AD433" i="13"/>
  <c r="AD403" i="13"/>
  <c r="W387" i="13"/>
  <c r="E415" i="13"/>
  <c r="W325" i="13"/>
  <c r="AA415" i="13"/>
  <c r="AS117" i="13"/>
  <c r="AI319" i="13"/>
  <c r="BI145" i="13"/>
  <c r="BD415" i="13"/>
  <c r="BH193" i="13"/>
  <c r="E155" i="13"/>
  <c r="BS194" i="13"/>
  <c r="F235" i="13"/>
  <c r="AH93" i="13"/>
  <c r="AS462" i="13"/>
  <c r="AW330" i="13"/>
  <c r="M444" i="13"/>
  <c r="BS29" i="13"/>
  <c r="AZ34" i="13"/>
  <c r="BE212" i="13"/>
  <c r="AU103" i="13"/>
  <c r="BG218" i="13"/>
  <c r="AR39" i="13"/>
  <c r="BV399" i="13"/>
  <c r="A242" i="13"/>
  <c r="AC294" i="13"/>
  <c r="AJ266" i="13"/>
  <c r="C219" i="13"/>
  <c r="R23" i="13"/>
  <c r="B388" i="13"/>
  <c r="AP497" i="13"/>
  <c r="AM184" i="13"/>
  <c r="D104" i="13"/>
  <c r="H216" i="13"/>
  <c r="C233" i="13"/>
  <c r="BL67" i="13"/>
  <c r="BV326" i="13"/>
  <c r="BL313" i="13"/>
  <c r="Y48" i="13"/>
  <c r="AE69" i="13"/>
  <c r="BG342" i="13"/>
  <c r="BP389" i="13"/>
  <c r="M283" i="13"/>
  <c r="AQ252" i="13"/>
  <c r="BL114" i="13"/>
  <c r="BD362" i="13"/>
  <c r="Z100" i="13"/>
  <c r="AN163" i="13"/>
  <c r="AP160" i="13"/>
  <c r="BI335" i="13"/>
  <c r="V21" i="13"/>
  <c r="G4" i="13"/>
  <c r="M374" i="13"/>
  <c r="Q213" i="13"/>
  <c r="BO460" i="13"/>
  <c r="BU108" i="13"/>
  <c r="R413" i="13"/>
  <c r="AD454" i="13"/>
  <c r="AK376" i="13"/>
  <c r="AI224" i="13"/>
  <c r="N5" i="13"/>
  <c r="BK84" i="13"/>
  <c r="E276" i="13"/>
  <c r="AN249" i="13"/>
  <c r="F129" i="13"/>
  <c r="AB248" i="13"/>
  <c r="B501" i="13"/>
  <c r="AG158" i="13"/>
  <c r="AC354" i="13"/>
  <c r="AR133" i="13"/>
  <c r="N447" i="13"/>
  <c r="AP245" i="13"/>
  <c r="Q288" i="13"/>
  <c r="AD495" i="13"/>
  <c r="BH304" i="13"/>
  <c r="D59" i="13"/>
  <c r="BU192" i="13"/>
  <c r="BD468" i="13"/>
  <c r="BN275" i="13"/>
  <c r="J235" i="13"/>
  <c r="AT132" i="13"/>
  <c r="V105" i="13"/>
  <c r="AR16" i="13"/>
  <c r="BP127" i="13"/>
  <c r="V356" i="13"/>
  <c r="AH481" i="13"/>
  <c r="BS156" i="13"/>
  <c r="BW88" i="13"/>
  <c r="AN389" i="13"/>
  <c r="N274" i="13"/>
  <c r="AZ158" i="13"/>
  <c r="AD141" i="13"/>
  <c r="BA386" i="13"/>
  <c r="AU20" i="13"/>
  <c r="AZ16" i="13"/>
  <c r="AY175" i="13"/>
  <c r="B159" i="13"/>
  <c r="M114" i="13"/>
  <c r="BG373" i="13"/>
  <c r="AR113" i="13"/>
  <c r="AL269" i="13"/>
  <c r="AG461" i="13"/>
  <c r="AZ407" i="13"/>
  <c r="I288" i="13"/>
  <c r="F24" i="13"/>
  <c r="BL169" i="13"/>
  <c r="BU76" i="13"/>
  <c r="AL112" i="13"/>
  <c r="M164" i="13"/>
  <c r="F238" i="13"/>
  <c r="M499" i="13"/>
  <c r="I388" i="13"/>
  <c r="BU70" i="13"/>
  <c r="B243" i="13"/>
  <c r="BI208" i="13"/>
  <c r="AM109" i="13"/>
  <c r="AV138" i="13"/>
  <c r="BW136" i="13"/>
  <c r="BG247" i="13"/>
  <c r="AZ462" i="13"/>
  <c r="AF267" i="13"/>
  <c r="AV482" i="13"/>
  <c r="R6" i="13"/>
  <c r="AD409" i="13"/>
  <c r="BC480" i="13"/>
  <c r="AK445" i="13"/>
  <c r="BS184" i="13"/>
  <c r="AJ56" i="13"/>
  <c r="BU56" i="13"/>
  <c r="N17" i="13"/>
  <c r="AC385" i="13"/>
  <c r="BD104" i="13"/>
  <c r="U167" i="13"/>
  <c r="BM105" i="13"/>
  <c r="X394" i="13"/>
  <c r="A8" i="13"/>
  <c r="AQ125" i="13"/>
  <c r="Z274" i="13"/>
  <c r="I215" i="13"/>
  <c r="AV3" i="13"/>
  <c r="AJ282" i="13"/>
  <c r="BU78" i="13"/>
  <c r="A391" i="13"/>
  <c r="BC304" i="13"/>
  <c r="AV205" i="13"/>
  <c r="BN215" i="13"/>
  <c r="L56" i="13"/>
  <c r="G181" i="13"/>
  <c r="AF472" i="13"/>
  <c r="AQ228" i="13"/>
  <c r="K165" i="13"/>
  <c r="BE250" i="13"/>
  <c r="AY255" i="13"/>
  <c r="BK501" i="13"/>
  <c r="AV436" i="13"/>
  <c r="AY30" i="13"/>
  <c r="AL183" i="13"/>
  <c r="W447" i="13"/>
  <c r="P441" i="13"/>
  <c r="H31" i="13"/>
  <c r="AR53" i="13"/>
  <c r="BF488" i="13"/>
  <c r="F166" i="13"/>
  <c r="AA446" i="13"/>
  <c r="AW381" i="13"/>
  <c r="U94" i="13"/>
  <c r="AX145" i="13"/>
  <c r="P223" i="13"/>
  <c r="BC278" i="13"/>
  <c r="BD172" i="13"/>
  <c r="AR157" i="13"/>
  <c r="BF27" i="13"/>
  <c r="AH27" i="13"/>
  <c r="AQ347" i="13"/>
  <c r="Z125" i="13"/>
  <c r="AU497" i="13"/>
  <c r="I226" i="13"/>
  <c r="BE302" i="13"/>
  <c r="BG327" i="13"/>
  <c r="AI308" i="13"/>
  <c r="W315" i="13"/>
  <c r="I466" i="13"/>
  <c r="BN151" i="13"/>
  <c r="AN359" i="13"/>
  <c r="BP341" i="13"/>
  <c r="BP344" i="13"/>
  <c r="BJ338" i="13"/>
  <c r="AI391" i="13"/>
  <c r="AW304" i="13"/>
  <c r="BH150" i="13"/>
  <c r="AV392" i="13"/>
  <c r="F125" i="13"/>
  <c r="BR251" i="13"/>
  <c r="AO330" i="13"/>
  <c r="G55" i="13"/>
  <c r="BD220" i="13"/>
  <c r="BL383" i="13"/>
  <c r="A88" i="13"/>
  <c r="S112" i="13"/>
  <c r="S384" i="13"/>
  <c r="J259" i="13"/>
  <c r="AS419" i="13"/>
  <c r="BL410" i="13"/>
  <c r="AH295" i="13"/>
  <c r="AV160" i="13"/>
  <c r="BU438" i="13"/>
  <c r="H97" i="13"/>
  <c r="Z458" i="13"/>
  <c r="AT372" i="13"/>
  <c r="W301" i="13"/>
  <c r="Q387" i="13"/>
  <c r="V293" i="13"/>
  <c r="D61" i="13"/>
  <c r="T480" i="13"/>
  <c r="K345" i="13"/>
  <c r="B80" i="13"/>
  <c r="Z212" i="13"/>
  <c r="AB2" i="13"/>
  <c r="BS310" i="13"/>
  <c r="Z471" i="13"/>
  <c r="BC459" i="13"/>
  <c r="BR309" i="13"/>
  <c r="Z306" i="13"/>
  <c r="BO379" i="13"/>
  <c r="AA407" i="13"/>
  <c r="BR15" i="13"/>
  <c r="H479" i="13"/>
  <c r="BM51" i="13"/>
  <c r="BA299" i="13"/>
  <c r="AX372" i="13"/>
  <c r="AA193" i="13"/>
  <c r="C190" i="13"/>
  <c r="Z19" i="13"/>
  <c r="BC129" i="13"/>
  <c r="BQ387" i="13"/>
  <c r="V184" i="13"/>
  <c r="BE300" i="13"/>
  <c r="AQ81" i="13"/>
  <c r="B72" i="13"/>
  <c r="AK22" i="13"/>
  <c r="B322" i="13"/>
  <c r="AC138" i="13"/>
  <c r="AU307" i="13"/>
  <c r="BV215" i="13"/>
  <c r="X307" i="13"/>
  <c r="BJ92" i="13"/>
  <c r="BG55" i="13"/>
  <c r="BC143" i="13"/>
  <c r="AW270" i="13"/>
  <c r="E500" i="13"/>
  <c r="BB206" i="13"/>
  <c r="O106" i="13"/>
  <c r="BV449" i="13"/>
  <c r="BE309" i="13"/>
  <c r="BJ305" i="13"/>
  <c r="C54" i="13"/>
  <c r="BP479" i="13"/>
  <c r="BJ333" i="13"/>
  <c r="BM427" i="13"/>
  <c r="AR425" i="13"/>
  <c r="X420" i="13"/>
  <c r="AN132" i="13"/>
  <c r="BT293" i="13"/>
  <c r="B20" i="13"/>
  <c r="AJ173" i="13"/>
  <c r="AQ306" i="13"/>
  <c r="K194" i="13"/>
  <c r="AK324" i="13"/>
  <c r="AK159" i="13"/>
  <c r="BJ272" i="13"/>
  <c r="S94" i="13"/>
  <c r="R472" i="13"/>
  <c r="AJ42" i="13"/>
  <c r="N300" i="13"/>
  <c r="AF237" i="13"/>
  <c r="BA23" i="13"/>
  <c r="Y500" i="13"/>
  <c r="AV153" i="13"/>
  <c r="X392" i="13"/>
  <c r="M408" i="13"/>
  <c r="K85" i="13"/>
  <c r="BE210" i="13"/>
  <c r="R327" i="13"/>
  <c r="Y29" i="13"/>
  <c r="AT306" i="13"/>
  <c r="AE474" i="13"/>
  <c r="AL174" i="13"/>
  <c r="AJ347" i="13"/>
  <c r="F342" i="13"/>
  <c r="BV13" i="13"/>
  <c r="BR31" i="13"/>
  <c r="G236" i="13"/>
  <c r="P124" i="13"/>
  <c r="BG332" i="13"/>
  <c r="H299" i="13"/>
  <c r="AA1" i="13"/>
  <c r="J430" i="13"/>
  <c r="V489" i="13"/>
  <c r="BS215" i="13"/>
  <c r="AB429" i="13"/>
  <c r="J370" i="13"/>
  <c r="BP313" i="13"/>
  <c r="AK172" i="13"/>
  <c r="Z431" i="13"/>
  <c r="BF471" i="13"/>
  <c r="BV362" i="13"/>
  <c r="O328" i="13"/>
  <c r="AS300" i="13"/>
  <c r="AS272" i="13"/>
  <c r="V181" i="13"/>
  <c r="AG492" i="13"/>
  <c r="BK263" i="13"/>
  <c r="BW293" i="13"/>
  <c r="F185" i="13"/>
  <c r="AA168" i="13"/>
  <c r="BD187" i="13"/>
  <c r="H422" i="13"/>
  <c r="AP193" i="13"/>
  <c r="J148" i="13"/>
  <c r="BT371" i="13"/>
  <c r="M309" i="13"/>
  <c r="Q500" i="13"/>
  <c r="AO147" i="13"/>
  <c r="AS370" i="13"/>
  <c r="AZ218" i="13"/>
  <c r="AF242" i="13"/>
  <c r="BF465" i="13"/>
  <c r="AO300" i="13"/>
  <c r="BH70" i="13"/>
  <c r="V236" i="13"/>
  <c r="E253" i="13"/>
  <c r="I295" i="13"/>
  <c r="AD173" i="13"/>
  <c r="BV184" i="13"/>
  <c r="AJ279" i="13"/>
  <c r="BJ408" i="13"/>
  <c r="U261" i="13"/>
  <c r="AJ421" i="13"/>
  <c r="M312" i="13"/>
  <c r="S62" i="13"/>
  <c r="U465" i="13"/>
  <c r="H218" i="13"/>
  <c r="Z118" i="13"/>
  <c r="AX66" i="13"/>
  <c r="C21" i="13"/>
  <c r="AS479" i="13"/>
  <c r="BD350" i="13"/>
  <c r="BW396" i="13"/>
  <c r="BE237" i="13"/>
  <c r="BJ450" i="13"/>
  <c r="P237" i="13"/>
  <c r="S209" i="13"/>
  <c r="BS437" i="13"/>
  <c r="AO343" i="13"/>
  <c r="BP486" i="13"/>
  <c r="X395" i="13"/>
  <c r="AD228" i="13"/>
  <c r="AP230" i="13"/>
  <c r="AF108" i="13"/>
  <c r="BI448" i="13"/>
  <c r="AF318" i="13"/>
  <c r="AU116" i="13"/>
  <c r="C287" i="13"/>
  <c r="W261" i="13"/>
  <c r="BG314" i="13"/>
  <c r="S488" i="13"/>
  <c r="V346" i="13"/>
  <c r="K242" i="13"/>
  <c r="BL190" i="13"/>
  <c r="L303" i="13"/>
  <c r="AI378" i="13"/>
  <c r="W461" i="13"/>
  <c r="L352" i="13"/>
  <c r="E455" i="13"/>
  <c r="X388" i="13"/>
  <c r="AJ288" i="13"/>
  <c r="AF158" i="13"/>
  <c r="X319" i="13"/>
  <c r="AL305" i="13"/>
  <c r="AD361" i="13"/>
  <c r="BK352" i="13"/>
  <c r="AO318" i="13"/>
  <c r="BC197" i="13"/>
  <c r="BD258" i="13"/>
  <c r="AP43" i="13"/>
  <c r="BV266" i="13"/>
  <c r="BR361" i="13"/>
  <c r="AC481" i="13"/>
  <c r="BS227" i="13"/>
  <c r="V182" i="13"/>
  <c r="BN217" i="13"/>
  <c r="AT163" i="13"/>
  <c r="E10" i="13"/>
  <c r="H10" i="13"/>
  <c r="BO109" i="13"/>
  <c r="W75" i="13"/>
  <c r="AB182" i="13"/>
  <c r="AW19" i="13"/>
  <c r="A15" i="13"/>
  <c r="BD114" i="13"/>
  <c r="AI21" i="13"/>
  <c r="V97" i="13"/>
  <c r="AZ481" i="13"/>
  <c r="V142" i="13"/>
  <c r="BB458" i="13"/>
  <c r="J331" i="13"/>
  <c r="BV119" i="13"/>
  <c r="O169" i="13"/>
  <c r="Q258" i="13"/>
  <c r="W324" i="13"/>
  <c r="AS372" i="13"/>
  <c r="BT134" i="13"/>
  <c r="A143" i="13"/>
  <c r="AH221" i="13"/>
  <c r="S202" i="13"/>
  <c r="AL431" i="13"/>
  <c r="R405" i="13"/>
  <c r="BI66" i="13"/>
  <c r="AT94" i="13"/>
  <c r="AI455" i="13"/>
  <c r="T211" i="13"/>
  <c r="D257" i="13"/>
  <c r="AS50" i="13"/>
  <c r="BT52" i="13"/>
  <c r="U75" i="13"/>
  <c r="BN268" i="13"/>
  <c r="BV87" i="13"/>
  <c r="AJ304" i="13"/>
  <c r="BB127" i="13"/>
  <c r="R160" i="13"/>
  <c r="AD203" i="13"/>
  <c r="Z331" i="13"/>
  <c r="C210" i="13"/>
  <c r="E465" i="13"/>
  <c r="AK363" i="13"/>
  <c r="J415" i="13"/>
  <c r="BO364" i="13"/>
  <c r="E292" i="13"/>
  <c r="BF483" i="13"/>
  <c r="BG341" i="13"/>
  <c r="M263" i="13"/>
  <c r="BB269" i="13"/>
  <c r="A319" i="13"/>
  <c r="F388" i="13"/>
  <c r="BQ17" i="13"/>
  <c r="AV145" i="13"/>
  <c r="BM355" i="13"/>
  <c r="BO60" i="13"/>
  <c r="A397" i="13"/>
  <c r="G81" i="13"/>
  <c r="L399" i="13"/>
  <c r="AG292" i="13"/>
  <c r="J292" i="13"/>
  <c r="BS170" i="13"/>
  <c r="U346" i="13"/>
  <c r="AE337" i="13"/>
  <c r="AG137" i="13"/>
  <c r="X11" i="13"/>
  <c r="AV362" i="13"/>
  <c r="BU11" i="13"/>
  <c r="AL500" i="13"/>
  <c r="BE225" i="13"/>
  <c r="BU377" i="13"/>
  <c r="BA464" i="13"/>
  <c r="X198" i="13"/>
  <c r="BR4" i="13"/>
  <c r="AP229" i="13"/>
  <c r="BS463" i="13"/>
  <c r="AM418" i="13"/>
  <c r="AE388" i="13"/>
  <c r="AC194" i="13"/>
  <c r="BT361" i="13"/>
  <c r="A99" i="13"/>
  <c r="AX167" i="13"/>
  <c r="BG431" i="13"/>
  <c r="D460" i="13"/>
  <c r="BS115" i="13"/>
  <c r="AP414" i="13"/>
  <c r="BJ376" i="13"/>
  <c r="Z195" i="13"/>
  <c r="BH142" i="13"/>
  <c r="BK468" i="13"/>
  <c r="H171" i="13"/>
  <c r="T173" i="13"/>
  <c r="I359" i="13"/>
  <c r="AE20" i="13"/>
  <c r="BC250" i="13"/>
  <c r="BR372" i="13"/>
  <c r="D474" i="13"/>
  <c r="P160" i="13"/>
  <c r="BT232" i="13"/>
  <c r="BV4" i="13"/>
  <c r="BS121" i="13"/>
  <c r="AC109" i="13"/>
  <c r="AC257" i="13"/>
  <c r="BE51" i="13"/>
  <c r="AD22" i="13"/>
  <c r="L355" i="13"/>
  <c r="BS315" i="13"/>
  <c r="AZ493" i="13"/>
  <c r="BC317" i="13"/>
  <c r="BR394" i="13"/>
  <c r="AI91" i="13"/>
  <c r="H244" i="13"/>
  <c r="BW161" i="13"/>
  <c r="AJ3" i="13"/>
  <c r="BD377" i="13"/>
  <c r="S493" i="13"/>
  <c r="O103" i="13"/>
  <c r="S301" i="13"/>
  <c r="AK63" i="13"/>
  <c r="BC261" i="13"/>
  <c r="AU1" i="13"/>
  <c r="AQ188" i="13"/>
  <c r="V302" i="13"/>
  <c r="I365" i="13"/>
  <c r="AF122" i="13"/>
  <c r="AN425" i="13"/>
  <c r="BC283" i="13"/>
  <c r="AV334" i="13"/>
  <c r="AW333" i="13"/>
  <c r="BM310" i="13"/>
  <c r="W278" i="13"/>
  <c r="L345" i="13"/>
  <c r="AQ357" i="13"/>
  <c r="AW223" i="13"/>
  <c r="BV136" i="13"/>
  <c r="BV153" i="13"/>
  <c r="AB206" i="13"/>
  <c r="BN166" i="13"/>
  <c r="V349" i="13"/>
  <c r="L176" i="13"/>
  <c r="AN94" i="13"/>
  <c r="AZ468" i="13"/>
  <c r="Q102" i="13"/>
  <c r="L496" i="13"/>
  <c r="BQ476" i="13"/>
  <c r="BN282" i="13"/>
  <c r="BV357" i="13"/>
  <c r="BM326" i="13"/>
  <c r="BT401" i="13"/>
  <c r="K365" i="13"/>
  <c r="BN317" i="13"/>
  <c r="Y167" i="13"/>
  <c r="L289" i="13"/>
  <c r="G127" i="13"/>
  <c r="Y434" i="13"/>
  <c r="N374" i="13"/>
  <c r="BM488" i="13"/>
  <c r="AL461" i="13"/>
  <c r="BU483" i="13"/>
  <c r="AA384" i="13"/>
  <c r="W194" i="13"/>
  <c r="D197" i="13"/>
  <c r="V118" i="13"/>
  <c r="H417" i="13"/>
  <c r="BJ192" i="13"/>
  <c r="AN254" i="13"/>
  <c r="BS68" i="13"/>
  <c r="BM215" i="13"/>
  <c r="AS12" i="13"/>
  <c r="AI230" i="13"/>
  <c r="P426" i="13"/>
  <c r="AK87" i="13"/>
  <c r="BS266" i="13"/>
  <c r="Z26" i="13"/>
  <c r="AI469" i="13"/>
  <c r="BH3" i="13"/>
  <c r="BB491" i="13"/>
  <c r="BL154" i="13"/>
  <c r="BB459" i="13"/>
  <c r="BB202" i="13"/>
  <c r="AL439" i="13"/>
  <c r="H402" i="13"/>
  <c r="P379" i="13"/>
  <c r="M429" i="13"/>
  <c r="Q139" i="13"/>
  <c r="C384" i="13"/>
  <c r="AB230" i="13"/>
  <c r="A345" i="13"/>
  <c r="L249" i="13"/>
  <c r="X479" i="13"/>
  <c r="AR394" i="13"/>
  <c r="N80" i="13"/>
  <c r="BH207" i="13"/>
  <c r="U42" i="13"/>
  <c r="L360" i="13"/>
  <c r="AH472" i="13"/>
  <c r="BJ205" i="13"/>
  <c r="AQ229" i="13"/>
  <c r="BO81" i="13"/>
  <c r="AS230" i="13"/>
  <c r="I475" i="13"/>
  <c r="AX431" i="13"/>
  <c r="AG369" i="13"/>
  <c r="U301" i="13"/>
  <c r="BN457" i="13"/>
  <c r="BI110" i="13"/>
  <c r="BF220" i="13"/>
  <c r="BM120" i="13"/>
  <c r="AS279" i="13"/>
  <c r="AM342" i="13"/>
  <c r="AM364" i="13"/>
  <c r="Q423" i="13"/>
  <c r="BQ464" i="13"/>
  <c r="AD272" i="13"/>
  <c r="BF256" i="13"/>
  <c r="BO178" i="13"/>
  <c r="K386" i="13"/>
  <c r="I298" i="13"/>
  <c r="AK396" i="13"/>
  <c r="AU85" i="13"/>
  <c r="Y304" i="13"/>
  <c r="BK97" i="13"/>
  <c r="A470" i="13"/>
  <c r="BS240" i="13"/>
  <c r="V46" i="13"/>
  <c r="X96" i="13"/>
  <c r="BS396" i="13"/>
  <c r="A147" i="13"/>
  <c r="BB357" i="13"/>
  <c r="I31" i="13"/>
  <c r="Y201" i="13"/>
  <c r="BV31" i="13"/>
  <c r="BT93" i="13"/>
  <c r="X391" i="13"/>
  <c r="BJ455" i="13"/>
  <c r="H342" i="13"/>
  <c r="A347" i="13"/>
  <c r="AW445" i="13"/>
  <c r="BJ208" i="13"/>
  <c r="R198" i="13"/>
  <c r="BU256" i="13"/>
  <c r="AD360" i="13"/>
  <c r="BH55" i="13"/>
  <c r="AV353" i="13"/>
  <c r="C208" i="13"/>
  <c r="A348" i="13"/>
  <c r="AZ23" i="13"/>
  <c r="BT13" i="13"/>
  <c r="BU238" i="13"/>
  <c r="AP329" i="13"/>
  <c r="BD25" i="13"/>
  <c r="AX370" i="13"/>
  <c r="AU256" i="13"/>
  <c r="BB477" i="13"/>
  <c r="AP231" i="13"/>
  <c r="AV215" i="13"/>
  <c r="U428" i="13"/>
  <c r="BV477" i="13"/>
  <c r="AC449" i="13"/>
  <c r="L228" i="13"/>
  <c r="BK348" i="13"/>
  <c r="P52" i="13"/>
  <c r="AM287" i="13"/>
  <c r="AS286" i="13"/>
  <c r="H382" i="13"/>
  <c r="AN128" i="13"/>
  <c r="G142" i="13"/>
  <c r="BP463" i="13"/>
  <c r="BW365" i="13"/>
  <c r="AJ145" i="13"/>
  <c r="AR64" i="13"/>
  <c r="BJ181" i="13"/>
  <c r="AB373" i="13"/>
  <c r="BN116" i="13"/>
  <c r="BT335" i="13"/>
  <c r="R353" i="13"/>
  <c r="BM174" i="13"/>
  <c r="AO474" i="13"/>
  <c r="T327" i="13"/>
  <c r="AI97" i="13"/>
  <c r="AS464" i="13"/>
  <c r="AY411" i="13"/>
  <c r="AU337" i="13"/>
  <c r="BV74" i="13"/>
  <c r="V66" i="13"/>
  <c r="BO186" i="13"/>
  <c r="AX282" i="13"/>
  <c r="BM487" i="13"/>
  <c r="AM422" i="13"/>
  <c r="BN134" i="13"/>
  <c r="BS501" i="13"/>
  <c r="AD216" i="13"/>
  <c r="BN276" i="13"/>
  <c r="AE222" i="13"/>
  <c r="BU322" i="13"/>
  <c r="E400" i="13"/>
  <c r="X119" i="13"/>
  <c r="BR487" i="13"/>
  <c r="AV469" i="13"/>
  <c r="AC71" i="13"/>
  <c r="BT318" i="13"/>
  <c r="BT109" i="13"/>
  <c r="P272" i="13"/>
  <c r="U51" i="13"/>
  <c r="O116" i="13"/>
  <c r="R487" i="13"/>
  <c r="BL414" i="13"/>
  <c r="BP469" i="13"/>
  <c r="C191" i="13"/>
  <c r="AF4" i="13"/>
  <c r="BG299" i="13"/>
  <c r="BF253" i="13"/>
  <c r="AU255" i="13"/>
  <c r="BG499" i="13"/>
  <c r="AK35" i="13"/>
  <c r="BK148" i="13"/>
  <c r="U267" i="13"/>
  <c r="BR47" i="13"/>
  <c r="BG269" i="13"/>
  <c r="W371" i="13"/>
  <c r="BE175" i="13"/>
  <c r="AI403" i="13"/>
  <c r="AS209" i="13"/>
  <c r="BV197" i="13"/>
  <c r="F93" i="13"/>
  <c r="Y197" i="13"/>
  <c r="AR171" i="13"/>
  <c r="AM41" i="13"/>
  <c r="A273" i="13"/>
  <c r="AV258" i="13"/>
  <c r="BT210" i="13"/>
  <c r="AF103" i="13"/>
  <c r="BN429" i="13"/>
  <c r="AB461" i="13"/>
  <c r="AY401" i="13"/>
  <c r="Z357" i="13"/>
  <c r="V398" i="13"/>
  <c r="AA172" i="13"/>
  <c r="BJ199" i="13"/>
  <c r="P115" i="13"/>
  <c r="BK399" i="13"/>
  <c r="Q199" i="13"/>
  <c r="BI339" i="13"/>
  <c r="BU297" i="13"/>
  <c r="O413" i="13"/>
  <c r="K168" i="13"/>
  <c r="W337" i="13"/>
  <c r="AF27" i="13"/>
  <c r="BJ144" i="13"/>
  <c r="AS157" i="13"/>
  <c r="BL286" i="13"/>
  <c r="BD422" i="13"/>
  <c r="BR66" i="13"/>
  <c r="AO466" i="13"/>
  <c r="S306" i="13"/>
  <c r="AO25" i="13"/>
  <c r="BI239" i="13"/>
  <c r="D475" i="13"/>
  <c r="AG131" i="13"/>
  <c r="AI420" i="13"/>
  <c r="Y339" i="13"/>
  <c r="C16" i="13"/>
  <c r="BM123" i="13"/>
  <c r="P138" i="13"/>
  <c r="AM314" i="13"/>
  <c r="AQ414" i="13"/>
  <c r="AA295" i="13"/>
  <c r="W423" i="13"/>
  <c r="AC497" i="13"/>
  <c r="BW343" i="13"/>
  <c r="BU156" i="13"/>
  <c r="H237" i="13"/>
  <c r="N174" i="13"/>
  <c r="S403" i="13"/>
  <c r="AN317" i="13"/>
  <c r="AW347" i="13"/>
  <c r="R209" i="13"/>
  <c r="Z149" i="13"/>
  <c r="R68" i="13"/>
  <c r="AJ287" i="13"/>
  <c r="Y361" i="13"/>
  <c r="AM496" i="13"/>
  <c r="BE189" i="13"/>
  <c r="C398" i="13"/>
  <c r="B129" i="13"/>
  <c r="AA254" i="13"/>
  <c r="W172" i="13"/>
  <c r="AS239" i="13"/>
  <c r="BS116" i="13"/>
  <c r="BN71" i="13"/>
  <c r="BW414" i="13"/>
  <c r="S57" i="13"/>
  <c r="BH457" i="13"/>
  <c r="AK496" i="13"/>
  <c r="BS431" i="13"/>
  <c r="AA51" i="13"/>
  <c r="AX301" i="13"/>
  <c r="AL27" i="13"/>
  <c r="BF263" i="13"/>
  <c r="P17" i="13"/>
  <c r="AL255" i="13"/>
  <c r="L134" i="13"/>
  <c r="BR338" i="13"/>
  <c r="E242" i="13"/>
  <c r="AX96" i="13"/>
  <c r="BE159" i="13"/>
  <c r="BS47" i="13"/>
  <c r="BT495" i="13"/>
  <c r="BA392" i="13"/>
  <c r="BP340" i="13"/>
  <c r="AI46" i="13"/>
  <c r="M265" i="13"/>
  <c r="BI215" i="13"/>
  <c r="AZ275" i="13"/>
  <c r="I283" i="13"/>
  <c r="AD427" i="13"/>
  <c r="I429" i="13"/>
  <c r="BU116" i="13"/>
  <c r="BN477" i="13"/>
  <c r="BU459" i="13"/>
  <c r="AM335" i="13"/>
  <c r="AP460" i="13"/>
  <c r="BW254" i="13"/>
  <c r="AJ335" i="13"/>
  <c r="E457" i="13"/>
  <c r="BA354" i="13"/>
  <c r="BU259" i="13"/>
  <c r="BG201" i="13"/>
  <c r="K36" i="13"/>
  <c r="AV250" i="13"/>
  <c r="BH171" i="13"/>
  <c r="BG89" i="13"/>
  <c r="AO6" i="13"/>
  <c r="BU486" i="13"/>
  <c r="M157" i="13"/>
  <c r="AL432" i="13"/>
  <c r="AH334" i="13"/>
  <c r="BT236" i="13"/>
  <c r="BO453" i="13"/>
  <c r="AX239" i="13"/>
  <c r="AD394" i="13"/>
  <c r="AB498" i="13"/>
  <c r="AQ187" i="13"/>
  <c r="V433" i="13"/>
  <c r="AP4" i="13"/>
  <c r="BI464" i="13"/>
  <c r="AL464" i="13"/>
  <c r="AH471" i="13"/>
  <c r="AE330" i="13"/>
  <c r="C216" i="13"/>
  <c r="T370" i="13"/>
  <c r="N113" i="13"/>
  <c r="AU473" i="13"/>
  <c r="R208" i="13"/>
  <c r="BE30" i="13"/>
  <c r="H49" i="13"/>
  <c r="AU189" i="13"/>
  <c r="BB286" i="13"/>
  <c r="AB222" i="13"/>
  <c r="BD87" i="13"/>
  <c r="BL13" i="13"/>
  <c r="AK280" i="13"/>
  <c r="BL336" i="13"/>
  <c r="E17" i="13"/>
  <c r="BC292" i="13"/>
  <c r="C465" i="13"/>
  <c r="R362" i="13"/>
  <c r="AX318" i="13"/>
  <c r="AR346" i="13"/>
  <c r="BT165" i="13"/>
  <c r="BT149" i="13"/>
  <c r="AE143" i="13"/>
  <c r="AO275" i="13"/>
  <c r="Z183" i="13"/>
  <c r="BU409" i="13"/>
  <c r="AQ197" i="13"/>
  <c r="BA242" i="13"/>
  <c r="O447" i="13"/>
  <c r="T6" i="13"/>
  <c r="AS281" i="13"/>
  <c r="BB410" i="13"/>
  <c r="R174" i="13"/>
  <c r="U251" i="13"/>
  <c r="BH256" i="13"/>
  <c r="BW316" i="13"/>
  <c r="AK288" i="13"/>
  <c r="AX8" i="13"/>
  <c r="AK326" i="13"/>
  <c r="AD475" i="13"/>
  <c r="AG402" i="13"/>
  <c r="AZ58" i="13"/>
  <c r="AL286" i="13"/>
  <c r="BA404" i="13"/>
  <c r="AK216" i="13"/>
  <c r="BN153" i="13"/>
  <c r="AQ87" i="13"/>
  <c r="AE30" i="13"/>
  <c r="AZ366" i="13"/>
  <c r="BN101" i="13"/>
  <c r="AB314" i="13"/>
  <c r="L196" i="13"/>
  <c r="BA302" i="13"/>
  <c r="B490" i="13"/>
  <c r="AV234" i="13"/>
  <c r="AX291" i="13"/>
  <c r="Z280" i="13"/>
  <c r="G465" i="13"/>
  <c r="BQ165" i="13"/>
  <c r="U463" i="13"/>
  <c r="AB15" i="13"/>
  <c r="BC29" i="13"/>
  <c r="P286" i="13"/>
  <c r="AA470" i="13"/>
  <c r="AH379" i="13"/>
  <c r="AH301" i="13"/>
  <c r="BT3" i="13"/>
  <c r="T179" i="13"/>
  <c r="BQ452" i="13"/>
  <c r="L32" i="13"/>
  <c r="AC234" i="13"/>
  <c r="Z246" i="13"/>
  <c r="E403" i="13"/>
  <c r="AF224" i="13"/>
  <c r="U113" i="13"/>
  <c r="AY78" i="13"/>
  <c r="L201" i="13"/>
  <c r="AW137" i="13"/>
  <c r="P86" i="13"/>
  <c r="L36" i="13"/>
  <c r="AX319" i="13"/>
  <c r="E251" i="13"/>
  <c r="AC498" i="13"/>
  <c r="BV394" i="13"/>
  <c r="AO272" i="13"/>
  <c r="BI380" i="13"/>
  <c r="AX244" i="13"/>
  <c r="BC384" i="13"/>
  <c r="P428" i="13"/>
  <c r="AG244" i="13"/>
  <c r="Z334" i="13"/>
  <c r="V395" i="13"/>
  <c r="AJ346" i="13"/>
  <c r="BM228" i="13"/>
  <c r="S252" i="13"/>
  <c r="R342" i="13"/>
  <c r="Z77" i="13"/>
  <c r="J211" i="13"/>
  <c r="W44" i="13"/>
  <c r="AM141" i="13"/>
  <c r="BA414" i="13"/>
  <c r="BK269" i="13"/>
  <c r="BU338" i="13"/>
  <c r="AA457" i="13"/>
  <c r="AV216" i="13"/>
  <c r="AJ238" i="13"/>
  <c r="B312" i="13"/>
  <c r="AH332" i="13"/>
  <c r="AF31" i="13"/>
  <c r="A294" i="13"/>
  <c r="C311" i="13"/>
  <c r="BV406" i="13"/>
  <c r="AS400" i="13"/>
  <c r="D326" i="13"/>
  <c r="BS204" i="13"/>
  <c r="AS30" i="13"/>
  <c r="AI471" i="13"/>
  <c r="AZ439" i="13"/>
  <c r="AX438" i="13"/>
  <c r="AV397" i="13"/>
  <c r="M184" i="13"/>
  <c r="AI262" i="13"/>
  <c r="AH346" i="13"/>
  <c r="X142" i="13"/>
  <c r="AH482" i="13"/>
  <c r="A124" i="13"/>
  <c r="AD380" i="13"/>
  <c r="AN342" i="13"/>
  <c r="W450" i="13"/>
  <c r="AH19" i="13"/>
  <c r="G462" i="13"/>
  <c r="AD335" i="13"/>
  <c r="AP424" i="13"/>
  <c r="AC113" i="13"/>
  <c r="BL68" i="13"/>
  <c r="AF389" i="13"/>
  <c r="E135" i="13"/>
  <c r="AS321" i="13"/>
  <c r="AY435" i="13"/>
  <c r="AZ432" i="13"/>
  <c r="BA325" i="13"/>
  <c r="BV224" i="13"/>
  <c r="BE426" i="13"/>
  <c r="X467" i="13"/>
  <c r="AQ499" i="13"/>
  <c r="AV319" i="13"/>
  <c r="I421" i="13"/>
  <c r="BV391" i="13"/>
  <c r="AR262" i="13"/>
  <c r="AL418" i="13"/>
  <c r="Q239" i="13"/>
  <c r="AY55" i="13"/>
  <c r="AF201" i="13"/>
  <c r="B481" i="13"/>
  <c r="J410" i="13"/>
  <c r="BL104" i="13"/>
  <c r="AW143" i="13"/>
  <c r="N319" i="13"/>
  <c r="B355" i="13"/>
  <c r="BP181" i="13"/>
  <c r="AN1" i="13"/>
  <c r="AP463" i="13"/>
  <c r="D32" i="13"/>
  <c r="AG166" i="13"/>
  <c r="AU24" i="13"/>
  <c r="Q360" i="13"/>
  <c r="BU111" i="13"/>
  <c r="BJ360" i="13"/>
  <c r="AI298" i="13"/>
  <c r="O320" i="13"/>
  <c r="AT272" i="13"/>
  <c r="BS98" i="13"/>
  <c r="AK177" i="13"/>
  <c r="BN148" i="13"/>
  <c r="BM125" i="13"/>
  <c r="BH402" i="13"/>
  <c r="V67" i="13"/>
  <c r="AN193" i="13"/>
  <c r="AM317" i="13"/>
  <c r="C370" i="13"/>
  <c r="BG165" i="13"/>
  <c r="AB173" i="13"/>
  <c r="U422" i="13"/>
  <c r="AN49" i="13"/>
  <c r="AT62" i="13"/>
  <c r="BD435" i="13"/>
  <c r="V204" i="13"/>
  <c r="B328" i="13"/>
  <c r="AI348" i="13"/>
  <c r="U446" i="13"/>
  <c r="O329" i="13"/>
  <c r="AI274" i="13"/>
  <c r="AW495" i="13"/>
  <c r="AU396" i="13"/>
  <c r="U238" i="13"/>
  <c r="J469" i="13"/>
  <c r="AH92" i="13"/>
  <c r="AO412" i="13"/>
  <c r="BI436" i="13"/>
  <c r="H407" i="13"/>
  <c r="AW185" i="13"/>
  <c r="BV380" i="13"/>
  <c r="BJ283" i="13"/>
  <c r="F416" i="13"/>
  <c r="K314" i="13"/>
  <c r="H315" i="13"/>
  <c r="G207" i="13"/>
  <c r="BK73" i="13"/>
  <c r="AQ9" i="13"/>
  <c r="V93" i="13"/>
  <c r="N366" i="13"/>
  <c r="AG421" i="13"/>
  <c r="A63" i="13"/>
  <c r="BH186" i="13"/>
  <c r="AX116" i="13"/>
  <c r="I357" i="13"/>
  <c r="BQ332" i="13"/>
  <c r="BT493" i="13"/>
  <c r="L68" i="13"/>
  <c r="AL221" i="13"/>
  <c r="AI26" i="13"/>
  <c r="P402" i="13"/>
  <c r="BD130" i="13"/>
  <c r="S182" i="13"/>
  <c r="BN352" i="13"/>
  <c r="BT306" i="13"/>
  <c r="BO400" i="13"/>
  <c r="Z402" i="13"/>
  <c r="J1" i="13"/>
  <c r="P203" i="13"/>
  <c r="BK18" i="13"/>
  <c r="BB283" i="13"/>
  <c r="H403" i="13"/>
  <c r="BK111" i="13"/>
  <c r="AH491" i="13"/>
  <c r="AK336" i="13"/>
  <c r="V373" i="13"/>
  <c r="BP132" i="13"/>
  <c r="AQ224" i="13"/>
  <c r="AK265" i="13"/>
  <c r="R237" i="13"/>
  <c r="BM65" i="13"/>
  <c r="AN3" i="13"/>
  <c r="BK448" i="13"/>
  <c r="AO293" i="13"/>
  <c r="V203" i="13"/>
  <c r="AH215" i="13"/>
  <c r="AD339" i="13"/>
  <c r="AV125" i="13"/>
  <c r="P360" i="13"/>
  <c r="BL167" i="13"/>
  <c r="AQ202" i="13"/>
  <c r="A41" i="13"/>
  <c r="BG454" i="13"/>
  <c r="BM342" i="13"/>
  <c r="BW20" i="13"/>
  <c r="AR384" i="13"/>
  <c r="AX469" i="13"/>
  <c r="AH148" i="13"/>
  <c r="BE365" i="13"/>
  <c r="AV376" i="13"/>
  <c r="Q44" i="13"/>
  <c r="BA251" i="13"/>
  <c r="K459" i="13"/>
  <c r="Q143" i="13"/>
  <c r="AF303" i="13"/>
  <c r="S429" i="13"/>
  <c r="BR84" i="13"/>
  <c r="AA341" i="13"/>
  <c r="BC233" i="13"/>
  <c r="H340" i="13"/>
  <c r="AP301" i="13"/>
  <c r="Y350" i="13"/>
  <c r="AL268" i="13"/>
  <c r="BP488" i="13"/>
  <c r="AG410" i="13"/>
  <c r="AJ315" i="13"/>
  <c r="F95" i="13"/>
  <c r="J501" i="13"/>
  <c r="BD325" i="13"/>
  <c r="F334" i="13"/>
  <c r="BH476" i="13"/>
  <c r="AR421" i="13"/>
  <c r="BD323" i="13"/>
  <c r="BS141" i="13"/>
  <c r="G407" i="13"/>
  <c r="W308" i="13"/>
  <c r="BH453" i="13"/>
  <c r="AS170" i="13"/>
  <c r="E224" i="13"/>
  <c r="BB330" i="13"/>
  <c r="BM436" i="13"/>
  <c r="BV193" i="13"/>
  <c r="Z297" i="13"/>
  <c r="O184" i="13"/>
  <c r="AN66" i="13"/>
  <c r="AL117" i="13"/>
  <c r="B459" i="13"/>
  <c r="Q416" i="13"/>
  <c r="F228" i="13"/>
  <c r="D235" i="13"/>
  <c r="BB250" i="13"/>
  <c r="A459" i="13"/>
  <c r="BL355" i="13"/>
  <c r="BQ7" i="13"/>
  <c r="AB466" i="13"/>
  <c r="AP205" i="13"/>
  <c r="B16" i="13"/>
  <c r="AX57" i="13"/>
  <c r="BR434" i="13"/>
  <c r="AW73" i="13"/>
  <c r="H213" i="13"/>
  <c r="J74" i="13"/>
  <c r="BO203" i="13"/>
  <c r="Q335" i="13"/>
  <c r="BV396" i="13"/>
  <c r="AI456" i="13"/>
  <c r="I315" i="13"/>
  <c r="J290" i="13"/>
  <c r="AE246" i="13"/>
  <c r="AU145" i="13"/>
  <c r="AZ389" i="13"/>
  <c r="N280" i="13"/>
  <c r="AY73" i="13"/>
  <c r="BQ471" i="13"/>
  <c r="Z325" i="13"/>
  <c r="BO335" i="13"/>
  <c r="BM461" i="13"/>
  <c r="D144" i="13"/>
  <c r="Q402" i="13"/>
  <c r="BS428" i="13"/>
  <c r="AK329" i="13"/>
  <c r="AX347" i="13"/>
  <c r="BC464" i="13"/>
  <c r="BO348" i="13"/>
  <c r="BS165" i="13"/>
  <c r="O267" i="13"/>
  <c r="AO415" i="13"/>
  <c r="AN314" i="13"/>
  <c r="V253" i="13"/>
  <c r="BI428" i="13"/>
  <c r="AI470" i="13"/>
  <c r="BT457" i="13"/>
  <c r="BU448" i="13"/>
  <c r="U161" i="13"/>
  <c r="R391" i="13"/>
  <c r="BL211" i="13"/>
  <c r="BQ109" i="13"/>
  <c r="BP76" i="13"/>
  <c r="M275" i="13"/>
  <c r="P472" i="13"/>
  <c r="AJ208" i="13"/>
  <c r="BC398" i="13"/>
  <c r="K40" i="13"/>
  <c r="M209" i="13"/>
  <c r="D259" i="13"/>
  <c r="D364" i="13"/>
  <c r="L356" i="13"/>
  <c r="BE453" i="13"/>
  <c r="AI71" i="13"/>
  <c r="AM234" i="13"/>
  <c r="J421" i="13"/>
  <c r="BP434" i="13"/>
  <c r="BL309" i="13"/>
  <c r="R148" i="13"/>
  <c r="BD213" i="13"/>
  <c r="J134" i="13"/>
  <c r="AP238" i="13"/>
  <c r="AR132" i="13"/>
  <c r="AG498" i="13"/>
  <c r="BM160" i="13"/>
  <c r="BL395" i="13"/>
  <c r="AR391" i="13"/>
  <c r="J119" i="13"/>
  <c r="BB298" i="13"/>
  <c r="BE434" i="13"/>
  <c r="G174" i="13"/>
  <c r="BJ384" i="13"/>
  <c r="AP217" i="13"/>
  <c r="L85" i="13"/>
  <c r="G385" i="13"/>
  <c r="BR26" i="13"/>
  <c r="BF138" i="13"/>
  <c r="BO27" i="13"/>
  <c r="BS448" i="13"/>
  <c r="D13" i="13"/>
  <c r="AH150" i="13"/>
  <c r="BN174" i="13"/>
  <c r="BG294" i="13"/>
  <c r="M115" i="13"/>
  <c r="R266" i="13"/>
  <c r="AJ368" i="13"/>
  <c r="P374" i="13"/>
  <c r="AY128" i="13"/>
  <c r="AM198" i="13"/>
  <c r="T412" i="13"/>
  <c r="U195" i="13"/>
  <c r="AP384" i="13"/>
  <c r="BO96" i="13"/>
  <c r="AB14" i="13"/>
  <c r="AQ383" i="13"/>
  <c r="AT275" i="13"/>
  <c r="AX155" i="13"/>
  <c r="AL177" i="13"/>
  <c r="AY108" i="13"/>
  <c r="AO111" i="13"/>
  <c r="AJ401" i="13"/>
  <c r="G132" i="13"/>
  <c r="H61" i="13"/>
  <c r="T445" i="13"/>
  <c r="A142" i="13"/>
  <c r="AJ151" i="13"/>
  <c r="P313" i="13"/>
  <c r="BJ48" i="13"/>
  <c r="AD465" i="13"/>
  <c r="AV142" i="13"/>
  <c r="W282" i="13"/>
  <c r="X232" i="13"/>
  <c r="AH113" i="13"/>
  <c r="BQ321" i="13"/>
  <c r="BA465" i="13"/>
  <c r="BR362" i="13"/>
  <c r="BB137" i="13"/>
  <c r="AW82" i="13"/>
  <c r="M77" i="13"/>
  <c r="AV79" i="13"/>
  <c r="M27" i="13"/>
  <c r="AO411" i="13"/>
  <c r="AU92" i="13"/>
  <c r="K179" i="13"/>
  <c r="BB90" i="13"/>
  <c r="BG102" i="13"/>
  <c r="D164" i="13"/>
  <c r="BH287" i="13"/>
  <c r="Z128" i="13"/>
  <c r="B305" i="13"/>
  <c r="BJ486" i="13"/>
  <c r="F364" i="13"/>
  <c r="AZ293" i="13"/>
  <c r="AC320" i="13"/>
  <c r="C133" i="13"/>
  <c r="K453" i="13"/>
  <c r="AC287" i="13"/>
  <c r="AS106" i="13"/>
  <c r="BR167" i="13"/>
  <c r="F337" i="13"/>
  <c r="Y253" i="13"/>
  <c r="AD327" i="13"/>
  <c r="AM136" i="13"/>
  <c r="N110" i="13"/>
  <c r="AF145" i="13"/>
  <c r="J153" i="13"/>
  <c r="O464" i="13"/>
  <c r="BT216" i="13"/>
  <c r="D277" i="13"/>
  <c r="BT341" i="13"/>
  <c r="D369" i="13"/>
  <c r="AM289" i="13"/>
  <c r="BG500" i="13"/>
  <c r="AH263" i="13"/>
  <c r="K20" i="13"/>
  <c r="AK476" i="13"/>
  <c r="L183" i="13"/>
  <c r="W90" i="13"/>
  <c r="BK155" i="13"/>
  <c r="BO214" i="13"/>
  <c r="BP250" i="13"/>
  <c r="AJ308" i="13"/>
  <c r="D123" i="13"/>
  <c r="T337" i="13"/>
  <c r="AA86" i="13"/>
  <c r="Y278" i="13"/>
  <c r="S129" i="13"/>
  <c r="M294" i="13"/>
  <c r="AP449" i="13"/>
  <c r="AZ410" i="13"/>
  <c r="AW438" i="13"/>
  <c r="AX143" i="13"/>
  <c r="F249" i="13"/>
  <c r="N164" i="13"/>
  <c r="AW389" i="13"/>
  <c r="L349" i="13"/>
  <c r="Q295" i="13"/>
  <c r="BG440" i="13"/>
  <c r="AV156" i="13"/>
  <c r="BP458" i="13"/>
  <c r="U88" i="13"/>
  <c r="D55" i="13"/>
  <c r="AQ501" i="13"/>
  <c r="I129" i="13"/>
  <c r="BV207" i="13"/>
  <c r="AD386" i="13"/>
  <c r="BD197" i="13"/>
  <c r="J358" i="13"/>
  <c r="BR348" i="13"/>
  <c r="BB83" i="13"/>
  <c r="AL124" i="13"/>
  <c r="BM127" i="13"/>
  <c r="BA365" i="13"/>
  <c r="AL414" i="13"/>
  <c r="BO121" i="13"/>
  <c r="BD255" i="13"/>
  <c r="BJ234" i="13"/>
  <c r="Z433" i="13"/>
  <c r="AT396" i="13"/>
  <c r="BA418" i="13"/>
  <c r="BI43" i="13"/>
  <c r="BN152" i="13"/>
  <c r="AP165" i="13"/>
  <c r="Q114" i="13"/>
  <c r="AW291" i="13"/>
  <c r="BJ308" i="13"/>
  <c r="BS235" i="13"/>
  <c r="BK57" i="13"/>
  <c r="AW168" i="13"/>
  <c r="BE144" i="13"/>
  <c r="L328" i="13"/>
  <c r="BP377" i="13"/>
  <c r="AX223" i="13"/>
  <c r="AG433" i="13"/>
  <c r="H201" i="13"/>
  <c r="AT475" i="13"/>
  <c r="BH428" i="13"/>
  <c r="B440" i="13"/>
  <c r="AN318" i="13"/>
  <c r="AW272" i="13"/>
  <c r="AL235" i="13"/>
  <c r="BI216" i="13"/>
  <c r="BD34" i="13"/>
  <c r="P389" i="13"/>
  <c r="AQ370" i="13"/>
  <c r="N189" i="13"/>
  <c r="M468" i="13"/>
  <c r="S24" i="13"/>
  <c r="R289" i="13"/>
  <c r="AN8" i="13"/>
  <c r="Z440" i="13"/>
  <c r="E416" i="13"/>
  <c r="AO469" i="13"/>
  <c r="AK328" i="13"/>
  <c r="AH475" i="13"/>
  <c r="AA305" i="13"/>
  <c r="T417" i="13"/>
  <c r="BJ64" i="13"/>
  <c r="N421" i="13"/>
  <c r="J281" i="13"/>
  <c r="BD80" i="13"/>
  <c r="AR259" i="13"/>
  <c r="BH242" i="13"/>
  <c r="BM447" i="13"/>
  <c r="AD223" i="13"/>
  <c r="J394" i="13"/>
  <c r="BS117" i="13"/>
  <c r="S369" i="13"/>
  <c r="D500" i="13"/>
  <c r="AN177" i="13"/>
  <c r="D448" i="13"/>
  <c r="BU339" i="13"/>
  <c r="BG183" i="13"/>
  <c r="AL419" i="13"/>
  <c r="G8" i="13"/>
  <c r="BC246" i="13"/>
  <c r="BT489" i="13"/>
  <c r="BP500" i="13"/>
  <c r="T60" i="13"/>
  <c r="Y317" i="13"/>
  <c r="O310" i="13"/>
  <c r="AM174" i="13"/>
  <c r="P329" i="13"/>
  <c r="V223" i="13"/>
  <c r="AJ464" i="13"/>
  <c r="Z57" i="13"/>
  <c r="BJ392" i="13"/>
  <c r="AX413" i="13"/>
  <c r="BA1" i="13"/>
  <c r="A101" i="13"/>
  <c r="BL363" i="13"/>
  <c r="N500" i="13"/>
  <c r="AI457" i="13"/>
  <c r="BN11" i="13"/>
  <c r="C89" i="13"/>
  <c r="BR88" i="13"/>
  <c r="AD165" i="13"/>
  <c r="BI59" i="13"/>
  <c r="BJ487" i="13"/>
  <c r="R107" i="13"/>
  <c r="AK302" i="13"/>
  <c r="AN139" i="13"/>
  <c r="A173" i="13"/>
  <c r="BE375" i="13"/>
  <c r="BW157" i="13"/>
  <c r="AN176" i="13"/>
  <c r="BF473" i="13"/>
  <c r="BH474" i="13"/>
  <c r="AP248" i="13"/>
  <c r="AU313" i="13"/>
  <c r="BE391" i="13"/>
  <c r="AV412" i="13"/>
  <c r="AN47" i="13"/>
  <c r="BL170" i="13"/>
  <c r="X471" i="13"/>
  <c r="AJ129" i="13"/>
  <c r="AX451" i="13"/>
  <c r="BU160" i="13"/>
  <c r="S339" i="13"/>
  <c r="BV310" i="13"/>
  <c r="Q49" i="13"/>
  <c r="AH321" i="13"/>
  <c r="AS89" i="13"/>
  <c r="Z347" i="13"/>
  <c r="AA331" i="13"/>
  <c r="BE369" i="13"/>
  <c r="BD263" i="13"/>
  <c r="M391" i="13"/>
  <c r="AZ252" i="13"/>
  <c r="Y329" i="13"/>
  <c r="AI335" i="13"/>
  <c r="BG441" i="13"/>
  <c r="BN104" i="13"/>
  <c r="AZ403" i="13"/>
  <c r="BQ86" i="13"/>
  <c r="I225" i="13"/>
  <c r="AZ71" i="13"/>
  <c r="H68" i="13"/>
  <c r="AY185" i="13"/>
  <c r="U412" i="13"/>
  <c r="AH67" i="13"/>
  <c r="AS342" i="13"/>
  <c r="AK339" i="13"/>
  <c r="BQ488" i="13"/>
  <c r="BU103" i="13"/>
  <c r="G417" i="13"/>
  <c r="BF67" i="13"/>
  <c r="U217" i="13"/>
  <c r="AD244" i="13"/>
  <c r="AH454" i="13"/>
  <c r="B88" i="13"/>
  <c r="BA104" i="13"/>
  <c r="AW319" i="13"/>
  <c r="AX404" i="13"/>
  <c r="B99" i="13"/>
  <c r="AC135" i="13"/>
  <c r="G404" i="13"/>
  <c r="M466" i="13"/>
  <c r="AP455" i="13"/>
  <c r="AM118" i="13"/>
  <c r="BM89" i="13"/>
  <c r="BN417" i="13"/>
  <c r="AP481" i="13"/>
  <c r="Q112" i="13"/>
  <c r="AF337" i="13"/>
  <c r="T276" i="13"/>
  <c r="M469" i="13"/>
  <c r="V275" i="13"/>
  <c r="BB109" i="13"/>
  <c r="E358" i="13"/>
  <c r="BV19" i="13"/>
  <c r="J116" i="13"/>
  <c r="U286" i="13"/>
  <c r="AK6" i="13"/>
  <c r="E103" i="13"/>
  <c r="W340" i="13"/>
  <c r="AB112" i="13"/>
  <c r="BJ255" i="13"/>
  <c r="BW220" i="13"/>
  <c r="T460" i="13"/>
  <c r="K118" i="13"/>
  <c r="BS200" i="13"/>
  <c r="AX310" i="13"/>
  <c r="Z469" i="13"/>
  <c r="AQ476" i="13"/>
  <c r="G121" i="13"/>
  <c r="AW23" i="13"/>
  <c r="O34" i="13"/>
  <c r="BR453" i="13"/>
  <c r="AZ244" i="13"/>
  <c r="BF318" i="13"/>
  <c r="G482" i="13"/>
  <c r="Q186" i="13"/>
  <c r="Z432" i="13"/>
  <c r="AW98" i="13"/>
  <c r="A378" i="13"/>
  <c r="BW302" i="13"/>
  <c r="Q435" i="13"/>
  <c r="AC469" i="13"/>
  <c r="BN338" i="13"/>
  <c r="T297" i="13"/>
  <c r="BK452" i="13"/>
  <c r="BD58" i="13"/>
  <c r="S293" i="13"/>
  <c r="O142" i="13"/>
  <c r="BV323" i="13"/>
  <c r="S322" i="13"/>
  <c r="N267" i="13"/>
  <c r="BE219" i="13"/>
  <c r="BK453" i="13"/>
  <c r="BW299" i="13"/>
  <c r="Z490" i="13"/>
  <c r="BK336" i="13"/>
  <c r="BO419" i="13"/>
  <c r="AO251" i="13"/>
  <c r="BQ444" i="13"/>
  <c r="C425" i="13"/>
  <c r="AN316" i="13"/>
  <c r="C37" i="13"/>
  <c r="BC57" i="13"/>
  <c r="T330" i="13"/>
  <c r="Z154" i="13"/>
  <c r="BA131" i="13"/>
  <c r="BQ144" i="13"/>
  <c r="M78" i="13"/>
  <c r="BA444" i="13"/>
  <c r="AB344" i="13"/>
  <c r="F204" i="13"/>
  <c r="AG500" i="13"/>
  <c r="BF446" i="13"/>
  <c r="X384" i="13"/>
  <c r="E114" i="13"/>
  <c r="X203" i="13"/>
  <c r="BI272" i="13"/>
  <c r="E438" i="13"/>
  <c r="AG58" i="13"/>
  <c r="V190" i="13"/>
  <c r="O411" i="13"/>
  <c r="AW164" i="13"/>
  <c r="BK201" i="13"/>
  <c r="D43" i="13"/>
  <c r="AH123" i="13"/>
  <c r="O390" i="13"/>
  <c r="AA150" i="13"/>
  <c r="BU13" i="13"/>
  <c r="Y240" i="13"/>
  <c r="E434" i="13"/>
  <c r="P280" i="13"/>
  <c r="BJ74" i="13"/>
  <c r="O348" i="13"/>
  <c r="AB31" i="13"/>
  <c r="AJ34" i="13"/>
  <c r="AJ103" i="13"/>
  <c r="AH488" i="13"/>
  <c r="I296" i="13"/>
  <c r="U471" i="13"/>
  <c r="I411" i="13"/>
  <c r="BR9" i="13"/>
  <c r="AF334" i="13"/>
  <c r="AF378" i="13"/>
  <c r="BT115" i="13"/>
  <c r="H462" i="13"/>
  <c r="O309" i="13"/>
  <c r="Z157" i="13"/>
  <c r="BK329" i="13"/>
  <c r="AH495" i="13"/>
  <c r="BJ77" i="13"/>
  <c r="AG472" i="13"/>
  <c r="U6" i="13"/>
  <c r="AX79" i="13"/>
  <c r="Z429" i="13"/>
  <c r="BG226" i="13"/>
  <c r="R363" i="13"/>
  <c r="AN461" i="13"/>
  <c r="AA123" i="13"/>
  <c r="BI386" i="13"/>
  <c r="BR364" i="13"/>
  <c r="O195" i="13"/>
  <c r="AN391" i="13"/>
  <c r="O407" i="13"/>
  <c r="AU120" i="13"/>
  <c r="AQ255" i="13"/>
  <c r="BL359" i="13"/>
  <c r="Y476" i="13"/>
  <c r="BJ374" i="13"/>
  <c r="F189" i="13"/>
  <c r="BT65" i="13"/>
  <c r="BS46" i="13"/>
  <c r="AL433" i="13"/>
  <c r="AE393" i="13"/>
  <c r="AA228" i="13"/>
  <c r="AX82" i="13"/>
  <c r="AE376" i="13"/>
  <c r="AK140" i="13"/>
  <c r="BJ391" i="13"/>
  <c r="AT271" i="13"/>
  <c r="AO297" i="13"/>
  <c r="G341" i="13"/>
  <c r="AF105" i="13"/>
  <c r="Y72" i="13"/>
  <c r="J426" i="13"/>
  <c r="R341" i="13"/>
  <c r="AS236" i="13"/>
  <c r="A318" i="13"/>
  <c r="BI311" i="13"/>
  <c r="BE230" i="13"/>
  <c r="BP20" i="13"/>
  <c r="BC275" i="13"/>
  <c r="BT137" i="13"/>
  <c r="AU439" i="13"/>
  <c r="AV442" i="13"/>
  <c r="BF98" i="13"/>
  <c r="AL45" i="13"/>
  <c r="U83" i="13"/>
  <c r="BS278" i="13"/>
  <c r="BD53" i="13"/>
  <c r="AY396" i="13"/>
  <c r="BD153" i="13"/>
  <c r="BK177" i="13"/>
  <c r="BW208" i="13"/>
  <c r="AN386" i="13"/>
  <c r="AP251" i="13"/>
  <c r="AK469" i="13"/>
  <c r="P415" i="13"/>
  <c r="BN2" i="13"/>
  <c r="AH199" i="13"/>
  <c r="BL394" i="13"/>
  <c r="BK203" i="13"/>
  <c r="B225" i="13"/>
  <c r="AE2" i="13"/>
  <c r="BD485" i="13"/>
  <c r="BM187" i="13"/>
  <c r="BR442" i="13"/>
  <c r="B212" i="13"/>
  <c r="BT445" i="13"/>
  <c r="A226" i="13"/>
  <c r="BV170" i="13"/>
  <c r="O356" i="13"/>
  <c r="BB302" i="13"/>
  <c r="AO261" i="13"/>
  <c r="V189" i="13"/>
  <c r="V300" i="13"/>
  <c r="AD458" i="13"/>
  <c r="W431" i="13"/>
  <c r="BK152" i="13"/>
  <c r="AI126" i="13"/>
  <c r="D245" i="13"/>
  <c r="AQ293" i="13"/>
  <c r="S452" i="13"/>
  <c r="BP93" i="13"/>
  <c r="BB393" i="13"/>
  <c r="BE110" i="13"/>
  <c r="AQ307" i="13"/>
  <c r="AX232" i="13"/>
  <c r="BR495" i="13"/>
  <c r="W452" i="13"/>
  <c r="X482" i="13"/>
  <c r="AM261" i="13"/>
  <c r="BA5" i="13"/>
  <c r="AS51" i="13"/>
  <c r="P403" i="13"/>
  <c r="W479" i="13"/>
  <c r="BC45" i="13"/>
  <c r="BC200" i="13"/>
  <c r="BL221" i="13"/>
  <c r="AR470" i="13"/>
  <c r="BP219" i="13"/>
  <c r="BJ58" i="13"/>
  <c r="BL18" i="13"/>
  <c r="O223" i="13"/>
  <c r="BS297" i="13"/>
  <c r="R34" i="13"/>
  <c r="C159" i="13"/>
  <c r="AN291" i="13"/>
  <c r="AZ367" i="13"/>
  <c r="AY373" i="13"/>
  <c r="U78" i="13"/>
  <c r="BM199" i="13"/>
  <c r="K216" i="13"/>
  <c r="V445" i="13"/>
  <c r="BB138" i="13"/>
  <c r="AK375" i="13"/>
  <c r="AE135" i="13"/>
  <c r="BK287" i="13"/>
  <c r="BB319" i="13"/>
  <c r="L290" i="13"/>
  <c r="BF204" i="13"/>
  <c r="BR349" i="13"/>
  <c r="AF414" i="13"/>
  <c r="AX253" i="13"/>
  <c r="BJ459" i="13"/>
  <c r="AS159" i="13"/>
  <c r="P449" i="13"/>
  <c r="AY398" i="13"/>
  <c r="BH438" i="13"/>
  <c r="AJ166" i="13"/>
  <c r="BJ33" i="13"/>
  <c r="R491" i="13"/>
  <c r="BM6" i="13"/>
  <c r="AD501" i="13"/>
  <c r="AV335" i="13"/>
  <c r="D431" i="13"/>
  <c r="AW474" i="13"/>
  <c r="AH140" i="13"/>
  <c r="O68" i="13"/>
  <c r="BA167" i="13"/>
  <c r="BW5" i="13"/>
  <c r="BS441" i="13"/>
  <c r="BL447" i="13"/>
  <c r="BK241" i="13"/>
  <c r="AL254" i="13"/>
  <c r="I396" i="13"/>
  <c r="BE213" i="13"/>
  <c r="S206" i="13"/>
  <c r="AT66" i="13"/>
  <c r="AF478" i="13"/>
  <c r="AS406" i="13"/>
  <c r="O191" i="13"/>
  <c r="BB431" i="13"/>
  <c r="T81" i="13"/>
  <c r="BT141" i="13"/>
  <c r="BO340" i="13"/>
  <c r="BT274" i="13"/>
  <c r="AT470" i="13"/>
  <c r="O336" i="13"/>
  <c r="O409" i="13"/>
  <c r="AC246" i="13"/>
  <c r="E413" i="13"/>
  <c r="AZ66" i="13"/>
  <c r="AQ276" i="13"/>
  <c r="BC463" i="13"/>
  <c r="H51" i="13"/>
  <c r="AC495" i="13"/>
  <c r="G368" i="13"/>
  <c r="BN46" i="13"/>
  <c r="BG37" i="13"/>
  <c r="F445" i="13"/>
  <c r="AM152" i="13"/>
  <c r="BT105" i="13"/>
  <c r="AN498" i="13"/>
  <c r="AW439" i="13"/>
  <c r="BR304" i="13"/>
  <c r="E41" i="13"/>
  <c r="E101" i="13"/>
  <c r="M416" i="13"/>
  <c r="L306" i="13"/>
  <c r="B293" i="13"/>
  <c r="BS71" i="13"/>
  <c r="AG44" i="13"/>
  <c r="BV58" i="13"/>
  <c r="BT91" i="13"/>
  <c r="AB443" i="13"/>
  <c r="AA402" i="13"/>
  <c r="H26" i="13"/>
  <c r="A191" i="13"/>
  <c r="AK389" i="13"/>
  <c r="AF386" i="13"/>
  <c r="BS489" i="13"/>
  <c r="AP167" i="13"/>
  <c r="I495" i="13"/>
  <c r="BP212" i="13"/>
  <c r="AC61" i="13"/>
  <c r="K381" i="13"/>
  <c r="BT85" i="13"/>
  <c r="U5" i="13"/>
  <c r="F391" i="13"/>
  <c r="BT446" i="13"/>
  <c r="BP173" i="13"/>
  <c r="BL102" i="13"/>
  <c r="BH408" i="13"/>
  <c r="AP491" i="13"/>
  <c r="BJ188" i="13"/>
  <c r="AE313" i="13"/>
  <c r="Q106" i="13"/>
  <c r="AG385" i="13"/>
  <c r="Z484" i="13"/>
  <c r="E21" i="13"/>
  <c r="F495" i="13"/>
  <c r="AL160" i="13"/>
  <c r="AV331" i="13"/>
  <c r="BG122" i="13"/>
  <c r="BG212" i="13"/>
  <c r="F394" i="13"/>
  <c r="BT357" i="13"/>
  <c r="P118" i="13"/>
  <c r="AD368" i="13"/>
  <c r="BJ72" i="13"/>
  <c r="BV297" i="13"/>
  <c r="M401" i="13"/>
  <c r="T492" i="13"/>
  <c r="AP358" i="13"/>
  <c r="AI346" i="13"/>
  <c r="BG307" i="13"/>
  <c r="BR199" i="13"/>
  <c r="AR141" i="13"/>
  <c r="BC287" i="13"/>
  <c r="H412" i="13"/>
  <c r="N408" i="13"/>
  <c r="BG413" i="13"/>
  <c r="BD302" i="13"/>
  <c r="B49" i="13"/>
  <c r="BP7" i="13"/>
  <c r="BP331" i="13"/>
  <c r="AY266" i="13"/>
  <c r="BK308" i="13"/>
  <c r="E446" i="13"/>
  <c r="P303" i="13"/>
  <c r="AQ24" i="13"/>
  <c r="R77" i="13"/>
  <c r="S274" i="13"/>
  <c r="M268" i="13"/>
  <c r="BK314" i="13"/>
  <c r="G261" i="13"/>
  <c r="BV342" i="13"/>
  <c r="L423" i="13"/>
  <c r="K450" i="13"/>
  <c r="BM475" i="13"/>
  <c r="I67" i="13"/>
  <c r="AP183" i="13"/>
  <c r="O245" i="13"/>
  <c r="AT194" i="13"/>
  <c r="G322" i="13"/>
  <c r="BH51" i="13"/>
  <c r="BF224" i="13"/>
  <c r="V467" i="13"/>
  <c r="K468" i="13"/>
  <c r="AG24" i="13"/>
  <c r="Q454" i="13"/>
  <c r="BH421" i="13"/>
  <c r="BE368" i="13"/>
  <c r="AQ417" i="13"/>
  <c r="BS374" i="13"/>
  <c r="AK123" i="13"/>
  <c r="X328" i="13"/>
  <c r="A426" i="13"/>
  <c r="AE23" i="13"/>
  <c r="AX428" i="13"/>
  <c r="BH249" i="13"/>
  <c r="BU463" i="13"/>
  <c r="AY270" i="13"/>
  <c r="BL83" i="13"/>
  <c r="BB464" i="13"/>
  <c r="BE470" i="13"/>
  <c r="W250" i="13"/>
  <c r="AN443" i="13"/>
  <c r="T151" i="13"/>
  <c r="AK457" i="13"/>
  <c r="A134" i="13"/>
  <c r="BE493" i="13"/>
  <c r="BV296" i="13"/>
  <c r="AV169" i="13"/>
  <c r="AO98" i="13"/>
  <c r="BN380" i="13"/>
  <c r="BW285" i="13"/>
  <c r="BM198" i="13"/>
  <c r="AN268" i="13"/>
  <c r="BB15" i="13"/>
  <c r="BL203" i="13"/>
  <c r="A474" i="13"/>
  <c r="BB386" i="13"/>
  <c r="Q21" i="13"/>
  <c r="M489" i="13"/>
  <c r="AY278" i="13"/>
  <c r="BP442" i="13"/>
  <c r="AA378" i="13"/>
  <c r="I393" i="13"/>
  <c r="AX289" i="13"/>
  <c r="BD445" i="13"/>
  <c r="M264" i="13"/>
  <c r="Z394" i="13"/>
  <c r="K436" i="13"/>
  <c r="AN208" i="13"/>
  <c r="AT354" i="13"/>
  <c r="AA137" i="13"/>
  <c r="BC315" i="13"/>
  <c r="BC114" i="13"/>
  <c r="J293" i="13"/>
  <c r="R438" i="13"/>
  <c r="BU129" i="13"/>
  <c r="X434" i="13"/>
  <c r="X146" i="13"/>
  <c r="AY419" i="13"/>
  <c r="BN428" i="13"/>
  <c r="BE387" i="13"/>
  <c r="U102" i="13"/>
  <c r="AK247" i="13"/>
  <c r="R343" i="13"/>
  <c r="Q456" i="13"/>
  <c r="BW363" i="13"/>
  <c r="AP232" i="13"/>
  <c r="AG99" i="13"/>
  <c r="AG482" i="13"/>
  <c r="BI371" i="13"/>
  <c r="BC498" i="13"/>
  <c r="U210" i="13"/>
  <c r="AU380" i="13"/>
  <c r="AP121" i="13"/>
  <c r="T182" i="13"/>
  <c r="BR119" i="13"/>
  <c r="W94" i="13"/>
  <c r="AT456" i="13"/>
  <c r="AI369" i="13"/>
  <c r="L174" i="13"/>
  <c r="J385" i="13"/>
  <c r="F25" i="13"/>
  <c r="AB489" i="13"/>
  <c r="AZ276" i="13"/>
  <c r="W124" i="13"/>
  <c r="AW205" i="13"/>
  <c r="D232" i="13"/>
  <c r="BR312" i="13"/>
  <c r="AE265" i="13"/>
  <c r="A204" i="13"/>
  <c r="AH200" i="13"/>
  <c r="U135" i="13"/>
  <c r="V92" i="13"/>
  <c r="N194" i="13"/>
  <c r="AO432" i="13"/>
  <c r="BR408" i="13"/>
  <c r="BI30" i="13"/>
  <c r="BT284" i="13"/>
  <c r="AL283" i="13"/>
  <c r="BB240" i="13"/>
  <c r="BN9" i="13"/>
  <c r="T47" i="13"/>
  <c r="AZ134" i="13"/>
  <c r="BQ52" i="13"/>
  <c r="BF355" i="13"/>
  <c r="AJ309" i="13"/>
  <c r="BH187" i="13"/>
  <c r="BE400" i="13"/>
  <c r="AD499" i="13"/>
  <c r="L363" i="13"/>
  <c r="AZ15" i="13"/>
  <c r="R137" i="13"/>
  <c r="BR48" i="13"/>
  <c r="BO469" i="13"/>
  <c r="AI501" i="13"/>
  <c r="J444" i="13"/>
  <c r="BJ280" i="13"/>
  <c r="AB203" i="13"/>
  <c r="AB394" i="13"/>
  <c r="AP275" i="13"/>
  <c r="BM399" i="13"/>
  <c r="BN234" i="13"/>
  <c r="BA224" i="13"/>
  <c r="BB1" i="13"/>
  <c r="AN60" i="13"/>
  <c r="M411" i="13"/>
  <c r="S275" i="13"/>
  <c r="AH48" i="13"/>
  <c r="AS167" i="13"/>
  <c r="BU86" i="13"/>
  <c r="BL334" i="13"/>
  <c r="AV165" i="13"/>
  <c r="D29" i="13"/>
  <c r="AL483" i="13"/>
  <c r="AB323" i="13"/>
  <c r="AD252" i="13"/>
  <c r="BH341" i="13"/>
  <c r="S360" i="13"/>
  <c r="BA423" i="13"/>
  <c r="AD404" i="13"/>
  <c r="BI305" i="13"/>
  <c r="E418" i="13"/>
  <c r="G256" i="13"/>
  <c r="BL432" i="13"/>
  <c r="V342" i="13"/>
  <c r="BN22" i="13"/>
  <c r="M217" i="13"/>
  <c r="F230" i="13"/>
  <c r="Q275" i="13"/>
  <c r="V178" i="13"/>
  <c r="BG439" i="13"/>
  <c r="AE434" i="13"/>
  <c r="BW391" i="13"/>
  <c r="AF498" i="13"/>
  <c r="AF293" i="13"/>
  <c r="B144" i="13"/>
  <c r="H280" i="13"/>
  <c r="M3" i="13"/>
  <c r="F44" i="13"/>
  <c r="BI250" i="13"/>
  <c r="K355" i="13"/>
  <c r="BT423" i="13"/>
  <c r="Q377" i="13"/>
  <c r="BF454" i="13"/>
  <c r="BS383" i="13"/>
  <c r="AV253" i="13"/>
  <c r="BW490" i="13"/>
  <c r="BF310" i="13"/>
  <c r="J72" i="13"/>
  <c r="AU175" i="13"/>
  <c r="AM385" i="13"/>
  <c r="BH499" i="13"/>
  <c r="AR131" i="13"/>
  <c r="BK181" i="13"/>
  <c r="AN230" i="13"/>
  <c r="K412" i="13"/>
  <c r="AQ126" i="13"/>
  <c r="BO113" i="13"/>
  <c r="AN453" i="13"/>
  <c r="AM66" i="13"/>
  <c r="AS454" i="13"/>
  <c r="AR74" i="13"/>
  <c r="BM277" i="13"/>
  <c r="BN61" i="13"/>
  <c r="V155" i="13"/>
  <c r="AI248" i="13"/>
  <c r="AA7" i="13"/>
  <c r="I151" i="13"/>
  <c r="X196" i="13"/>
  <c r="BT6" i="13"/>
  <c r="BO149" i="13"/>
  <c r="BI259" i="13"/>
  <c r="W61" i="13"/>
  <c r="P87" i="13"/>
  <c r="AA319" i="13"/>
  <c r="AT193" i="13"/>
  <c r="T103" i="13"/>
  <c r="S218" i="13"/>
  <c r="S287" i="13"/>
  <c r="BT161" i="13"/>
  <c r="Z472" i="13"/>
  <c r="AP322" i="13"/>
  <c r="AE406" i="13"/>
  <c r="BJ427" i="13"/>
  <c r="AF136" i="13"/>
  <c r="BI133" i="13"/>
  <c r="T192" i="13"/>
  <c r="Q225" i="13"/>
  <c r="AW414" i="13"/>
  <c r="L450" i="13"/>
  <c r="AS165" i="13"/>
  <c r="BP133" i="13"/>
  <c r="BN430" i="13"/>
  <c r="L351" i="13"/>
  <c r="I1" i="13"/>
  <c r="K59" i="13"/>
  <c r="AU16" i="13"/>
  <c r="AH497" i="13"/>
  <c r="AZ240" i="13"/>
  <c r="AD130" i="13"/>
  <c r="AK456" i="13"/>
  <c r="X330" i="13"/>
  <c r="AK400" i="13"/>
  <c r="O268" i="13"/>
  <c r="AW360" i="13"/>
  <c r="AL304" i="13"/>
  <c r="BB307" i="13"/>
  <c r="BK489" i="13"/>
  <c r="AK175" i="13"/>
  <c r="B397" i="13"/>
  <c r="A336" i="13"/>
  <c r="BU42" i="13"/>
  <c r="V86" i="13"/>
  <c r="W208" i="13"/>
  <c r="I27" i="13"/>
  <c r="J336" i="13"/>
  <c r="P383" i="13"/>
  <c r="AP113" i="13"/>
  <c r="BE396" i="13"/>
  <c r="AI131" i="13"/>
  <c r="AJ225" i="13"/>
  <c r="N353" i="13"/>
  <c r="AM469" i="13"/>
  <c r="AY324" i="13"/>
  <c r="BO342" i="13"/>
  <c r="S290" i="13"/>
  <c r="AJ465" i="13"/>
  <c r="BU398" i="13"/>
  <c r="BD333" i="13"/>
  <c r="AV330" i="13"/>
  <c r="AU408" i="13"/>
  <c r="A495" i="13"/>
  <c r="AI422" i="13"/>
  <c r="X436" i="13"/>
  <c r="AK273" i="13"/>
  <c r="O237" i="13"/>
  <c r="BN458" i="13"/>
  <c r="BH42" i="13"/>
  <c r="AJ247" i="13"/>
  <c r="J454" i="13"/>
  <c r="AN362" i="13"/>
  <c r="N129" i="13"/>
  <c r="AK357" i="13"/>
  <c r="AQ260" i="13"/>
  <c r="H259" i="13"/>
  <c r="N441" i="13"/>
  <c r="BO480" i="13"/>
  <c r="P384" i="13"/>
  <c r="BI368" i="13"/>
  <c r="AK57" i="13"/>
  <c r="BC86" i="13"/>
  <c r="AP367" i="13"/>
  <c r="BP373" i="13"/>
  <c r="AB253" i="13"/>
  <c r="BO405" i="13"/>
  <c r="BQ36" i="13"/>
  <c r="BH159" i="13"/>
  <c r="N463" i="13"/>
  <c r="AB23" i="13"/>
  <c r="BP355" i="13"/>
  <c r="AN438" i="13"/>
  <c r="V166" i="13"/>
  <c r="BA18" i="13"/>
  <c r="AZ354" i="13"/>
  <c r="AI175" i="13"/>
  <c r="AC225" i="13"/>
  <c r="X475" i="13"/>
  <c r="V255" i="13"/>
  <c r="BH399" i="13"/>
  <c r="AX448" i="13"/>
  <c r="AJ479" i="13"/>
  <c r="BH356" i="13"/>
  <c r="T447" i="13"/>
  <c r="BL453" i="13"/>
  <c r="AX313" i="13"/>
  <c r="BK49" i="13"/>
  <c r="AG325" i="13"/>
  <c r="AH230" i="13"/>
  <c r="AC199" i="13"/>
  <c r="AS312" i="13"/>
  <c r="BW59" i="13"/>
  <c r="AO390" i="13"/>
  <c r="W207" i="13"/>
  <c r="R500" i="13"/>
  <c r="C394" i="13"/>
  <c r="U158" i="13"/>
  <c r="P157" i="13"/>
  <c r="BE494" i="13"/>
  <c r="Z290" i="13"/>
  <c r="BB103" i="13"/>
  <c r="AI14" i="13"/>
  <c r="AJ62" i="13"/>
  <c r="C442" i="13"/>
  <c r="I297" i="13"/>
  <c r="AO40" i="13"/>
  <c r="F108" i="13"/>
  <c r="P167" i="13"/>
  <c r="BM379" i="13"/>
  <c r="BU320" i="13"/>
  <c r="AJ226" i="13"/>
  <c r="M46" i="13"/>
  <c r="BU403" i="13"/>
  <c r="D490" i="13"/>
  <c r="T71" i="13"/>
  <c r="E145" i="13"/>
  <c r="Q136" i="13"/>
  <c r="Q438" i="13"/>
  <c r="K340" i="13"/>
  <c r="E221" i="13"/>
  <c r="BW494" i="13"/>
  <c r="AO191" i="13"/>
  <c r="BD6" i="13"/>
  <c r="E173" i="13"/>
  <c r="M112" i="13"/>
  <c r="AO403" i="13"/>
  <c r="AK287" i="13"/>
  <c r="AD35" i="13"/>
  <c r="BM388" i="13"/>
  <c r="BJ11" i="13"/>
  <c r="BK224" i="13"/>
  <c r="Z371" i="13"/>
  <c r="H481" i="13"/>
  <c r="AY70" i="13"/>
  <c r="AR305" i="13"/>
  <c r="Y16" i="13"/>
  <c r="AO74" i="13"/>
  <c r="AZ76" i="13"/>
  <c r="BM467" i="13"/>
  <c r="H354" i="13"/>
  <c r="AJ430" i="13"/>
  <c r="BD224" i="13"/>
  <c r="H272" i="13"/>
  <c r="AW340" i="13"/>
  <c r="BM376" i="13"/>
  <c r="AK489" i="13"/>
  <c r="Z4" i="13"/>
  <c r="AV286" i="13"/>
  <c r="AP35" i="13"/>
  <c r="BG407" i="13"/>
  <c r="AZ145" i="13"/>
  <c r="R248" i="13"/>
  <c r="BG490" i="13"/>
  <c r="W253" i="13"/>
  <c r="AU455" i="13"/>
  <c r="AZ256" i="13"/>
  <c r="E28" i="13"/>
  <c r="AO33" i="13"/>
  <c r="AG143" i="13"/>
  <c r="BV144" i="13"/>
  <c r="BK176" i="13"/>
  <c r="BR206" i="13"/>
  <c r="BQ350" i="13"/>
  <c r="K363" i="13"/>
  <c r="BU406" i="13"/>
  <c r="BT131" i="13"/>
  <c r="AF305" i="13"/>
  <c r="B434" i="13"/>
  <c r="E151" i="13"/>
  <c r="S336" i="13"/>
  <c r="BI129" i="13"/>
  <c r="BG447" i="13"/>
  <c r="D279" i="13"/>
  <c r="T65" i="13"/>
  <c r="BO365" i="13"/>
  <c r="AR50" i="13"/>
  <c r="E249" i="13"/>
  <c r="BO314" i="13"/>
  <c r="BG432" i="13"/>
  <c r="AI407" i="13"/>
  <c r="BG36" i="13"/>
  <c r="T18" i="13"/>
  <c r="T306" i="13"/>
  <c r="AD78" i="13"/>
  <c r="BU198" i="13"/>
  <c r="T430" i="13"/>
  <c r="D215" i="13"/>
  <c r="BH81" i="13"/>
  <c r="AH218" i="13"/>
  <c r="AT402" i="13"/>
  <c r="M364" i="13"/>
  <c r="T275" i="13"/>
  <c r="BW46" i="13"/>
  <c r="BK32" i="13"/>
  <c r="T435" i="13"/>
  <c r="E191" i="13"/>
  <c r="AZ170" i="13"/>
  <c r="P171" i="13"/>
  <c r="D145" i="13"/>
  <c r="BP252" i="13"/>
  <c r="U357" i="13"/>
  <c r="AI270" i="13"/>
  <c r="AE219" i="13"/>
  <c r="BI13" i="13"/>
  <c r="BO135" i="13"/>
  <c r="AK7" i="13"/>
  <c r="AO351" i="13"/>
  <c r="AU270" i="13"/>
  <c r="BB105" i="13"/>
  <c r="L5" i="13"/>
  <c r="L301" i="13"/>
  <c r="AP60" i="13"/>
  <c r="BQ313" i="13"/>
  <c r="BT7" i="13"/>
  <c r="BA434" i="13"/>
  <c r="AD126" i="13"/>
  <c r="AJ6" i="13"/>
  <c r="B371" i="13"/>
  <c r="AR83" i="13"/>
  <c r="BK117" i="13"/>
  <c r="M55" i="13"/>
  <c r="BH293" i="13"/>
  <c r="BS316" i="13"/>
  <c r="AO376" i="13"/>
  <c r="AZ36" i="13"/>
  <c r="BF196" i="13"/>
  <c r="AJ93" i="13"/>
  <c r="P105" i="13"/>
  <c r="H13" i="13"/>
  <c r="S152" i="13"/>
  <c r="BW240" i="13"/>
  <c r="AU65" i="13"/>
  <c r="BI349" i="13"/>
  <c r="E228" i="13"/>
  <c r="BG390" i="13"/>
  <c r="AM432" i="13"/>
  <c r="BQ161" i="13"/>
  <c r="R156" i="13"/>
  <c r="BA30" i="13"/>
  <c r="Z269" i="13"/>
  <c r="AE307" i="13"/>
  <c r="K181" i="13"/>
  <c r="AD442" i="13"/>
  <c r="AY448" i="13"/>
  <c r="AM376" i="13"/>
  <c r="T266" i="13"/>
  <c r="AX466" i="13"/>
  <c r="AL279" i="13"/>
  <c r="H231" i="13"/>
  <c r="AC352" i="13"/>
  <c r="A423" i="13"/>
  <c r="AN17" i="13"/>
  <c r="AT96" i="13"/>
  <c r="AI225" i="13"/>
  <c r="Y347" i="13"/>
  <c r="I465" i="13"/>
  <c r="AJ192" i="13"/>
  <c r="AZ451" i="13"/>
  <c r="S105" i="13"/>
  <c r="P469" i="13"/>
  <c r="Q496" i="13"/>
  <c r="I14" i="13"/>
  <c r="BL259" i="13"/>
  <c r="BF408" i="13"/>
  <c r="E315" i="13"/>
  <c r="X348" i="13"/>
  <c r="BP460" i="13"/>
  <c r="AY356" i="13"/>
  <c r="BO466" i="13"/>
  <c r="Q251" i="13"/>
  <c r="AS493" i="13"/>
  <c r="BM280" i="13"/>
  <c r="AM133" i="13"/>
  <c r="BN331" i="13"/>
  <c r="BH348" i="13"/>
  <c r="BC104" i="13"/>
  <c r="AW375" i="13"/>
  <c r="BP282" i="13"/>
  <c r="AX14" i="13"/>
  <c r="AO339" i="13"/>
  <c r="Q151" i="13"/>
  <c r="N473" i="13"/>
  <c r="AC473" i="13"/>
  <c r="AE310" i="13"/>
  <c r="S315" i="13"/>
  <c r="AS408" i="13"/>
  <c r="R183" i="13"/>
  <c r="U206" i="13"/>
  <c r="AS330" i="13"/>
  <c r="Q430" i="13"/>
  <c r="BD240" i="13"/>
  <c r="AW484" i="13"/>
  <c r="AV120" i="13"/>
  <c r="BN323" i="13"/>
  <c r="AU135" i="13"/>
  <c r="AT455" i="13"/>
  <c r="AU467" i="13"/>
  <c r="BB262" i="13"/>
  <c r="I220" i="13"/>
  <c r="BW235" i="13"/>
  <c r="O448" i="13"/>
  <c r="AY457" i="13"/>
  <c r="T395" i="13"/>
  <c r="BH240" i="13"/>
  <c r="AC349" i="13"/>
  <c r="AC358" i="13"/>
  <c r="T455" i="13"/>
  <c r="AB382" i="13"/>
  <c r="BW423" i="13"/>
  <c r="AF458" i="13"/>
  <c r="F448" i="13"/>
  <c r="P240" i="13"/>
  <c r="AU412" i="13"/>
  <c r="BF291" i="13"/>
  <c r="H183" i="13"/>
  <c r="BW241" i="13"/>
  <c r="AJ444" i="13"/>
  <c r="BN277" i="13"/>
  <c r="U232" i="13"/>
  <c r="D230" i="13"/>
  <c r="AN213" i="13"/>
  <c r="I441" i="13"/>
  <c r="AC290" i="13"/>
  <c r="BK217" i="13"/>
  <c r="U92" i="13"/>
  <c r="BE324" i="13"/>
  <c r="AE92" i="13"/>
  <c r="AB170" i="13"/>
  <c r="D208" i="13"/>
  <c r="U91" i="13"/>
  <c r="BC52" i="13"/>
  <c r="N424" i="13"/>
  <c r="AT301" i="13"/>
  <c r="BT378" i="13"/>
  <c r="D157" i="13"/>
  <c r="BN336" i="13"/>
  <c r="M2" i="13"/>
  <c r="N48" i="13"/>
  <c r="D199" i="13"/>
  <c r="AB178" i="13"/>
  <c r="N316" i="13"/>
  <c r="BO94" i="13"/>
  <c r="AA410" i="13"/>
  <c r="O149" i="13"/>
  <c r="BO252" i="13"/>
  <c r="J129" i="13"/>
  <c r="BI275" i="13"/>
  <c r="AT108" i="13"/>
  <c r="E157" i="13"/>
  <c r="AP168" i="13"/>
  <c r="Q159" i="13"/>
  <c r="AO421" i="13"/>
  <c r="P255" i="13"/>
  <c r="BW189" i="13"/>
  <c r="AV304" i="13"/>
  <c r="L109" i="13"/>
  <c r="AU18" i="13"/>
  <c r="BS261" i="13"/>
  <c r="BR208" i="13"/>
  <c r="BS423" i="13"/>
  <c r="J80" i="13"/>
  <c r="AC94" i="13"/>
  <c r="BV210" i="13"/>
  <c r="BO34" i="13"/>
  <c r="O291" i="13"/>
  <c r="BO270" i="13"/>
  <c r="G16" i="13"/>
  <c r="BQ495" i="13"/>
  <c r="U130" i="13"/>
  <c r="BR281" i="13"/>
  <c r="P398" i="13"/>
  <c r="BW151" i="13"/>
  <c r="BT355" i="13"/>
  <c r="J490" i="13"/>
  <c r="BW395" i="13"/>
  <c r="AO346" i="13"/>
  <c r="M291" i="13"/>
  <c r="AV483" i="13"/>
  <c r="X29" i="13"/>
  <c r="AT310" i="13"/>
  <c r="A259" i="13"/>
  <c r="X22" i="13"/>
  <c r="AM303" i="13"/>
  <c r="AD356" i="13"/>
  <c r="G304" i="13"/>
  <c r="Z229" i="13"/>
  <c r="AE399" i="13"/>
  <c r="B65" i="13"/>
  <c r="AQ47" i="13"/>
  <c r="AM139" i="13"/>
  <c r="X301" i="13"/>
  <c r="BM302" i="13"/>
  <c r="AS68" i="13"/>
  <c r="K157" i="13"/>
  <c r="BU340" i="13"/>
  <c r="AW39" i="13"/>
  <c r="M82" i="13"/>
  <c r="AH355" i="13"/>
  <c r="AX67" i="13"/>
  <c r="Q378" i="13"/>
  <c r="AD312" i="13"/>
  <c r="BR70" i="13"/>
  <c r="BK71" i="13"/>
  <c r="B152" i="13"/>
  <c r="AF139" i="13"/>
  <c r="AS459" i="13"/>
  <c r="BT107" i="13"/>
  <c r="G398" i="13"/>
  <c r="BA82" i="13"/>
  <c r="BN128" i="13"/>
  <c r="BT162" i="13"/>
  <c r="BM193" i="13"/>
  <c r="J433" i="13"/>
  <c r="BK367" i="13"/>
  <c r="K409" i="13"/>
  <c r="AD410" i="13"/>
  <c r="Z386" i="13"/>
  <c r="D221" i="13"/>
  <c r="Z117" i="13"/>
  <c r="R192" i="13"/>
  <c r="Y353" i="13"/>
  <c r="E490" i="13"/>
  <c r="BS406" i="13"/>
  <c r="J329" i="13"/>
  <c r="AA380" i="13"/>
  <c r="BK451" i="13"/>
  <c r="AW138" i="13"/>
  <c r="BW292" i="13"/>
  <c r="AI349" i="13"/>
  <c r="S181" i="13"/>
  <c r="BO415" i="13"/>
  <c r="BT297" i="13"/>
  <c r="BK170" i="13"/>
  <c r="M167" i="13"/>
  <c r="I413" i="13"/>
  <c r="BA238" i="13"/>
  <c r="AK279" i="13"/>
  <c r="H427" i="13"/>
  <c r="AZ127" i="13"/>
  <c r="AQ485" i="13"/>
  <c r="BS256" i="13"/>
  <c r="AY455" i="13"/>
  <c r="BO244" i="13"/>
  <c r="AB109" i="13"/>
  <c r="M248" i="13"/>
  <c r="AQ348" i="13"/>
  <c r="AC250" i="13"/>
  <c r="AG47" i="13"/>
  <c r="AQ364" i="13"/>
  <c r="D219" i="13"/>
  <c r="L333" i="13"/>
  <c r="AS475" i="13"/>
  <c r="G7" i="13"/>
  <c r="BU452" i="13"/>
  <c r="AH436" i="13"/>
  <c r="BL105" i="13"/>
  <c r="BS429" i="13"/>
  <c r="G420" i="13"/>
  <c r="BB38" i="13"/>
  <c r="AX436" i="13"/>
  <c r="V165" i="13"/>
  <c r="AO20" i="13"/>
  <c r="BH330" i="13"/>
  <c r="G158" i="13"/>
  <c r="N337" i="13"/>
  <c r="BQ39" i="13"/>
  <c r="BB13" i="13"/>
  <c r="J478" i="13"/>
  <c r="BD253" i="13"/>
  <c r="AV314" i="13"/>
  <c r="AD234" i="13"/>
  <c r="BU372" i="13"/>
  <c r="AL256" i="13"/>
  <c r="AZ83" i="13"/>
  <c r="Y107" i="13"/>
  <c r="BK60" i="13"/>
  <c r="AW153" i="13"/>
  <c r="AC108" i="13"/>
  <c r="Q197" i="13"/>
  <c r="J124" i="13"/>
  <c r="AB275" i="13"/>
  <c r="AK53" i="13"/>
  <c r="AY352" i="13"/>
  <c r="Z264" i="13"/>
  <c r="BU149" i="13"/>
  <c r="BU476" i="13"/>
  <c r="BV27" i="13"/>
  <c r="V422" i="13"/>
  <c r="AK153" i="13"/>
  <c r="AA237" i="13"/>
  <c r="BN63" i="13"/>
  <c r="P193" i="13"/>
  <c r="X448" i="13"/>
  <c r="BL238" i="13"/>
  <c r="AY171" i="13"/>
  <c r="BH241" i="13"/>
  <c r="AI246" i="13"/>
  <c r="AD114" i="13"/>
  <c r="BA400" i="13"/>
  <c r="N375" i="13"/>
  <c r="AP89" i="13"/>
  <c r="A125" i="13"/>
  <c r="BD233" i="13"/>
  <c r="BR161" i="13"/>
  <c r="BV316" i="13"/>
  <c r="M12" i="13"/>
  <c r="C250" i="13"/>
  <c r="H170" i="13"/>
  <c r="A192" i="13"/>
  <c r="AA346" i="13"/>
  <c r="Y331" i="13"/>
  <c r="BB279" i="13"/>
  <c r="BL249" i="13"/>
  <c r="M453" i="13"/>
  <c r="B466" i="13"/>
  <c r="BI492" i="13"/>
  <c r="AV259" i="13"/>
  <c r="AN58" i="13"/>
  <c r="BW206" i="13"/>
  <c r="BQ285" i="13"/>
  <c r="BI22" i="13"/>
  <c r="M455" i="13"/>
  <c r="AN487" i="13"/>
  <c r="AG484" i="13"/>
  <c r="AY132" i="13"/>
  <c r="BU235" i="13"/>
  <c r="O73" i="13"/>
  <c r="F42" i="13"/>
  <c r="AN152" i="13"/>
  <c r="W149" i="13"/>
  <c r="BB134" i="13"/>
  <c r="BO131" i="13"/>
  <c r="L372" i="13"/>
  <c r="C144" i="13"/>
  <c r="BH141" i="13"/>
  <c r="BS321" i="13"/>
  <c r="AS417" i="13"/>
  <c r="D153" i="13"/>
  <c r="D307" i="13"/>
  <c r="A445" i="13"/>
  <c r="T159" i="13"/>
  <c r="AA390" i="13"/>
  <c r="BJ293" i="13"/>
  <c r="O55" i="13"/>
  <c r="BD82" i="13"/>
  <c r="BH288" i="13"/>
  <c r="C268" i="13"/>
  <c r="BN442" i="13"/>
  <c r="BT144" i="13"/>
  <c r="AI20" i="13"/>
  <c r="M26" i="13"/>
  <c r="D469" i="13"/>
  <c r="AQ225" i="13"/>
  <c r="BQ120" i="13"/>
  <c r="BN379" i="13"/>
  <c r="B314" i="13"/>
  <c r="BL270" i="13"/>
  <c r="BK58" i="13"/>
  <c r="AC111" i="13"/>
  <c r="AW293" i="13"/>
  <c r="BM499" i="13"/>
  <c r="BN77" i="13"/>
  <c r="BR359" i="13"/>
  <c r="AX228" i="13"/>
  <c r="AG155" i="13"/>
  <c r="BH439" i="13"/>
  <c r="I51" i="13"/>
  <c r="H393" i="13"/>
  <c r="W257" i="13"/>
  <c r="U418" i="13"/>
  <c r="BO11" i="13"/>
  <c r="K268" i="13"/>
  <c r="BQ233" i="13"/>
  <c r="AB135" i="13"/>
  <c r="BG393" i="13"/>
  <c r="BL160" i="13"/>
  <c r="K347" i="13"/>
  <c r="A325" i="13"/>
  <c r="AF333" i="13"/>
  <c r="M383" i="13"/>
  <c r="BT244" i="13"/>
  <c r="AQ432" i="13"/>
  <c r="BW167" i="13"/>
  <c r="AX235" i="13"/>
  <c r="AU71" i="13"/>
  <c r="R380" i="13"/>
  <c r="I177" i="13"/>
  <c r="AU237" i="13"/>
  <c r="AG187" i="13"/>
  <c r="BV77" i="13"/>
  <c r="AP135" i="13"/>
  <c r="B439" i="13"/>
  <c r="A368" i="13"/>
  <c r="AY203" i="13"/>
  <c r="AM69" i="13"/>
  <c r="AB265" i="13"/>
  <c r="O280" i="13"/>
  <c r="BP126" i="13"/>
  <c r="T5" i="13"/>
  <c r="P319" i="13"/>
  <c r="AB274" i="13"/>
  <c r="AD276" i="13"/>
  <c r="BO353" i="13"/>
  <c r="AJ13" i="13"/>
  <c r="BP185" i="13"/>
  <c r="AC329" i="13"/>
  <c r="BM146" i="13"/>
  <c r="BI480" i="13"/>
  <c r="BM240" i="13"/>
  <c r="BO236" i="13"/>
  <c r="AW273" i="13"/>
  <c r="BN347" i="13"/>
  <c r="R36" i="13"/>
  <c r="AW256" i="13"/>
  <c r="AO233" i="13"/>
  <c r="Y369" i="13"/>
  <c r="AQ451" i="13"/>
  <c r="Q210" i="13"/>
  <c r="BA337" i="13"/>
  <c r="AG238" i="13"/>
  <c r="AT362" i="13"/>
  <c r="BG272" i="13"/>
  <c r="AR417" i="13"/>
  <c r="BA409" i="13"/>
  <c r="AL175" i="13"/>
  <c r="AZ176" i="13"/>
  <c r="AZ13" i="13"/>
  <c r="BI385" i="13"/>
  <c r="AH117" i="13"/>
  <c r="AG329" i="13"/>
  <c r="BF92" i="13"/>
  <c r="BP350" i="13"/>
  <c r="X433" i="13"/>
  <c r="AZ303" i="13"/>
  <c r="D165" i="13"/>
  <c r="H8" i="13"/>
  <c r="BQ153" i="13"/>
  <c r="N35" i="13"/>
  <c r="J24" i="13"/>
  <c r="BA273" i="13"/>
  <c r="L263" i="13"/>
  <c r="AU284" i="13"/>
  <c r="AF421" i="13"/>
  <c r="J255" i="13"/>
  <c r="M399" i="13"/>
  <c r="W105" i="13"/>
  <c r="E264" i="13"/>
  <c r="AH411" i="13"/>
  <c r="BB241" i="13"/>
  <c r="C151" i="13"/>
  <c r="AP416" i="13"/>
  <c r="AB420" i="13"/>
  <c r="H114" i="13"/>
  <c r="AU468" i="13"/>
  <c r="AV400" i="13"/>
  <c r="AS97" i="13"/>
  <c r="AU95" i="13"/>
  <c r="K291" i="13"/>
  <c r="Y401" i="13"/>
  <c r="V123" i="13"/>
  <c r="AR80" i="13"/>
  <c r="BV416" i="13"/>
  <c r="BO409" i="13"/>
  <c r="J388" i="13"/>
  <c r="AE224" i="13"/>
  <c r="BI2" i="13"/>
  <c r="S50" i="13"/>
  <c r="BM327" i="13"/>
  <c r="BF29" i="13"/>
  <c r="N85" i="13"/>
  <c r="F187" i="13"/>
  <c r="BH226" i="13"/>
  <c r="BS239" i="13"/>
  <c r="BR87" i="13"/>
  <c r="O250" i="13"/>
  <c r="AY147" i="13"/>
  <c r="I439" i="13"/>
  <c r="AG27" i="13"/>
  <c r="AV435" i="13"/>
  <c r="BV37" i="13"/>
  <c r="W377" i="13"/>
  <c r="AB176" i="13"/>
  <c r="Y343" i="13"/>
  <c r="Y227" i="13"/>
  <c r="AX157" i="13"/>
  <c r="AG249" i="13"/>
  <c r="AM155" i="13"/>
  <c r="U486" i="13"/>
  <c r="AI93" i="13"/>
  <c r="F369" i="13"/>
  <c r="BI108" i="13"/>
  <c r="BC100" i="13"/>
  <c r="K269" i="13"/>
  <c r="BI149" i="13"/>
  <c r="AD156" i="13"/>
  <c r="AM409" i="13"/>
  <c r="BU401" i="13"/>
  <c r="A461" i="13"/>
  <c r="AM390" i="13"/>
  <c r="BR82" i="13"/>
  <c r="H205" i="13"/>
  <c r="F280" i="13"/>
  <c r="C90" i="13"/>
  <c r="BJ37" i="13"/>
  <c r="BV132" i="13"/>
  <c r="AF490" i="13"/>
  <c r="AF483" i="13"/>
  <c r="BF280" i="13"/>
  <c r="BG197" i="13"/>
  <c r="AZ180" i="13"/>
  <c r="BN93" i="13"/>
  <c r="V338" i="13"/>
  <c r="I371" i="13"/>
  <c r="AM268" i="13"/>
  <c r="X491" i="13"/>
  <c r="AF359" i="13"/>
  <c r="G28" i="13"/>
  <c r="AR398" i="13"/>
  <c r="BI157" i="13"/>
  <c r="BL295" i="13"/>
  <c r="AD10" i="13"/>
  <c r="F438" i="13"/>
  <c r="BV337" i="13"/>
  <c r="AG465" i="13"/>
  <c r="R476" i="13"/>
  <c r="AO334" i="13"/>
  <c r="H328" i="13"/>
  <c r="BH11" i="13"/>
  <c r="AR3" i="13"/>
  <c r="AD414" i="13"/>
  <c r="BG204" i="13"/>
  <c r="BT332" i="13"/>
  <c r="BS244" i="13"/>
  <c r="P204" i="13"/>
  <c r="AX216" i="13"/>
  <c r="AR432" i="13"/>
  <c r="U424" i="13"/>
  <c r="BS342" i="13"/>
  <c r="AO131" i="13"/>
  <c r="N1" i="13"/>
  <c r="AH367" i="13"/>
  <c r="D295" i="13"/>
  <c r="BN479" i="13"/>
  <c r="S394" i="13"/>
  <c r="AG333" i="13"/>
  <c r="AJ295" i="13"/>
  <c r="BV265" i="13"/>
  <c r="K387" i="13"/>
  <c r="AR86" i="13"/>
  <c r="V225" i="13"/>
  <c r="BR250" i="13"/>
  <c r="BA484" i="13"/>
  <c r="AU392" i="13"/>
  <c r="L481" i="13"/>
  <c r="C92" i="13"/>
  <c r="AS452" i="13"/>
  <c r="AH31" i="13"/>
  <c r="B349" i="13"/>
  <c r="BM431" i="13"/>
  <c r="T482" i="13"/>
  <c r="BD296" i="13"/>
  <c r="L455" i="13"/>
  <c r="Z408" i="13"/>
  <c r="BC452" i="13"/>
  <c r="BP453" i="13"/>
  <c r="F126" i="13"/>
  <c r="AM179" i="13"/>
  <c r="Q18" i="13"/>
  <c r="K346" i="13"/>
  <c r="D264" i="13"/>
  <c r="X339" i="13"/>
  <c r="BL300" i="13"/>
  <c r="AD99" i="13"/>
  <c r="BH114" i="13"/>
  <c r="BT278" i="13"/>
  <c r="AB338" i="13"/>
  <c r="BE16" i="13"/>
  <c r="AV238" i="13"/>
  <c r="BM434" i="13"/>
  <c r="BJ87" i="13"/>
  <c r="C298" i="13"/>
  <c r="AZ51" i="13"/>
  <c r="BN497" i="13"/>
  <c r="B202" i="13"/>
  <c r="I244" i="13"/>
  <c r="BA239" i="13"/>
  <c r="BI161" i="13"/>
  <c r="AD127" i="13"/>
  <c r="Z301" i="13"/>
  <c r="K27" i="13"/>
  <c r="BW69" i="13"/>
  <c r="H452" i="13"/>
  <c r="AQ241" i="13"/>
  <c r="W420" i="13"/>
  <c r="BG15" i="13"/>
  <c r="G249" i="13"/>
  <c r="H236" i="13"/>
  <c r="BM492" i="13"/>
  <c r="BJ194" i="13"/>
  <c r="BL374" i="13"/>
  <c r="AR214" i="13"/>
  <c r="BC427" i="13"/>
  <c r="AM122" i="13"/>
  <c r="BL213" i="13"/>
  <c r="BS265" i="13"/>
  <c r="T79" i="13"/>
  <c r="AB392" i="13"/>
  <c r="BA488" i="13"/>
  <c r="AI472" i="13"/>
  <c r="W55" i="13"/>
  <c r="H439" i="13"/>
  <c r="M325" i="13"/>
  <c r="AK76" i="13"/>
  <c r="AE410" i="13"/>
  <c r="T202" i="13"/>
  <c r="AW280" i="13"/>
  <c r="C412" i="13"/>
  <c r="BS153" i="13"/>
  <c r="BU294" i="13"/>
  <c r="AA101" i="13"/>
  <c r="AX353" i="13"/>
  <c r="AL189" i="13"/>
  <c r="AN493" i="13"/>
  <c r="BO406" i="13"/>
  <c r="J284" i="13"/>
  <c r="AB269" i="13"/>
  <c r="AI476" i="13"/>
  <c r="O47" i="13"/>
  <c r="F455" i="13"/>
  <c r="W88" i="13"/>
  <c r="BS275" i="13"/>
  <c r="BU314" i="13"/>
  <c r="BL417" i="13"/>
  <c r="AQ124" i="13"/>
  <c r="BH9" i="13"/>
  <c r="AP110" i="13"/>
  <c r="AI418" i="13"/>
  <c r="BT430" i="13"/>
  <c r="P321" i="13"/>
  <c r="BF412" i="13"/>
  <c r="I60" i="13"/>
  <c r="AT477" i="13"/>
  <c r="BM205" i="13"/>
  <c r="AB349" i="13"/>
  <c r="AX383" i="13"/>
  <c r="B370" i="13"/>
  <c r="W482" i="13"/>
  <c r="F233" i="13"/>
  <c r="AB410" i="13"/>
  <c r="E380" i="13"/>
  <c r="S88" i="13"/>
  <c r="AI12" i="13"/>
  <c r="AH409" i="13"/>
  <c r="L395" i="13"/>
  <c r="AO431" i="13"/>
  <c r="AM107" i="13"/>
  <c r="AB386" i="13"/>
  <c r="BT135" i="13"/>
  <c r="AJ203" i="13"/>
  <c r="BH175" i="13"/>
  <c r="AC215" i="13"/>
  <c r="X85" i="13"/>
  <c r="BG220" i="13"/>
  <c r="P80" i="13"/>
  <c r="C335" i="13"/>
  <c r="BP416" i="13"/>
  <c r="AE483" i="13"/>
  <c r="K196" i="13"/>
  <c r="BH109" i="13"/>
  <c r="AO205" i="13"/>
  <c r="AK383" i="13"/>
  <c r="R409" i="13"/>
  <c r="BA473" i="13"/>
  <c r="AR412" i="13"/>
  <c r="C173" i="13"/>
  <c r="BA437" i="13"/>
  <c r="AR376" i="13"/>
  <c r="AT321" i="13"/>
  <c r="BM347" i="13"/>
  <c r="X455" i="13"/>
  <c r="BK249" i="13"/>
  <c r="BE176" i="13"/>
  <c r="B118" i="13"/>
  <c r="S144" i="13"/>
  <c r="AY426" i="13"/>
  <c r="BI6" i="13"/>
  <c r="P394" i="13"/>
  <c r="BH221" i="13"/>
  <c r="AT410" i="13"/>
  <c r="G73" i="13"/>
  <c r="K316" i="13"/>
  <c r="AQ264" i="13"/>
  <c r="X460" i="13"/>
  <c r="I469" i="13"/>
  <c r="C469" i="13"/>
  <c r="AZ312" i="13"/>
  <c r="AG4" i="13"/>
  <c r="B254" i="13"/>
  <c r="AW287" i="13"/>
  <c r="AV287" i="13"/>
  <c r="N133" i="13"/>
  <c r="BE291" i="13"/>
  <c r="AH189" i="13"/>
  <c r="BF80" i="13"/>
  <c r="BG293" i="13"/>
  <c r="BA268" i="13"/>
  <c r="X242" i="13"/>
  <c r="BL299" i="13"/>
  <c r="BQ232" i="13"/>
  <c r="AV86" i="13"/>
  <c r="E349" i="13"/>
  <c r="Q217" i="13"/>
  <c r="BI237" i="13"/>
  <c r="BQ460" i="13"/>
  <c r="AN371" i="13"/>
  <c r="BS33" i="13"/>
  <c r="I339" i="13"/>
  <c r="N195" i="13"/>
  <c r="AD388" i="13"/>
  <c r="J378" i="13"/>
  <c r="BQ50" i="13"/>
  <c r="AT389" i="13"/>
  <c r="J273" i="13"/>
  <c r="AW274" i="13"/>
  <c r="T371" i="13"/>
  <c r="A188" i="13"/>
  <c r="AU366" i="13"/>
  <c r="AV468" i="13"/>
  <c r="C119" i="13"/>
  <c r="C336" i="13"/>
  <c r="S321" i="13"/>
  <c r="AW382" i="13"/>
  <c r="AL463" i="13"/>
  <c r="BC224" i="13"/>
  <c r="BA202" i="13"/>
  <c r="AO86" i="13"/>
  <c r="BH213" i="13"/>
  <c r="Z141" i="13"/>
  <c r="BL185" i="13"/>
  <c r="BO31" i="13"/>
  <c r="AS91" i="13"/>
  <c r="AE445" i="13"/>
  <c r="I471" i="13"/>
  <c r="D266" i="13"/>
  <c r="AG56" i="13"/>
  <c r="W343" i="13"/>
  <c r="AG360" i="13"/>
  <c r="I282" i="13"/>
  <c r="AC338" i="13"/>
  <c r="BV418" i="13"/>
  <c r="H293" i="13"/>
  <c r="AM481" i="13"/>
  <c r="BQ215" i="13"/>
  <c r="BP136" i="13"/>
  <c r="AX461" i="13"/>
  <c r="K311" i="13"/>
  <c r="AT74" i="13"/>
  <c r="AT487" i="13"/>
  <c r="AY339" i="13"/>
  <c r="BN219" i="13"/>
  <c r="AH485" i="13"/>
  <c r="BP31" i="13"/>
  <c r="AD77" i="13"/>
  <c r="AX83" i="13"/>
  <c r="BF77" i="13"/>
  <c r="AU154" i="13"/>
  <c r="S101" i="13"/>
  <c r="AH130" i="13"/>
  <c r="AN472" i="13"/>
  <c r="AN202" i="13"/>
  <c r="BO410" i="13"/>
  <c r="AK167" i="13"/>
  <c r="BC387" i="13"/>
  <c r="AT299" i="13"/>
  <c r="K213" i="13"/>
  <c r="AZ328" i="13"/>
  <c r="BP158" i="13"/>
  <c r="F330" i="13"/>
  <c r="F5" i="13"/>
  <c r="AC39" i="13"/>
  <c r="AY100" i="13"/>
  <c r="AI450" i="13"/>
  <c r="BK411" i="13"/>
  <c r="BN28" i="13"/>
  <c r="T198" i="13"/>
  <c r="AN340" i="13"/>
  <c r="BK360" i="13"/>
  <c r="BI328" i="13"/>
  <c r="BW434" i="13"/>
  <c r="AF151" i="13"/>
  <c r="AO163" i="13"/>
  <c r="A413" i="13"/>
  <c r="I449" i="13"/>
  <c r="AR453" i="13"/>
  <c r="T350" i="13"/>
  <c r="BB26" i="13"/>
  <c r="BO376" i="13"/>
  <c r="R203" i="13"/>
  <c r="Z247" i="13"/>
  <c r="BL256" i="13"/>
  <c r="AT82" i="13"/>
  <c r="AZ191" i="13"/>
  <c r="AC431" i="13"/>
  <c r="BT231" i="13"/>
  <c r="AK137" i="13"/>
  <c r="Y471" i="13"/>
  <c r="AF175" i="13"/>
  <c r="BJ440" i="13"/>
  <c r="BJ475" i="13"/>
  <c r="AB62" i="13"/>
  <c r="P57" i="13"/>
  <c r="AZ319" i="13"/>
  <c r="BB366" i="13"/>
  <c r="X145" i="13"/>
  <c r="B427" i="13"/>
  <c r="BD356" i="13"/>
  <c r="BW107" i="13"/>
  <c r="BI483" i="13"/>
  <c r="BK456" i="13"/>
  <c r="A362" i="13"/>
  <c r="R159" i="13"/>
  <c r="AN422" i="13"/>
  <c r="BP235" i="13"/>
  <c r="AM446" i="13"/>
  <c r="AX396" i="13"/>
  <c r="Q59" i="13"/>
  <c r="AI130" i="13"/>
  <c r="A379" i="13"/>
  <c r="AZ415" i="13"/>
  <c r="S495" i="13"/>
  <c r="BI397" i="13"/>
  <c r="E379" i="13"/>
  <c r="U440" i="13"/>
  <c r="AA39" i="13"/>
  <c r="BU347" i="13"/>
  <c r="O177" i="13"/>
  <c r="BQ474" i="13"/>
  <c r="AH193" i="13"/>
  <c r="N59" i="13"/>
  <c r="AN353" i="13"/>
  <c r="AR72" i="13"/>
  <c r="AD129" i="13"/>
  <c r="BG288" i="13"/>
  <c r="H113" i="13"/>
  <c r="BN395" i="13"/>
  <c r="U289" i="13"/>
  <c r="AI371" i="13"/>
  <c r="BK190" i="13"/>
  <c r="B255" i="13"/>
  <c r="BA64" i="13"/>
  <c r="BO328" i="13"/>
  <c r="AG153" i="13"/>
  <c r="AN439" i="13"/>
  <c r="AB78" i="13"/>
  <c r="BC171" i="13"/>
  <c r="AC376" i="13"/>
  <c r="AV66" i="13"/>
  <c r="O442" i="13"/>
  <c r="D430" i="13"/>
  <c r="AR239" i="13"/>
  <c r="BL486" i="13"/>
  <c r="AE377" i="13"/>
  <c r="AB456" i="13"/>
  <c r="BN254" i="13"/>
  <c r="BI346" i="13"/>
  <c r="K89" i="13"/>
  <c r="BS16" i="13"/>
  <c r="AM47" i="13"/>
  <c r="E67" i="13"/>
  <c r="BA26" i="13"/>
  <c r="N128" i="13"/>
  <c r="R463" i="13"/>
  <c r="BW321" i="13"/>
  <c r="L164" i="13"/>
  <c r="Z207" i="13"/>
  <c r="AJ149" i="13"/>
  <c r="BR30" i="13"/>
  <c r="U93" i="13"/>
  <c r="AU485" i="13"/>
  <c r="BV214" i="13"/>
  <c r="AD436" i="13"/>
  <c r="AP277" i="13"/>
  <c r="AY318" i="13"/>
  <c r="R340" i="13"/>
  <c r="AJ320" i="13"/>
  <c r="BH328" i="13"/>
  <c r="BL274" i="13"/>
  <c r="D355" i="13"/>
  <c r="BI172" i="13"/>
  <c r="AX175" i="13"/>
  <c r="BE311" i="13"/>
  <c r="P114" i="13"/>
  <c r="L49" i="13"/>
  <c r="N94" i="13"/>
  <c r="X81" i="13"/>
  <c r="J424" i="13"/>
  <c r="BQ436" i="13"/>
  <c r="J261" i="13"/>
  <c r="L378" i="13"/>
  <c r="K167" i="13"/>
  <c r="G24" i="13"/>
  <c r="I346" i="13"/>
  <c r="BR168" i="13"/>
  <c r="AQ129" i="13"/>
  <c r="V448" i="13"/>
  <c r="BV444" i="13"/>
  <c r="AZ446" i="13"/>
  <c r="AB84" i="13"/>
  <c r="BI180" i="13"/>
  <c r="N352" i="13"/>
  <c r="AG474" i="13"/>
  <c r="AH435" i="13"/>
  <c r="F319" i="13"/>
  <c r="C88" i="13"/>
  <c r="BT30" i="13"/>
  <c r="F397" i="13"/>
  <c r="AR296" i="13"/>
  <c r="AR220" i="13"/>
  <c r="AO424" i="13"/>
  <c r="BC482" i="13"/>
  <c r="AS496" i="13"/>
  <c r="AF264" i="13"/>
  <c r="AA342" i="13"/>
  <c r="R254" i="13"/>
  <c r="S417" i="13"/>
  <c r="AG39" i="13"/>
  <c r="AT7" i="13"/>
  <c r="BF316" i="13"/>
  <c r="AL101" i="13"/>
  <c r="BQ124" i="13"/>
  <c r="BI444" i="13"/>
  <c r="BW319" i="13"/>
  <c r="Z327" i="13"/>
  <c r="BQ446" i="13"/>
  <c r="T281" i="13"/>
  <c r="AG487" i="13"/>
  <c r="AC259" i="13"/>
  <c r="B278" i="13"/>
  <c r="AB196" i="13"/>
  <c r="AA300" i="13"/>
  <c r="Z196" i="13"/>
  <c r="AT488" i="13"/>
  <c r="BM268" i="13"/>
  <c r="BA486" i="13"/>
  <c r="BD475" i="13"/>
  <c r="BH238" i="13"/>
  <c r="A279" i="13"/>
  <c r="O96" i="13"/>
  <c r="AH354" i="13"/>
  <c r="AX336" i="13"/>
  <c r="AU326" i="13"/>
  <c r="BH354" i="13"/>
  <c r="BA260" i="13"/>
  <c r="Y444" i="13"/>
  <c r="AI345" i="13"/>
  <c r="U324" i="13"/>
  <c r="AH176" i="13"/>
  <c r="AB471" i="13"/>
  <c r="BQ8" i="13"/>
  <c r="BG94" i="13"/>
  <c r="BM12" i="13"/>
  <c r="BR498" i="13"/>
  <c r="AC448" i="13"/>
  <c r="BS409" i="13"/>
  <c r="A254" i="13"/>
  <c r="BR60" i="13"/>
  <c r="AG390" i="13"/>
  <c r="L222" i="13"/>
  <c r="BU374" i="13"/>
  <c r="Y258" i="13"/>
  <c r="BL468" i="13"/>
  <c r="S352" i="13"/>
  <c r="D116" i="13"/>
  <c r="AD462" i="13"/>
  <c r="AE234" i="13"/>
  <c r="AX5" i="13"/>
  <c r="K293" i="13"/>
  <c r="AS436" i="13"/>
  <c r="V254" i="13"/>
  <c r="Z213" i="13"/>
  <c r="BT175" i="13"/>
  <c r="K172" i="13"/>
  <c r="BB278" i="13"/>
  <c r="BE247" i="13"/>
  <c r="BA317" i="13"/>
  <c r="AP362" i="13"/>
  <c r="BL360" i="13"/>
  <c r="AT405" i="13"/>
  <c r="BD142" i="13"/>
  <c r="V31" i="13"/>
  <c r="U229" i="13"/>
  <c r="D229" i="13"/>
  <c r="A350" i="13"/>
  <c r="BF480" i="13"/>
  <c r="AW34" i="13"/>
  <c r="BJ120" i="13"/>
  <c r="BR187" i="13"/>
  <c r="L90" i="13"/>
  <c r="AP290" i="13"/>
  <c r="BH469" i="13"/>
  <c r="BS202" i="13"/>
  <c r="D248" i="13"/>
  <c r="BE379" i="13"/>
  <c r="C165" i="13"/>
  <c r="N65" i="13"/>
  <c r="BJ217" i="13"/>
  <c r="AA26" i="13"/>
  <c r="AV196" i="13"/>
  <c r="AB417" i="13"/>
  <c r="BQ393" i="13"/>
  <c r="AA268" i="13"/>
  <c r="P84" i="13"/>
  <c r="BW4" i="13"/>
  <c r="O401" i="13"/>
  <c r="AA179" i="13"/>
  <c r="AO66" i="13"/>
  <c r="BT304" i="13"/>
  <c r="B108" i="13"/>
  <c r="G196" i="13"/>
  <c r="P195" i="13"/>
  <c r="AV109" i="13"/>
  <c r="BW320" i="13"/>
  <c r="BO228" i="13"/>
  <c r="AB93" i="13"/>
  <c r="BG330" i="13"/>
  <c r="Z339" i="13"/>
  <c r="AL394" i="13"/>
  <c r="AC268" i="13"/>
  <c r="AO347" i="13"/>
  <c r="Y333" i="13"/>
  <c r="AS337" i="13"/>
  <c r="BQ186" i="13"/>
  <c r="R184" i="13"/>
  <c r="AB83" i="13"/>
  <c r="BW440" i="13"/>
  <c r="BA152" i="13"/>
  <c r="AZ335" i="13"/>
  <c r="AA431" i="13"/>
  <c r="AV398" i="13"/>
  <c r="BC203" i="13"/>
  <c r="BE195" i="13"/>
  <c r="BF342" i="13"/>
  <c r="W320" i="13"/>
  <c r="AJ130" i="13"/>
  <c r="E269" i="13"/>
  <c r="T424" i="13"/>
  <c r="AD452" i="13"/>
  <c r="BK156" i="13"/>
  <c r="AR243" i="13"/>
  <c r="AW115" i="13"/>
  <c r="BE188" i="13"/>
  <c r="B360" i="13"/>
  <c r="BI177" i="13"/>
  <c r="AG407" i="13"/>
  <c r="G139" i="13"/>
  <c r="BW284" i="13"/>
  <c r="BM377" i="13"/>
  <c r="BH123" i="13"/>
  <c r="BD330" i="13"/>
  <c r="AD446" i="13"/>
  <c r="AB193" i="13"/>
  <c r="X432" i="13"/>
  <c r="AD166" i="13"/>
  <c r="AZ345" i="13"/>
  <c r="BE13" i="13"/>
  <c r="Y418" i="13"/>
  <c r="I313" i="13"/>
  <c r="BC426" i="13"/>
  <c r="AY134" i="13"/>
  <c r="BG215" i="13"/>
  <c r="R284" i="13"/>
  <c r="T178" i="13"/>
  <c r="T496" i="13"/>
  <c r="AG267" i="13"/>
  <c r="AB189" i="13"/>
  <c r="W384" i="13"/>
  <c r="AR393" i="13"/>
  <c r="AK93" i="13"/>
  <c r="N443" i="13"/>
  <c r="N217" i="13"/>
  <c r="BW344" i="13"/>
  <c r="H423" i="13"/>
  <c r="BI211" i="13"/>
  <c r="AQ415" i="13"/>
  <c r="T169" i="13"/>
  <c r="BA412" i="13"/>
  <c r="AL457" i="13"/>
  <c r="BQ482" i="13"/>
  <c r="AF399" i="13"/>
  <c r="BR71" i="13"/>
  <c r="BT439" i="13"/>
  <c r="AA340" i="13"/>
  <c r="BL266" i="13"/>
  <c r="T366" i="13"/>
  <c r="Y284" i="13"/>
  <c r="X449" i="13"/>
  <c r="AW238" i="13"/>
  <c r="M201" i="13"/>
  <c r="AC213" i="13"/>
  <c r="D476" i="13"/>
  <c r="BC13" i="13"/>
  <c r="BQ269" i="13"/>
  <c r="AB303" i="13"/>
  <c r="W91" i="13"/>
  <c r="H217" i="13"/>
  <c r="BQ213" i="13"/>
  <c r="BM37" i="13"/>
  <c r="AW352" i="13"/>
  <c r="AO140" i="13"/>
  <c r="AZ352" i="13"/>
  <c r="BH148" i="13"/>
  <c r="U335" i="13"/>
  <c r="G343" i="13"/>
  <c r="AP58" i="13"/>
  <c r="AM306" i="13"/>
  <c r="BQ346" i="13"/>
  <c r="AQ441" i="13"/>
  <c r="AU314" i="13"/>
  <c r="R308" i="13"/>
  <c r="BS446" i="13"/>
  <c r="AY199" i="13"/>
  <c r="J58" i="13"/>
  <c r="BU379" i="13"/>
  <c r="X174" i="13"/>
  <c r="AY208" i="13"/>
  <c r="BW39" i="13"/>
  <c r="I493" i="13"/>
  <c r="I159" i="13"/>
  <c r="BU261" i="13"/>
  <c r="AA316" i="13"/>
  <c r="J366" i="13"/>
  <c r="C330" i="13"/>
  <c r="O475" i="13"/>
  <c r="AT392" i="13"/>
  <c r="E62" i="13"/>
  <c r="V106" i="13"/>
  <c r="K487" i="13"/>
  <c r="AG32" i="13"/>
  <c r="AT204" i="13"/>
  <c r="AY337" i="13"/>
  <c r="Q22" i="13"/>
  <c r="F143" i="13"/>
  <c r="BE435" i="13"/>
  <c r="B332" i="13"/>
  <c r="AT376" i="13"/>
  <c r="AI461" i="13"/>
  <c r="AX199" i="13"/>
  <c r="AE456" i="13"/>
  <c r="N175" i="13"/>
  <c r="U277" i="13"/>
  <c r="X182" i="13"/>
  <c r="AP118" i="13"/>
  <c r="AU482" i="13"/>
  <c r="T373" i="13"/>
  <c r="AN437" i="13"/>
  <c r="BK316" i="13"/>
  <c r="V478" i="13"/>
  <c r="BG422" i="13"/>
  <c r="BJ105" i="13"/>
  <c r="B96" i="13"/>
  <c r="BW62" i="13"/>
  <c r="AD184" i="13"/>
  <c r="L462" i="13"/>
  <c r="S260" i="13"/>
  <c r="AX53" i="13"/>
  <c r="BO380" i="13"/>
  <c r="BW105" i="13"/>
  <c r="AU361" i="13"/>
  <c r="BE452" i="13"/>
  <c r="P263" i="13"/>
  <c r="I15" i="13"/>
  <c r="L162" i="13"/>
  <c r="D19" i="13"/>
  <c r="BK437" i="13"/>
  <c r="AG432" i="13"/>
  <c r="AL386" i="13"/>
  <c r="X380" i="13"/>
  <c r="AB210" i="13"/>
  <c r="N304" i="13"/>
  <c r="AW335" i="13"/>
  <c r="AW357" i="13"/>
  <c r="R33" i="13"/>
  <c r="BV209" i="13"/>
  <c r="BJ267" i="13"/>
  <c r="G129" i="13"/>
  <c r="BF141" i="13"/>
  <c r="BU208" i="13"/>
  <c r="AI488" i="13"/>
  <c r="BK313" i="13"/>
  <c r="AU347" i="13"/>
  <c r="BF230" i="13"/>
  <c r="Z312" i="13"/>
  <c r="AE373" i="13"/>
  <c r="BP180" i="13"/>
  <c r="P89" i="13"/>
  <c r="BE441" i="13"/>
  <c r="W345" i="13"/>
  <c r="G419" i="13"/>
  <c r="BU154" i="13"/>
  <c r="BA453" i="13"/>
  <c r="AX299" i="13"/>
  <c r="AB353" i="13"/>
  <c r="M441" i="13"/>
  <c r="AQ173" i="13"/>
  <c r="A158" i="13"/>
  <c r="BG363" i="13"/>
  <c r="O71" i="13"/>
  <c r="Q231" i="13"/>
  <c r="AS282" i="13"/>
  <c r="AN219" i="13"/>
  <c r="AX264" i="13"/>
  <c r="AA3" i="13"/>
  <c r="Z12" i="13"/>
  <c r="AV237" i="13"/>
  <c r="BU172" i="13"/>
  <c r="AI247" i="13"/>
  <c r="H335" i="13"/>
  <c r="AH489" i="13"/>
  <c r="Z40" i="13"/>
  <c r="AR401" i="13"/>
  <c r="BU205" i="13"/>
  <c r="AV417" i="13"/>
  <c r="AG339" i="13"/>
  <c r="BK496" i="13"/>
  <c r="V458" i="13"/>
  <c r="AG299" i="13"/>
  <c r="K395" i="13"/>
  <c r="R469" i="13"/>
  <c r="AY458" i="13"/>
  <c r="BI153" i="13"/>
  <c r="X293" i="13"/>
  <c r="E402" i="13"/>
  <c r="AR456" i="13"/>
  <c r="AN34" i="13"/>
  <c r="AA56" i="13"/>
  <c r="B219" i="13"/>
  <c r="AM495" i="13"/>
  <c r="BF487" i="13"/>
  <c r="L91" i="13"/>
  <c r="J49" i="13"/>
  <c r="BB157" i="13"/>
  <c r="BB113" i="13"/>
  <c r="BG62" i="13"/>
  <c r="AI326" i="13"/>
  <c r="BI111" i="13"/>
  <c r="G58" i="13"/>
  <c r="O355" i="13"/>
  <c r="O35" i="13"/>
  <c r="AV370" i="13"/>
  <c r="BD344" i="13"/>
  <c r="AK209" i="13"/>
  <c r="AP151" i="13"/>
  <c r="L367" i="13"/>
  <c r="B214" i="13"/>
  <c r="AU432" i="13"/>
  <c r="D332" i="13"/>
  <c r="AL331" i="13"/>
  <c r="AN357" i="13"/>
  <c r="L264" i="13"/>
  <c r="P377" i="13"/>
  <c r="BC298" i="13"/>
  <c r="BD398" i="13"/>
  <c r="AK365" i="13"/>
  <c r="BM62" i="13"/>
  <c r="AV312" i="13"/>
  <c r="AT377" i="13"/>
  <c r="AF276" i="13"/>
  <c r="U218" i="13"/>
  <c r="BE20" i="13"/>
  <c r="BA101" i="13"/>
  <c r="S467" i="13"/>
  <c r="A344" i="13"/>
  <c r="BF247" i="13"/>
  <c r="AV182" i="13"/>
  <c r="BA382" i="13"/>
  <c r="BE360" i="13"/>
  <c r="Q481" i="13"/>
  <c r="N4" i="13"/>
  <c r="AC49" i="13"/>
  <c r="AS160" i="13"/>
  <c r="Q222" i="13"/>
  <c r="U128" i="13"/>
  <c r="BB106" i="13"/>
  <c r="BF445" i="13"/>
  <c r="G461" i="13"/>
  <c r="X414" i="13"/>
  <c r="AR297" i="13"/>
  <c r="AO3" i="13"/>
  <c r="BD346" i="13"/>
  <c r="V465" i="13"/>
  <c r="B241" i="13"/>
  <c r="X398" i="13"/>
  <c r="BC356" i="13"/>
  <c r="T248" i="13"/>
  <c r="S136" i="13"/>
  <c r="BF289" i="13"/>
  <c r="BK15" i="13"/>
  <c r="D5" i="13"/>
  <c r="BE454" i="13"/>
  <c r="AQ342" i="13"/>
  <c r="AB183" i="13"/>
  <c r="Q351" i="13"/>
  <c r="BS276" i="13"/>
  <c r="BF366" i="13"/>
  <c r="BO493" i="13"/>
  <c r="AX252" i="13"/>
  <c r="AI76" i="13"/>
  <c r="BG425" i="13"/>
  <c r="AG210" i="13"/>
  <c r="AR424" i="13"/>
  <c r="S5" i="13"/>
  <c r="AQ239" i="13"/>
  <c r="BE408" i="13"/>
  <c r="AO452" i="13"/>
  <c r="AV365" i="13"/>
  <c r="X246" i="13"/>
  <c r="AT297" i="13"/>
  <c r="BB467" i="13"/>
  <c r="BI489" i="13"/>
  <c r="J174" i="13"/>
  <c r="V220" i="13"/>
  <c r="T106" i="13"/>
  <c r="K7" i="13"/>
  <c r="AY392" i="13"/>
  <c r="AM149" i="13"/>
  <c r="AN46" i="13"/>
  <c r="BG192" i="13"/>
  <c r="AI258" i="13"/>
  <c r="AY424" i="13"/>
  <c r="AF358" i="13"/>
  <c r="AF10" i="13"/>
  <c r="BL146" i="13"/>
  <c r="X457" i="13"/>
  <c r="L317" i="13"/>
  <c r="BP106" i="13"/>
  <c r="AH175" i="13"/>
  <c r="F421" i="13"/>
  <c r="BV203" i="13"/>
  <c r="BO158" i="13"/>
  <c r="AA253" i="13"/>
  <c r="H2" i="13"/>
  <c r="Q198" i="13"/>
  <c r="AW339" i="13"/>
  <c r="BU385" i="13"/>
  <c r="BS207" i="13"/>
  <c r="AB337" i="13"/>
  <c r="AX344" i="13"/>
  <c r="AB400" i="13"/>
  <c r="AR383" i="13"/>
  <c r="S316" i="13"/>
  <c r="Q215" i="13"/>
  <c r="BI472" i="13"/>
  <c r="W132" i="13"/>
  <c r="R364" i="13"/>
  <c r="BH417" i="13"/>
  <c r="AJ198" i="13"/>
  <c r="BB435" i="13"/>
  <c r="AX304" i="13"/>
  <c r="U11" i="13"/>
  <c r="BO452" i="13"/>
  <c r="AW318" i="13"/>
  <c r="BQ404" i="13"/>
  <c r="AZ369" i="13"/>
  <c r="AE146" i="13"/>
  <c r="H461" i="13"/>
  <c r="AX303" i="13"/>
  <c r="AU75" i="13"/>
  <c r="AO465" i="13"/>
  <c r="L339" i="13"/>
  <c r="BP402" i="13"/>
  <c r="AG237" i="13"/>
  <c r="F112" i="13"/>
  <c r="N428" i="13"/>
  <c r="AP501" i="13"/>
  <c r="BL461" i="13"/>
  <c r="AE398" i="13"/>
  <c r="BP298" i="13"/>
  <c r="AZ161" i="13"/>
  <c r="Z373" i="13"/>
  <c r="BW355" i="13"/>
  <c r="J449" i="13"/>
  <c r="BR424" i="13"/>
  <c r="BF361" i="13"/>
  <c r="AR158" i="13"/>
  <c r="AS449" i="13"/>
  <c r="BE377" i="13"/>
  <c r="R388" i="13"/>
  <c r="C236" i="13"/>
  <c r="BB210" i="13"/>
  <c r="Q77" i="13"/>
  <c r="BD324" i="13"/>
  <c r="AH248" i="13"/>
  <c r="V432" i="13"/>
  <c r="AE409" i="13"/>
  <c r="AF157" i="13"/>
  <c r="BP163" i="13"/>
  <c r="AG176" i="13"/>
  <c r="Q291" i="13"/>
  <c r="V96" i="13"/>
  <c r="AT191" i="13"/>
  <c r="L278" i="13"/>
  <c r="AI425" i="13"/>
  <c r="K322" i="13"/>
  <c r="K9" i="13"/>
  <c r="T245" i="13"/>
  <c r="K411" i="13"/>
  <c r="AQ402" i="13"/>
  <c r="L246" i="13"/>
  <c r="Q347" i="13"/>
  <c r="S356" i="13"/>
  <c r="BO58" i="13"/>
  <c r="BE163" i="13"/>
  <c r="AB54" i="13"/>
  <c r="BT112" i="13"/>
  <c r="BV405" i="13"/>
  <c r="BH283" i="13"/>
  <c r="BD379" i="13"/>
  <c r="AY59" i="13"/>
  <c r="BB145" i="13"/>
  <c r="AG209" i="13"/>
  <c r="AD152" i="13"/>
  <c r="BW378" i="13"/>
  <c r="BL392" i="13"/>
  <c r="BD50" i="13"/>
  <c r="G264" i="13"/>
  <c r="BF1" i="13"/>
  <c r="D438" i="13"/>
  <c r="BA316" i="13"/>
  <c r="AO4" i="13"/>
  <c r="BN436" i="13"/>
  <c r="BG19" i="13"/>
  <c r="D82" i="13"/>
  <c r="Y114" i="13"/>
  <c r="BA2" i="13"/>
  <c r="BI171" i="13"/>
  <c r="B393" i="13"/>
  <c r="E225" i="13"/>
  <c r="M170" i="13"/>
  <c r="BD404" i="13"/>
  <c r="AY436" i="13"/>
  <c r="H318" i="13"/>
  <c r="AX2" i="13"/>
  <c r="BQ193" i="13"/>
  <c r="AA419" i="13"/>
  <c r="U464" i="13"/>
  <c r="BB478" i="13"/>
  <c r="AH23" i="13"/>
  <c r="BE149" i="13"/>
  <c r="AK432" i="13"/>
  <c r="BI370" i="13"/>
  <c r="BH201" i="13"/>
  <c r="AI314" i="13"/>
  <c r="AZ478" i="13"/>
  <c r="BT417" i="13"/>
  <c r="A383" i="13"/>
  <c r="BI201" i="13"/>
  <c r="AH487" i="13"/>
  <c r="AH380" i="13"/>
  <c r="AJ118" i="13"/>
  <c r="BL403" i="13"/>
  <c r="AH107" i="13"/>
  <c r="I367" i="13"/>
  <c r="BR194" i="13"/>
  <c r="B116" i="13"/>
  <c r="AM351" i="13"/>
  <c r="AR352" i="13"/>
  <c r="BP462" i="13"/>
  <c r="BB456" i="13"/>
  <c r="BM283" i="13"/>
  <c r="BO92" i="13"/>
  <c r="AZ185" i="13"/>
  <c r="M440" i="13"/>
  <c r="BV371" i="13"/>
  <c r="AD349" i="13"/>
  <c r="BS23" i="13"/>
  <c r="R283" i="13"/>
  <c r="AG359" i="13"/>
  <c r="D455" i="13"/>
  <c r="BB310" i="13"/>
  <c r="AY284" i="13"/>
  <c r="N464" i="13"/>
  <c r="R255" i="13"/>
  <c r="AC470" i="13"/>
  <c r="AL322" i="13"/>
  <c r="BR265" i="13"/>
  <c r="W494" i="13"/>
  <c r="AZ44" i="13"/>
  <c r="BM257" i="13"/>
  <c r="X401" i="13"/>
  <c r="BO80" i="13"/>
  <c r="K5" i="13"/>
  <c r="K469" i="13"/>
  <c r="AO321" i="13"/>
  <c r="AD136" i="13"/>
  <c r="AN352" i="13"/>
  <c r="A416" i="13"/>
  <c r="BJ315" i="13"/>
  <c r="AI215" i="13"/>
  <c r="AB108" i="13"/>
  <c r="Z466" i="13"/>
  <c r="F122" i="13"/>
  <c r="X59" i="13"/>
  <c r="BS27" i="13"/>
  <c r="AY355" i="13"/>
  <c r="U340" i="13"/>
  <c r="G450" i="13"/>
  <c r="S458" i="13"/>
  <c r="A127" i="13"/>
  <c r="U402" i="13"/>
  <c r="BT404" i="13"/>
  <c r="BM353" i="13"/>
  <c r="AZ4" i="13"/>
  <c r="AX180" i="13"/>
  <c r="AC209" i="13"/>
  <c r="Z231" i="13"/>
  <c r="D422" i="13"/>
  <c r="AI250" i="13"/>
  <c r="AS180" i="13"/>
  <c r="BI439" i="13"/>
  <c r="BR346" i="13"/>
  <c r="W53" i="13"/>
  <c r="BF257" i="13"/>
  <c r="AV409" i="13"/>
  <c r="BO434" i="13"/>
  <c r="N246" i="13"/>
  <c r="Z378" i="13"/>
  <c r="V486" i="13"/>
  <c r="AU365" i="13"/>
  <c r="BS238" i="13"/>
  <c r="AP422" i="13"/>
  <c r="BW258" i="13"/>
  <c r="BE460" i="13"/>
  <c r="AH10" i="13"/>
  <c r="AY381" i="13"/>
  <c r="H447" i="13"/>
  <c r="AQ207" i="13"/>
  <c r="BC14" i="13"/>
  <c r="AV486" i="13"/>
  <c r="R475" i="13"/>
  <c r="U201" i="13"/>
  <c r="BQ478" i="13"/>
  <c r="AN463" i="13"/>
  <c r="AI304" i="13"/>
  <c r="O37" i="13"/>
  <c r="AA443" i="13"/>
  <c r="Z332" i="13"/>
  <c r="BR260" i="13"/>
  <c r="BQ205" i="13"/>
  <c r="AE438" i="13"/>
  <c r="BQ416" i="13"/>
  <c r="AG183" i="13"/>
  <c r="BA102" i="13"/>
  <c r="H297" i="13"/>
  <c r="AI268" i="13"/>
  <c r="AO248" i="13"/>
  <c r="AY327" i="13"/>
  <c r="D313" i="13"/>
  <c r="Q90" i="13"/>
  <c r="BG287" i="13"/>
  <c r="AX231" i="13"/>
  <c r="W433" i="13"/>
  <c r="BM140" i="13"/>
  <c r="AH160" i="13"/>
  <c r="S213" i="13"/>
  <c r="BJ150" i="13"/>
  <c r="AC110" i="13"/>
  <c r="AI437" i="13"/>
  <c r="AB98" i="13"/>
  <c r="AZ24" i="13"/>
  <c r="F310" i="13"/>
  <c r="V455" i="13"/>
  <c r="AH282" i="13"/>
  <c r="R431" i="13"/>
  <c r="AA235" i="13"/>
  <c r="D290" i="13"/>
  <c r="BF332" i="13"/>
  <c r="F301" i="13"/>
  <c r="B464" i="13"/>
  <c r="AB440" i="13"/>
  <c r="BN203" i="13"/>
  <c r="BO189" i="13"/>
  <c r="AG331" i="13"/>
  <c r="AM250" i="13"/>
  <c r="N378" i="13"/>
  <c r="D458" i="13"/>
  <c r="AJ399" i="13"/>
  <c r="N422" i="13"/>
  <c r="BN201" i="13"/>
  <c r="N454" i="13"/>
  <c r="BG182" i="13"/>
  <c r="AA189" i="13"/>
  <c r="BK356" i="13"/>
  <c r="AI485" i="13"/>
  <c r="O449" i="13"/>
  <c r="BA364" i="13"/>
  <c r="AT496" i="13"/>
  <c r="BQ87" i="13"/>
  <c r="AR75" i="13"/>
  <c r="AC364" i="13"/>
  <c r="BG223" i="13"/>
  <c r="BL240" i="13"/>
  <c r="O276" i="13"/>
  <c r="BR52" i="13"/>
  <c r="BR76" i="13"/>
  <c r="Y195" i="13"/>
  <c r="H332" i="13"/>
  <c r="BQ2" i="13"/>
  <c r="AJ499" i="13"/>
  <c r="AV378" i="13"/>
  <c r="BR452" i="13"/>
  <c r="H377" i="13"/>
  <c r="AD365" i="13"/>
  <c r="BK220" i="13"/>
  <c r="G188" i="13"/>
  <c r="BQ354" i="13"/>
  <c r="BO278" i="13"/>
  <c r="J6" i="13"/>
  <c r="AP409" i="13"/>
  <c r="BH18" i="13"/>
  <c r="D452" i="13"/>
  <c r="I482" i="13"/>
  <c r="BW306" i="13"/>
  <c r="AY129" i="13"/>
  <c r="AW157" i="13"/>
  <c r="BN117" i="13"/>
  <c r="BK498" i="13"/>
  <c r="AB219" i="13"/>
  <c r="BK304" i="13"/>
  <c r="AI343" i="13"/>
  <c r="BH322" i="13"/>
  <c r="AT366" i="13"/>
  <c r="BN281" i="13"/>
  <c r="AW364" i="13"/>
  <c r="AW500" i="13"/>
  <c r="P359" i="13"/>
  <c r="U362" i="13"/>
  <c r="AS274" i="13"/>
  <c r="P345" i="13"/>
  <c r="AL226" i="13"/>
  <c r="AB331" i="13"/>
  <c r="W453" i="13"/>
  <c r="BQ370" i="13"/>
  <c r="BK441" i="13"/>
  <c r="BE488" i="13"/>
  <c r="BQ320" i="13"/>
  <c r="J423" i="13"/>
  <c r="AI413" i="13"/>
  <c r="BP214" i="13"/>
  <c r="AY213" i="13"/>
  <c r="BE439" i="13"/>
  <c r="Z103" i="13"/>
  <c r="BG178" i="13"/>
  <c r="U79" i="13"/>
  <c r="P217" i="13"/>
  <c r="BD262" i="13"/>
  <c r="B266" i="13"/>
  <c r="AK271" i="13"/>
  <c r="C48" i="13"/>
  <c r="BO99" i="13"/>
  <c r="AZ397" i="13"/>
  <c r="AP190" i="13"/>
  <c r="BD190" i="13"/>
  <c r="BF131" i="13"/>
  <c r="F313" i="13"/>
  <c r="K354" i="13"/>
  <c r="BQ413" i="13"/>
  <c r="A366" i="13"/>
  <c r="BR494" i="13"/>
  <c r="N196" i="13"/>
  <c r="Q350" i="13"/>
  <c r="BA219" i="13"/>
  <c r="AM78" i="13"/>
  <c r="G348" i="13"/>
  <c r="A131" i="13"/>
  <c r="H136" i="13"/>
  <c r="H261" i="13"/>
  <c r="BA208" i="13"/>
  <c r="BU190" i="13"/>
  <c r="BR369" i="13"/>
  <c r="AM297" i="13"/>
  <c r="Q354" i="13"/>
  <c r="AN237" i="13"/>
  <c r="BL283" i="13"/>
  <c r="AX109" i="13"/>
  <c r="BR174" i="13"/>
  <c r="M437" i="13"/>
  <c r="AO398" i="13"/>
  <c r="BC431" i="13"/>
  <c r="AS240" i="13"/>
  <c r="BV278" i="13"/>
  <c r="D137" i="13"/>
  <c r="BH365" i="13"/>
  <c r="AS114" i="13"/>
  <c r="AL105" i="13"/>
  <c r="BT181" i="13"/>
  <c r="BA285" i="13"/>
  <c r="BW457" i="13"/>
  <c r="AG289" i="13"/>
  <c r="O364" i="13"/>
  <c r="BL407" i="13"/>
  <c r="O374" i="13"/>
  <c r="BG336" i="13"/>
  <c r="E152" i="13"/>
  <c r="U342" i="13"/>
  <c r="AS483" i="13"/>
  <c r="T428" i="13"/>
  <c r="AJ318" i="13"/>
  <c r="BU25" i="13"/>
  <c r="AW156" i="13"/>
  <c r="R330" i="13"/>
  <c r="BV324" i="13"/>
  <c r="AD189" i="13"/>
  <c r="BT218" i="13"/>
  <c r="AY146" i="13"/>
  <c r="AF349" i="13"/>
  <c r="I26" i="13"/>
  <c r="BQ299" i="13"/>
  <c r="E272" i="13"/>
  <c r="AK104" i="13"/>
  <c r="AP140" i="13"/>
  <c r="AD71" i="13"/>
  <c r="A438" i="13"/>
  <c r="BE398" i="13"/>
  <c r="G230" i="13"/>
  <c r="C408" i="13"/>
  <c r="P499" i="13"/>
  <c r="AY263" i="13"/>
  <c r="G487" i="13"/>
  <c r="BF73" i="13"/>
  <c r="AM464" i="13"/>
  <c r="L40" i="13"/>
  <c r="V274" i="13"/>
  <c r="AP469" i="13"/>
  <c r="AY269" i="13"/>
  <c r="M303" i="13"/>
  <c r="U389" i="13"/>
  <c r="H486" i="13"/>
  <c r="BC185" i="13"/>
  <c r="AD374" i="13"/>
  <c r="AH362" i="13"/>
  <c r="AA336" i="13"/>
  <c r="AO204" i="13"/>
  <c r="BS394" i="13"/>
  <c r="AM274" i="13"/>
  <c r="U423" i="13"/>
  <c r="AP208" i="13"/>
  <c r="L73" i="13"/>
  <c r="I358" i="13"/>
  <c r="BC252" i="13"/>
  <c r="AA211" i="13"/>
  <c r="AU478" i="13"/>
  <c r="AA367" i="13"/>
  <c r="AR7" i="13"/>
  <c r="BC380" i="13"/>
  <c r="AO203" i="13"/>
  <c r="U472" i="13"/>
  <c r="P8" i="13"/>
  <c r="AU397" i="13"/>
  <c r="BB412" i="13"/>
  <c r="BG445" i="13"/>
  <c r="BT490" i="13"/>
  <c r="O490" i="13"/>
  <c r="BB328" i="13"/>
  <c r="BB173" i="13"/>
  <c r="I306" i="13"/>
  <c r="B15" i="13"/>
  <c r="J439" i="13"/>
  <c r="BC61" i="13"/>
  <c r="N495" i="13"/>
  <c r="AL287" i="13"/>
  <c r="BR476" i="13"/>
  <c r="BL235" i="13"/>
  <c r="AT435" i="13"/>
  <c r="X238" i="13"/>
  <c r="L89" i="13"/>
  <c r="AD455" i="13"/>
  <c r="V271" i="13"/>
  <c r="AM177" i="13"/>
  <c r="AJ202" i="13"/>
  <c r="AL211" i="13"/>
  <c r="N444" i="13"/>
  <c r="AE187" i="13"/>
  <c r="BG385" i="13"/>
  <c r="W93" i="13"/>
  <c r="AX489" i="13"/>
  <c r="U152" i="13"/>
  <c r="BA48" i="13"/>
  <c r="AE33" i="13"/>
  <c r="P131" i="13"/>
  <c r="AI360" i="13"/>
  <c r="AH336" i="13"/>
  <c r="BL281" i="13"/>
  <c r="AC304" i="13"/>
  <c r="C122" i="13"/>
  <c r="G453" i="13"/>
  <c r="BB402" i="13"/>
  <c r="I486" i="13"/>
  <c r="BV140" i="13"/>
  <c r="AA142" i="13"/>
  <c r="BA306" i="13"/>
  <c r="AT459" i="13"/>
  <c r="BL147" i="13"/>
  <c r="AI237" i="13"/>
  <c r="AK40" i="13"/>
  <c r="BF394" i="13"/>
  <c r="AX92" i="13"/>
  <c r="Z177" i="13"/>
  <c r="M188" i="13"/>
  <c r="BU342" i="13"/>
  <c r="AH461" i="13"/>
  <c r="I347" i="13"/>
  <c r="AA360" i="13"/>
  <c r="AP392" i="13"/>
  <c r="Z217" i="13"/>
  <c r="AJ140" i="13"/>
  <c r="T352" i="13"/>
  <c r="E121" i="13"/>
  <c r="BD185" i="13"/>
  <c r="AL161" i="13"/>
  <c r="AT97" i="13"/>
  <c r="AX161" i="13"/>
  <c r="AZ492" i="13"/>
  <c r="BJ369" i="13"/>
  <c r="Z344" i="13"/>
  <c r="BF323" i="13"/>
  <c r="AX488" i="13"/>
  <c r="BT363" i="13"/>
  <c r="AZ92" i="13"/>
  <c r="P427" i="13"/>
  <c r="BE157" i="13"/>
  <c r="BJ422" i="13"/>
  <c r="Z435" i="13"/>
  <c r="BM150" i="13"/>
  <c r="AB215" i="13"/>
  <c r="AX290" i="13"/>
  <c r="AK455" i="13"/>
  <c r="BR466" i="13"/>
  <c r="BU345" i="13"/>
  <c r="AW174" i="13"/>
  <c r="AG392" i="13"/>
  <c r="Z349" i="13"/>
  <c r="AP156" i="13"/>
  <c r="B281" i="13"/>
  <c r="AD235" i="13"/>
  <c r="AY334" i="13"/>
  <c r="AC421" i="13"/>
  <c r="AY205" i="13"/>
  <c r="X115" i="13"/>
  <c r="AT4" i="13"/>
  <c r="BH247" i="13"/>
  <c r="AC47" i="13"/>
  <c r="AH24" i="13"/>
  <c r="BU492" i="13"/>
  <c r="BB200" i="13"/>
  <c r="AU475" i="13"/>
  <c r="AT187" i="13"/>
  <c r="BL171" i="13"/>
  <c r="J106" i="13"/>
  <c r="BK368" i="13"/>
  <c r="T214" i="13"/>
  <c r="AT216" i="13"/>
  <c r="I187" i="13"/>
  <c r="AT429" i="13"/>
  <c r="AG422" i="13"/>
  <c r="L138" i="13"/>
  <c r="A256" i="13"/>
  <c r="L380" i="13"/>
  <c r="AS499" i="13"/>
  <c r="BS303" i="13"/>
  <c r="W409" i="13"/>
  <c r="T292" i="13"/>
  <c r="BG328" i="13"/>
  <c r="AI147" i="13"/>
  <c r="A278" i="13"/>
  <c r="BW374" i="13"/>
  <c r="AM480" i="13"/>
  <c r="AC165" i="13"/>
  <c r="BD464" i="13"/>
  <c r="AX158" i="13"/>
  <c r="AJ213" i="13"/>
  <c r="Z392" i="13"/>
  <c r="BK2" i="13"/>
  <c r="O487" i="13"/>
  <c r="BO323" i="13"/>
  <c r="U300" i="13"/>
  <c r="BN349" i="13"/>
  <c r="AJ425" i="13"/>
  <c r="BD244" i="13"/>
  <c r="BE310" i="13"/>
  <c r="O56" i="13"/>
  <c r="AV203" i="13"/>
  <c r="O217" i="13"/>
  <c r="BI210" i="13"/>
  <c r="BK396" i="13"/>
  <c r="AV49" i="13"/>
  <c r="R352" i="13"/>
  <c r="A6" i="13"/>
  <c r="AE444" i="13"/>
  <c r="BD370" i="13"/>
  <c r="BA288" i="13"/>
  <c r="V169" i="13"/>
  <c r="AY120" i="13"/>
  <c r="AG68" i="13"/>
  <c r="BC176" i="13"/>
  <c r="BN171" i="13"/>
  <c r="AC454" i="13"/>
  <c r="BC316" i="13"/>
  <c r="AY206" i="13"/>
  <c r="BW14" i="13"/>
  <c r="BN34" i="13"/>
  <c r="BT476" i="13"/>
  <c r="BB86" i="13"/>
  <c r="N429" i="13"/>
  <c r="BN460" i="13"/>
  <c r="BA284" i="13"/>
  <c r="AC31" i="13"/>
  <c r="BB185" i="13"/>
  <c r="BD177" i="13"/>
  <c r="M227" i="13"/>
  <c r="U245" i="13"/>
  <c r="U330" i="13"/>
  <c r="BU66" i="13"/>
  <c r="K176" i="13"/>
  <c r="J221" i="13"/>
  <c r="K184" i="13"/>
  <c r="K455" i="13"/>
  <c r="AU283" i="13"/>
  <c r="AJ205" i="13"/>
  <c r="J218" i="13"/>
  <c r="BS99" i="13"/>
  <c r="AV64" i="13"/>
  <c r="Z265" i="13"/>
  <c r="AB260" i="13"/>
  <c r="BH306" i="13"/>
  <c r="R157" i="13"/>
  <c r="BN155" i="13"/>
  <c r="BP103" i="13"/>
  <c r="BN377" i="13"/>
  <c r="AL223" i="13"/>
  <c r="BI355" i="13"/>
  <c r="AV231" i="13"/>
  <c r="BN209" i="13"/>
  <c r="J404" i="13"/>
  <c r="AD52" i="13"/>
  <c r="AI414" i="13"/>
  <c r="AT438" i="13"/>
  <c r="S438" i="13"/>
  <c r="O284" i="13"/>
  <c r="AW191" i="13"/>
  <c r="BL325" i="13"/>
  <c r="AT226" i="13"/>
  <c r="AG41" i="13"/>
  <c r="BN62" i="13"/>
  <c r="BR409" i="13"/>
  <c r="U125" i="13"/>
  <c r="F409" i="13"/>
  <c r="Y419" i="13"/>
  <c r="AA99" i="13"/>
  <c r="BL212" i="13"/>
  <c r="BD271" i="13"/>
  <c r="BC451" i="13"/>
  <c r="E443" i="13"/>
  <c r="BU412" i="13"/>
  <c r="AM459" i="13"/>
  <c r="BF470" i="13"/>
  <c r="AX468" i="13"/>
  <c r="BP364" i="13"/>
  <c r="I47" i="13"/>
  <c r="AW405" i="13"/>
  <c r="D204" i="13"/>
  <c r="AY453" i="13"/>
  <c r="AY492" i="13"/>
  <c r="BV435" i="13"/>
  <c r="AQ477" i="13"/>
  <c r="AC56" i="13"/>
  <c r="V452" i="13"/>
  <c r="AK84" i="13"/>
  <c r="BO281" i="13"/>
  <c r="H428" i="13"/>
  <c r="BS136" i="13"/>
  <c r="F285" i="13"/>
  <c r="AE35" i="13"/>
  <c r="V374" i="13"/>
  <c r="BW309" i="13"/>
  <c r="AV78" i="13"/>
  <c r="BR282" i="13"/>
  <c r="AK50" i="13"/>
  <c r="AA182" i="13"/>
  <c r="AT498" i="13"/>
  <c r="AW46" i="13"/>
  <c r="AD140" i="13"/>
  <c r="G428" i="13"/>
  <c r="E342" i="13"/>
  <c r="V89" i="13"/>
  <c r="BI445" i="13"/>
  <c r="X104" i="13"/>
  <c r="BE479" i="13"/>
  <c r="P437" i="13"/>
  <c r="BC299" i="13"/>
  <c r="BP435" i="13"/>
  <c r="AU109" i="13"/>
  <c r="AC181" i="13"/>
  <c r="BQ430" i="13"/>
  <c r="AO148" i="13"/>
  <c r="AE18" i="13"/>
  <c r="AH331" i="13"/>
  <c r="AD243" i="13"/>
  <c r="BA145" i="13"/>
  <c r="Z89" i="13"/>
  <c r="N299" i="13"/>
  <c r="J294" i="13"/>
  <c r="AX256" i="13"/>
  <c r="BR175" i="13"/>
  <c r="AM423" i="13"/>
  <c r="T402" i="13"/>
  <c r="G86" i="13"/>
  <c r="BA220" i="13"/>
  <c r="J216" i="13"/>
  <c r="S235" i="13"/>
  <c r="BF175" i="13"/>
  <c r="Y279" i="13"/>
  <c r="I329" i="13"/>
  <c r="BD301" i="13"/>
  <c r="X253" i="13"/>
  <c r="J472" i="13"/>
  <c r="BI320" i="13"/>
  <c r="BT470" i="13"/>
  <c r="AG313" i="13"/>
  <c r="AU459" i="13"/>
  <c r="W205" i="13"/>
  <c r="BC377" i="13"/>
  <c r="AN78" i="13"/>
  <c r="BU429" i="13"/>
  <c r="AI490" i="13"/>
  <c r="AZ146" i="13"/>
  <c r="BE91" i="13"/>
  <c r="BW209" i="13"/>
  <c r="AE104" i="13"/>
  <c r="AP284" i="13"/>
  <c r="AF30" i="13"/>
  <c r="K262" i="13"/>
  <c r="AU401" i="13"/>
  <c r="AQ23" i="13"/>
  <c r="AZ5" i="13"/>
  <c r="G6" i="13"/>
  <c r="AB334" i="13"/>
  <c r="BQ334" i="13"/>
  <c r="Y39" i="13"/>
  <c r="G356" i="13"/>
  <c r="K16" i="13"/>
  <c r="BV489" i="13"/>
  <c r="D214" i="13"/>
  <c r="AF114" i="13"/>
  <c r="V453" i="13"/>
  <c r="BP432" i="13"/>
  <c r="AW392" i="13"/>
  <c r="AQ180" i="13"/>
  <c r="AK467" i="13"/>
  <c r="AI211" i="13"/>
  <c r="AJ306" i="13"/>
  <c r="BU81" i="13"/>
  <c r="BV95" i="13"/>
  <c r="G471" i="13"/>
  <c r="BC177" i="13"/>
  <c r="BB144" i="13"/>
  <c r="I280" i="13"/>
  <c r="BR183" i="13"/>
  <c r="AC416" i="13"/>
  <c r="W11" i="13"/>
  <c r="AQ332" i="13"/>
  <c r="AA171" i="13"/>
  <c r="BT458" i="13"/>
  <c r="U312" i="13"/>
  <c r="BW442" i="13"/>
  <c r="BP354" i="13"/>
  <c r="F390" i="13"/>
  <c r="BE5" i="13"/>
  <c r="O125" i="13"/>
  <c r="BD466" i="13"/>
  <c r="O46" i="13"/>
  <c r="Y23" i="13"/>
  <c r="N283" i="13"/>
  <c r="AI281" i="13"/>
  <c r="J32" i="13"/>
  <c r="BR300" i="13"/>
  <c r="E296" i="13"/>
  <c r="K240" i="13"/>
  <c r="AB216" i="13"/>
  <c r="AA261" i="13"/>
  <c r="L217" i="13"/>
  <c r="AE123" i="13"/>
  <c r="BB158" i="13"/>
  <c r="F414" i="13"/>
  <c r="AR430" i="13"/>
  <c r="BI17" i="13"/>
  <c r="BH266" i="13"/>
  <c r="BG128" i="13"/>
  <c r="AD294" i="13"/>
  <c r="I130" i="13"/>
  <c r="C415" i="13"/>
  <c r="BJ481" i="13"/>
  <c r="I45" i="13"/>
  <c r="BG301" i="13"/>
  <c r="AY163" i="13"/>
  <c r="N349" i="13"/>
  <c r="AY342" i="13"/>
  <c r="AK446" i="13"/>
  <c r="AL186" i="13"/>
  <c r="K295" i="13"/>
  <c r="BE28" i="13"/>
  <c r="BQ262" i="13"/>
  <c r="AL452" i="13"/>
  <c r="BG286" i="13"/>
  <c r="G170" i="13"/>
  <c r="AT350" i="13"/>
  <c r="BT97" i="13"/>
  <c r="A408" i="13"/>
  <c r="L412" i="13"/>
  <c r="AF230" i="13"/>
  <c r="G374" i="13"/>
  <c r="E85" i="13"/>
  <c r="Q407" i="13"/>
  <c r="Y41" i="13"/>
  <c r="L108" i="13"/>
  <c r="BO468" i="13"/>
  <c r="AO307" i="13"/>
  <c r="AS354" i="13"/>
  <c r="X371" i="13"/>
  <c r="T309" i="13"/>
  <c r="L491" i="13"/>
  <c r="X354" i="13"/>
  <c r="AA203" i="13"/>
  <c r="BG139" i="13"/>
  <c r="BS347" i="13"/>
  <c r="AM272" i="13"/>
  <c r="H126" i="13"/>
  <c r="H363" i="13"/>
  <c r="BW175" i="13"/>
  <c r="AY222" i="13"/>
  <c r="BO192" i="13"/>
  <c r="H271" i="13"/>
  <c r="M135" i="13"/>
  <c r="BR356" i="13"/>
  <c r="AM144" i="13"/>
  <c r="B270" i="13"/>
  <c r="AV154" i="13"/>
  <c r="BI277" i="13"/>
  <c r="AU81" i="13"/>
  <c r="BR190" i="13"/>
  <c r="N184" i="13"/>
  <c r="Y221" i="13"/>
  <c r="O157" i="13"/>
  <c r="E212" i="13"/>
  <c r="AW473" i="13"/>
  <c r="BA178" i="13"/>
  <c r="J453" i="13"/>
  <c r="BG335" i="13"/>
  <c r="AT345" i="13"/>
  <c r="AH492" i="13"/>
  <c r="AC455" i="13"/>
  <c r="AG191" i="13"/>
  <c r="AG416" i="13"/>
  <c r="BC135" i="13"/>
  <c r="AD72" i="13"/>
  <c r="BR259" i="13"/>
  <c r="BT360" i="13"/>
  <c r="BQ484" i="13"/>
  <c r="AM391" i="13"/>
  <c r="BA139" i="13"/>
  <c r="E483" i="13"/>
  <c r="BI15" i="13"/>
  <c r="BL457" i="13"/>
  <c r="AU286" i="13"/>
  <c r="X367" i="13"/>
  <c r="D303" i="13"/>
  <c r="AD158" i="13"/>
  <c r="BT352" i="13"/>
  <c r="AC282" i="13"/>
  <c r="M218" i="13"/>
  <c r="AL120" i="13"/>
  <c r="BR390" i="13"/>
  <c r="G164" i="13"/>
  <c r="L348" i="13"/>
  <c r="R217" i="13"/>
  <c r="BL92" i="13"/>
  <c r="BG210" i="13"/>
  <c r="E294" i="13"/>
  <c r="BQ297" i="13"/>
  <c r="I332" i="13"/>
  <c r="Q121" i="13"/>
  <c r="E309" i="13"/>
  <c r="R376" i="13"/>
  <c r="BE205" i="13"/>
  <c r="U327" i="13"/>
  <c r="Z455" i="13"/>
  <c r="BQ73" i="13"/>
  <c r="BU482" i="13"/>
  <c r="J348" i="13"/>
  <c r="BA166" i="13"/>
  <c r="S326" i="13"/>
  <c r="BF215" i="13"/>
  <c r="BK465" i="13"/>
  <c r="BF276" i="13"/>
  <c r="AG469" i="13"/>
  <c r="AL478" i="13"/>
  <c r="AZ211" i="13"/>
  <c r="AD310" i="13"/>
  <c r="X343" i="13"/>
  <c r="L431" i="13"/>
  <c r="D22" i="13"/>
  <c r="T490" i="13"/>
  <c r="AN490" i="13"/>
  <c r="AJ188" i="13"/>
  <c r="AT153" i="13"/>
  <c r="BB114" i="13"/>
  <c r="AQ38" i="13"/>
  <c r="O62" i="13"/>
  <c r="BN82" i="13"/>
  <c r="BI136" i="13"/>
  <c r="Y193" i="13"/>
  <c r="AP23" i="13"/>
  <c r="BW182" i="13"/>
  <c r="I196" i="13"/>
  <c r="B445" i="13"/>
  <c r="BP72" i="13"/>
  <c r="Y433" i="13"/>
  <c r="AZ438" i="13"/>
  <c r="D52" i="13"/>
  <c r="BJ337" i="13"/>
  <c r="BD401" i="13"/>
  <c r="AM53" i="13"/>
  <c r="AR277" i="13"/>
  <c r="BO110" i="13"/>
  <c r="AA100" i="13"/>
  <c r="Z397" i="13"/>
  <c r="C472" i="13"/>
  <c r="R213" i="13"/>
  <c r="BA381" i="13"/>
  <c r="AO34" i="13"/>
  <c r="BQ451" i="13"/>
  <c r="Z364" i="13"/>
  <c r="F410" i="13"/>
  <c r="AN360" i="13"/>
  <c r="BC396" i="13"/>
  <c r="AM485" i="13"/>
  <c r="BA295" i="13"/>
  <c r="T340" i="13"/>
  <c r="I186" i="13"/>
  <c r="BJ14" i="13"/>
  <c r="BP447" i="13"/>
  <c r="C423" i="13"/>
  <c r="BO15" i="13"/>
  <c r="AP366" i="13"/>
  <c r="BJ413" i="13"/>
  <c r="BQ458" i="13"/>
  <c r="N315" i="13"/>
  <c r="AX279" i="13"/>
  <c r="AI338" i="13"/>
  <c r="AV293" i="13"/>
  <c r="AK251" i="13"/>
  <c r="AP221" i="13"/>
  <c r="T21" i="13"/>
  <c r="BR418" i="13"/>
  <c r="BW101" i="13"/>
  <c r="AY148" i="13"/>
  <c r="BE204" i="13"/>
  <c r="AH127" i="13"/>
  <c r="BH486" i="13"/>
  <c r="AI95" i="13"/>
  <c r="BH215" i="13"/>
  <c r="K77" i="13"/>
  <c r="H186" i="13"/>
  <c r="K39" i="13"/>
  <c r="AF218" i="13"/>
  <c r="X53" i="13"/>
  <c r="AD215" i="13"/>
  <c r="BQ263" i="13"/>
  <c r="B298" i="13"/>
  <c r="BJ355" i="13"/>
  <c r="BL372" i="13"/>
  <c r="AV164" i="13"/>
  <c r="AY176" i="13"/>
  <c r="M452" i="13"/>
  <c r="AX351" i="13"/>
  <c r="AU490" i="13"/>
  <c r="R324" i="13"/>
  <c r="BL251" i="13"/>
  <c r="J325" i="13"/>
  <c r="AY3" i="13"/>
  <c r="AD25" i="13"/>
  <c r="O66" i="13"/>
  <c r="AV302" i="13"/>
  <c r="AA2" i="13"/>
  <c r="BC22" i="13"/>
  <c r="AY394" i="13"/>
  <c r="E346" i="13"/>
  <c r="BK381" i="13"/>
  <c r="BG73" i="13"/>
  <c r="BM19" i="13"/>
  <c r="BP297" i="13"/>
  <c r="AG488" i="13"/>
  <c r="BV141" i="13"/>
  <c r="AP206" i="13"/>
  <c r="AE430" i="13"/>
  <c r="AI387" i="13"/>
  <c r="BQ309" i="13"/>
  <c r="Q47" i="13"/>
  <c r="Q123" i="13"/>
  <c r="D459" i="13"/>
  <c r="T464" i="13"/>
  <c r="I314" i="13"/>
  <c r="Y235" i="13"/>
  <c r="BH133" i="13"/>
  <c r="AN501" i="13"/>
  <c r="T155" i="13"/>
  <c r="R66" i="13"/>
  <c r="AM156" i="13"/>
  <c r="AK402" i="13"/>
  <c r="BG65" i="13"/>
  <c r="BP134" i="13"/>
  <c r="BM253" i="13"/>
  <c r="N139" i="13"/>
  <c r="S475" i="13"/>
  <c r="AG5" i="13"/>
  <c r="AK394" i="13"/>
  <c r="V179" i="13"/>
  <c r="Z497" i="13"/>
  <c r="AG463" i="13"/>
  <c r="AP219" i="13"/>
  <c r="AK477" i="13"/>
  <c r="U452" i="13"/>
  <c r="D40" i="13"/>
  <c r="AU160" i="13"/>
  <c r="BO239" i="13"/>
  <c r="BL9" i="13"/>
  <c r="AA264" i="13"/>
  <c r="R204" i="13"/>
  <c r="BI156" i="13"/>
  <c r="AA5" i="13"/>
  <c r="AI462" i="13"/>
  <c r="H487" i="13"/>
  <c r="AW58" i="13"/>
  <c r="AR179" i="13"/>
  <c r="C432" i="13"/>
  <c r="AJ70" i="13"/>
  <c r="BW219" i="13"/>
  <c r="T331" i="13"/>
  <c r="O271" i="13"/>
  <c r="X429" i="13"/>
  <c r="BL258" i="13"/>
  <c r="AE341" i="13"/>
  <c r="Q310" i="13"/>
  <c r="AC324" i="13"/>
  <c r="BE431" i="13"/>
  <c r="BO390" i="13"/>
  <c r="BG227" i="13"/>
  <c r="M1" i="13"/>
  <c r="X313" i="13"/>
  <c r="W138" i="13"/>
  <c r="BP485" i="13"/>
  <c r="AM408" i="13"/>
  <c r="BR334" i="13"/>
  <c r="BV447" i="13"/>
  <c r="P328" i="13"/>
  <c r="H137" i="13"/>
  <c r="P170" i="13"/>
  <c r="BP441" i="13"/>
  <c r="AJ233" i="13"/>
  <c r="B192" i="13"/>
  <c r="AI142" i="13"/>
  <c r="BV344" i="13"/>
  <c r="D239" i="13"/>
  <c r="S487" i="13"/>
  <c r="AO70" i="13"/>
  <c r="AV414" i="13"/>
  <c r="AM25" i="13"/>
  <c r="R279" i="13"/>
  <c r="BM473" i="13"/>
  <c r="E68" i="13"/>
  <c r="AR434" i="13"/>
  <c r="BS378" i="13"/>
  <c r="AO364" i="13"/>
  <c r="AK335" i="13"/>
  <c r="E405" i="13"/>
  <c r="L311" i="13"/>
  <c r="A272" i="13"/>
  <c r="AH417" i="13"/>
  <c r="BU375" i="13"/>
  <c r="A212" i="13"/>
  <c r="AQ359" i="13"/>
  <c r="D442" i="13"/>
  <c r="BH480" i="13"/>
  <c r="M152" i="13"/>
  <c r="BW500" i="13"/>
  <c r="AE166" i="13"/>
  <c r="BH386" i="13"/>
  <c r="R316" i="13"/>
  <c r="AO479" i="13"/>
  <c r="F411" i="13"/>
  <c r="BB333" i="13"/>
  <c r="AP136" i="13"/>
  <c r="M69" i="13"/>
  <c r="BG125" i="13"/>
  <c r="P471" i="13"/>
  <c r="AY257" i="13"/>
  <c r="Z250" i="13"/>
  <c r="AL409" i="13"/>
  <c r="Y9" i="13"/>
  <c r="O341" i="13"/>
  <c r="AU188" i="13"/>
  <c r="BI276" i="13"/>
  <c r="BN494" i="13"/>
  <c r="BC65" i="13"/>
  <c r="AB156" i="13"/>
  <c r="AO394" i="13"/>
  <c r="D291" i="13"/>
  <c r="AX226" i="13"/>
  <c r="V363" i="13"/>
  <c r="L495" i="13"/>
  <c r="Z416" i="13"/>
  <c r="J481" i="13"/>
  <c r="AD392" i="13"/>
  <c r="F485" i="13"/>
  <c r="N36" i="13"/>
  <c r="X390" i="13"/>
  <c r="J192" i="13"/>
  <c r="C321" i="13"/>
  <c r="AQ265" i="13"/>
  <c r="T405" i="13"/>
  <c r="O269" i="13"/>
  <c r="AG111" i="13"/>
  <c r="AD226" i="13"/>
  <c r="BM2" i="13"/>
  <c r="B253" i="13"/>
  <c r="AD176" i="13"/>
  <c r="F62" i="13"/>
  <c r="L457" i="13"/>
  <c r="AV201" i="13"/>
  <c r="BM459" i="13"/>
  <c r="T38" i="13"/>
  <c r="P357" i="13"/>
  <c r="V171" i="13"/>
  <c r="BH378" i="13"/>
  <c r="N136" i="13"/>
  <c r="AB138" i="13"/>
  <c r="BE226" i="13"/>
  <c r="F344" i="13"/>
  <c r="S449" i="13"/>
  <c r="AB364" i="13"/>
  <c r="BO230" i="13"/>
  <c r="BE128" i="13"/>
  <c r="G211" i="13"/>
  <c r="F36" i="13"/>
  <c r="BK82" i="13"/>
  <c r="H195" i="13"/>
  <c r="AB495" i="13"/>
  <c r="AK266" i="13"/>
  <c r="BP395" i="13"/>
  <c r="E93" i="13"/>
  <c r="S482" i="13"/>
  <c r="AM192" i="13"/>
  <c r="BR277" i="13"/>
  <c r="AI58" i="13"/>
  <c r="N310" i="13"/>
  <c r="BU274" i="13"/>
  <c r="AM202" i="13"/>
  <c r="E118" i="13"/>
  <c r="BJ386" i="13"/>
  <c r="AY149" i="13"/>
  <c r="BF22" i="13"/>
  <c r="BS418" i="13"/>
  <c r="U171" i="13"/>
  <c r="H274" i="13"/>
  <c r="G41" i="13"/>
  <c r="J400" i="13"/>
  <c r="AZ377" i="13"/>
  <c r="BM493" i="13"/>
  <c r="AD391" i="13"/>
  <c r="E373" i="13"/>
  <c r="BP178" i="13"/>
  <c r="D103" i="13"/>
  <c r="BJ223" i="13"/>
  <c r="BP286" i="13"/>
  <c r="BO458" i="13"/>
  <c r="AE498" i="13"/>
  <c r="AJ500" i="13"/>
  <c r="BW108" i="13"/>
  <c r="AF332" i="13"/>
  <c r="BS352" i="13"/>
  <c r="BP498" i="13"/>
  <c r="AD402" i="13"/>
  <c r="BC333" i="13"/>
  <c r="AF292" i="13"/>
  <c r="AX84" i="13"/>
  <c r="D338" i="13"/>
  <c r="U19" i="13"/>
  <c r="BR291" i="13"/>
  <c r="AT35" i="13"/>
  <c r="AC391" i="13"/>
  <c r="BJ406" i="13"/>
  <c r="AL218" i="13"/>
  <c r="BV315" i="13"/>
  <c r="AG10" i="13"/>
  <c r="BI173" i="13"/>
  <c r="BJ153" i="13"/>
  <c r="BA442" i="13"/>
  <c r="BC348" i="13"/>
  <c r="BD287" i="13"/>
  <c r="A86" i="13"/>
  <c r="BS224" i="13"/>
  <c r="BH294" i="13"/>
  <c r="A432" i="13"/>
  <c r="R492" i="13"/>
  <c r="B120" i="13"/>
  <c r="O204" i="13"/>
  <c r="BV353" i="13"/>
  <c r="B107" i="13"/>
  <c r="W365" i="13"/>
  <c r="AP116" i="13"/>
  <c r="W329" i="13"/>
  <c r="AZ111" i="13"/>
  <c r="BK340" i="13"/>
  <c r="B140" i="13"/>
  <c r="AU316" i="13"/>
  <c r="AU500" i="13"/>
  <c r="BS481" i="13"/>
  <c r="AX126" i="13"/>
  <c r="AH317" i="13"/>
  <c r="AB404" i="13"/>
  <c r="E263" i="13"/>
  <c r="AI495" i="13"/>
  <c r="H384" i="13"/>
  <c r="U307" i="13"/>
  <c r="BH208" i="13"/>
  <c r="AQ333" i="13"/>
  <c r="BE292" i="13"/>
  <c r="BP436" i="13"/>
  <c r="BI200" i="13"/>
  <c r="P495" i="13"/>
  <c r="AR392" i="13"/>
  <c r="AE367" i="13"/>
  <c r="BI317" i="13"/>
  <c r="AV47" i="13"/>
  <c r="AF38" i="13"/>
  <c r="BO384" i="13"/>
  <c r="AA151" i="13"/>
  <c r="AI204" i="13"/>
  <c r="AR1" i="13"/>
  <c r="AO2" i="13"/>
  <c r="BG49" i="13"/>
  <c r="R443" i="13"/>
  <c r="AY451" i="13"/>
  <c r="R394" i="13"/>
  <c r="AU133" i="13"/>
  <c r="AZ365" i="13"/>
  <c r="D424" i="13"/>
  <c r="BO463" i="13"/>
  <c r="BF79" i="13"/>
  <c r="AQ177" i="13"/>
  <c r="AE186" i="13"/>
  <c r="D345" i="13"/>
  <c r="AM463" i="13"/>
  <c r="AI311" i="13"/>
  <c r="W167" i="13"/>
  <c r="BB266" i="13"/>
  <c r="AX452" i="13"/>
  <c r="AM271" i="13"/>
  <c r="BT368" i="13"/>
  <c r="BD2" i="13"/>
  <c r="AH410" i="13"/>
  <c r="AP155" i="13"/>
  <c r="I221" i="13"/>
  <c r="BB99" i="13"/>
  <c r="BC187" i="13"/>
  <c r="BV488" i="13"/>
  <c r="AF252" i="13"/>
  <c r="BT394" i="13"/>
  <c r="Q364" i="13"/>
  <c r="AO443" i="13"/>
  <c r="AF371" i="13"/>
  <c r="BA107" i="13"/>
  <c r="M409" i="13"/>
  <c r="AD257" i="13"/>
  <c r="BT98" i="13"/>
  <c r="AG443" i="13"/>
  <c r="BW281" i="13"/>
  <c r="AX182" i="13"/>
  <c r="BK229" i="13"/>
  <c r="AX316" i="13"/>
  <c r="BE432" i="13"/>
  <c r="X430" i="13"/>
  <c r="BS55" i="13"/>
  <c r="BG389" i="13"/>
  <c r="A484" i="13"/>
  <c r="O202" i="13"/>
  <c r="F231" i="13"/>
  <c r="A365" i="13"/>
  <c r="O278" i="13"/>
  <c r="BN190" i="13"/>
  <c r="AN329" i="13"/>
  <c r="BV352" i="13"/>
  <c r="BR425" i="13"/>
  <c r="X344" i="13"/>
  <c r="B194" i="13"/>
  <c r="BD62" i="13"/>
  <c r="D173" i="13"/>
  <c r="C130" i="13"/>
  <c r="AV187" i="13"/>
  <c r="M168" i="13"/>
  <c r="D130" i="13"/>
  <c r="AJ25" i="13"/>
  <c r="J250" i="13"/>
  <c r="BO447" i="13"/>
  <c r="AI312" i="13"/>
  <c r="L25" i="13"/>
  <c r="BN501" i="13"/>
  <c r="E170" i="13"/>
  <c r="AJ36" i="13"/>
  <c r="AG336" i="13"/>
  <c r="Y319" i="13"/>
  <c r="AQ230" i="13"/>
  <c r="AX149" i="13"/>
  <c r="BD264" i="13"/>
  <c r="AE279" i="13"/>
  <c r="X480" i="13"/>
  <c r="J2" i="13"/>
  <c r="K465" i="13"/>
  <c r="E189" i="13"/>
  <c r="AI222" i="13"/>
  <c r="Z197" i="13"/>
  <c r="K433" i="13"/>
  <c r="BQ300" i="13"/>
  <c r="AO82" i="13"/>
  <c r="BV385" i="13"/>
  <c r="AQ429" i="13"/>
  <c r="BL145" i="13"/>
  <c r="A415" i="13"/>
  <c r="AS273" i="13"/>
  <c r="Y291" i="13"/>
  <c r="BG264" i="13"/>
  <c r="BB421" i="13"/>
  <c r="J180" i="13"/>
  <c r="AE403" i="13"/>
  <c r="AT359" i="13"/>
  <c r="BF10" i="13"/>
  <c r="BT500" i="13"/>
  <c r="BU213" i="13"/>
  <c r="BN25" i="13"/>
  <c r="AT54" i="13"/>
  <c r="A102" i="13"/>
  <c r="BW125" i="13"/>
  <c r="AJ165" i="13"/>
  <c r="AM17" i="13"/>
  <c r="S479" i="13"/>
  <c r="BK274" i="13"/>
  <c r="BL386" i="13"/>
  <c r="AS468" i="13"/>
  <c r="U39" i="13"/>
  <c r="AQ208" i="13"/>
  <c r="AE331" i="13"/>
  <c r="X424" i="13"/>
  <c r="BI440" i="13"/>
  <c r="AJ492" i="13"/>
  <c r="BN421" i="13"/>
  <c r="J136" i="13"/>
  <c r="AY292" i="13"/>
  <c r="AZ479" i="13"/>
  <c r="AF497" i="13"/>
  <c r="AV322" i="13"/>
  <c r="I149" i="13"/>
  <c r="AA23" i="13"/>
  <c r="AH414" i="13"/>
  <c r="AT213" i="13"/>
  <c r="AF229" i="13"/>
  <c r="W15" i="13"/>
  <c r="O243" i="13"/>
  <c r="AD390" i="13"/>
  <c r="AM265" i="13"/>
  <c r="X277" i="13"/>
  <c r="I63" i="13"/>
  <c r="AX90" i="13"/>
  <c r="AH329" i="13"/>
  <c r="I32" i="13"/>
  <c r="J425" i="13"/>
  <c r="K414" i="13"/>
  <c r="BS389" i="13"/>
  <c r="BT437" i="13"/>
  <c r="AP484" i="13"/>
  <c r="J488" i="13"/>
  <c r="AE328" i="13"/>
  <c r="BD405" i="13"/>
  <c r="BH360" i="13"/>
  <c r="BR32" i="13"/>
  <c r="AQ251" i="13"/>
  <c r="P103" i="13"/>
  <c r="AZ363" i="13"/>
  <c r="T347" i="13"/>
  <c r="AO416" i="13"/>
  <c r="AG251" i="13"/>
  <c r="N105" i="13"/>
  <c r="BJ239" i="13"/>
  <c r="C162" i="13"/>
  <c r="BS477" i="13"/>
  <c r="BE500" i="13"/>
  <c r="AR265" i="13"/>
  <c r="AQ5" i="13"/>
  <c r="BC352" i="13"/>
  <c r="BW329" i="13"/>
  <c r="S227" i="13"/>
  <c r="BM415" i="13"/>
  <c r="M306" i="13"/>
  <c r="Z338" i="13"/>
  <c r="BE113" i="13"/>
  <c r="D497" i="13"/>
  <c r="AR367" i="13"/>
  <c r="R239" i="13"/>
  <c r="AA61" i="13"/>
  <c r="C391" i="13"/>
  <c r="Q137" i="13"/>
  <c r="AY162" i="13"/>
  <c r="AJ245" i="13"/>
  <c r="BG229" i="13"/>
  <c r="AQ341" i="13"/>
  <c r="BF421" i="13"/>
  <c r="BU89" i="13"/>
  <c r="AB270" i="13"/>
  <c r="B256" i="13"/>
  <c r="BM88" i="13"/>
  <c r="BW312" i="13"/>
  <c r="AZ467" i="13"/>
  <c r="BA490" i="13"/>
  <c r="AO312" i="13"/>
  <c r="AF323" i="13"/>
  <c r="BD476" i="13"/>
  <c r="B276" i="13"/>
  <c r="Z289" i="13"/>
  <c r="T400" i="13"/>
  <c r="BG168" i="13"/>
  <c r="P30" i="13"/>
  <c r="BS475" i="13"/>
  <c r="AW1" i="13"/>
  <c r="AE371" i="13"/>
  <c r="I472" i="13"/>
  <c r="BN356" i="13"/>
  <c r="BS59" i="13"/>
  <c r="A90" i="13"/>
  <c r="BS455" i="13"/>
  <c r="AS127" i="13"/>
  <c r="Z403" i="13"/>
  <c r="T332" i="13"/>
  <c r="AI454" i="13"/>
  <c r="BA433" i="13"/>
  <c r="BG278" i="13"/>
  <c r="D206" i="13"/>
  <c r="B209" i="13"/>
  <c r="M4" i="13"/>
  <c r="H29" i="13"/>
  <c r="BU353" i="13"/>
  <c r="AU417" i="13"/>
  <c r="L483" i="13"/>
  <c r="AM228" i="13"/>
  <c r="AN312" i="13"/>
  <c r="BM337" i="13"/>
  <c r="AU74" i="13"/>
  <c r="AV148" i="13"/>
  <c r="G497" i="13"/>
  <c r="BF89" i="13"/>
  <c r="AM467" i="13"/>
  <c r="H242" i="13"/>
  <c r="AL200" i="13"/>
  <c r="X23" i="13"/>
  <c r="AQ408" i="13"/>
  <c r="AE366" i="13"/>
  <c r="AQ170" i="13"/>
  <c r="X362" i="13"/>
  <c r="BS397" i="13"/>
  <c r="AW279" i="13"/>
  <c r="R258" i="13"/>
  <c r="AA97" i="13"/>
  <c r="R269" i="13"/>
  <c r="BP495" i="13"/>
  <c r="T351" i="13"/>
  <c r="K230" i="13"/>
  <c r="F147" i="13"/>
  <c r="AC96" i="13"/>
  <c r="AT398" i="13"/>
  <c r="AV296" i="13"/>
  <c r="BN154" i="13"/>
  <c r="BN267" i="13"/>
  <c r="U329" i="13"/>
  <c r="BJ1" i="13"/>
  <c r="S362" i="13"/>
  <c r="P479" i="13"/>
  <c r="BK339" i="13"/>
  <c r="AO24" i="13"/>
  <c r="BR191" i="13"/>
  <c r="BR428" i="13"/>
  <c r="AB472" i="13"/>
  <c r="R175" i="13"/>
  <c r="BH191" i="13"/>
  <c r="I72" i="13"/>
  <c r="A411" i="13"/>
  <c r="Z493" i="13"/>
  <c r="Z111" i="13"/>
  <c r="AQ76" i="13"/>
  <c r="M44" i="13"/>
  <c r="AK377" i="13"/>
  <c r="AK269" i="13"/>
  <c r="AE52" i="13"/>
  <c r="H275" i="13"/>
  <c r="AQ430" i="13"/>
  <c r="BA425" i="13"/>
  <c r="U378" i="13"/>
  <c r="O465" i="13"/>
  <c r="P443" i="13"/>
  <c r="BS197" i="13"/>
  <c r="N417" i="13"/>
  <c r="V157" i="13"/>
  <c r="AF95" i="13"/>
  <c r="M94" i="13"/>
  <c r="AU258" i="13"/>
  <c r="H371" i="13"/>
  <c r="I300" i="13"/>
  <c r="AO22" i="13"/>
  <c r="AZ90" i="13"/>
  <c r="R223" i="13"/>
  <c r="AR255" i="13"/>
  <c r="K384" i="13"/>
  <c r="Q172" i="13"/>
  <c r="T193" i="13"/>
  <c r="AW67" i="13"/>
  <c r="BF352" i="13"/>
  <c r="AJ114" i="13"/>
  <c r="BT229" i="13"/>
  <c r="AR87" i="13"/>
  <c r="BI493" i="13"/>
  <c r="BI398" i="13"/>
  <c r="T429" i="13"/>
  <c r="AD472" i="13"/>
  <c r="AZ494" i="13"/>
  <c r="BH267" i="13"/>
  <c r="AV105" i="13"/>
  <c r="BR153" i="13"/>
  <c r="BL462" i="13"/>
  <c r="H240" i="13"/>
  <c r="P351" i="13"/>
  <c r="G182" i="13"/>
  <c r="AA482" i="13"/>
  <c r="AJ214" i="13"/>
  <c r="AE387" i="13"/>
  <c r="BU368" i="13"/>
  <c r="BN368" i="13"/>
  <c r="AE302" i="13"/>
  <c r="H429" i="13"/>
  <c r="AZ409" i="13"/>
  <c r="AZ237" i="13"/>
  <c r="AM148" i="13"/>
  <c r="AX277" i="13"/>
  <c r="BD442" i="13"/>
  <c r="BF383" i="13"/>
  <c r="BB234" i="13"/>
  <c r="BW227" i="13"/>
  <c r="AG258" i="13"/>
  <c r="AY294" i="13"/>
  <c r="BS411" i="13"/>
  <c r="BN189" i="13"/>
  <c r="I450" i="13"/>
  <c r="K397" i="13"/>
  <c r="BK307" i="13"/>
  <c r="BU24" i="13"/>
  <c r="AQ2" i="13"/>
  <c r="BQ266" i="13"/>
  <c r="AQ174" i="13"/>
  <c r="BC370" i="13"/>
  <c r="AV272" i="13"/>
  <c r="N333" i="13"/>
  <c r="D1" i="13"/>
  <c r="M203" i="13"/>
  <c r="I266" i="13"/>
  <c r="AK194" i="13"/>
  <c r="AF300" i="13"/>
  <c r="AR9" i="13"/>
  <c r="AM50" i="13"/>
  <c r="BD488" i="13"/>
  <c r="AT451" i="13"/>
  <c r="N396" i="13"/>
  <c r="AS416" i="13"/>
  <c r="G318" i="13"/>
  <c r="AR177" i="13"/>
  <c r="BR276" i="13"/>
  <c r="AF113" i="13"/>
  <c r="S13" i="13"/>
  <c r="AT491" i="13"/>
  <c r="BB376" i="13"/>
  <c r="H309" i="13"/>
  <c r="BP431" i="13"/>
  <c r="AT251" i="13"/>
  <c r="S140" i="13"/>
  <c r="BS434" i="13"/>
  <c r="BD217" i="13"/>
  <c r="L204" i="13"/>
  <c r="O139" i="13"/>
  <c r="P46" i="13"/>
  <c r="AR212" i="13"/>
  <c r="AN93" i="13"/>
  <c r="AV223" i="13"/>
  <c r="AR256" i="13"/>
  <c r="BF189" i="13"/>
  <c r="BE227" i="13"/>
  <c r="J323" i="13"/>
  <c r="J489" i="13"/>
  <c r="Y128" i="13"/>
  <c r="U336" i="13"/>
  <c r="BQ257" i="13"/>
  <c r="S98" i="13"/>
  <c r="AF115" i="13"/>
  <c r="E274" i="13"/>
  <c r="AJ272" i="13"/>
  <c r="AN198" i="13"/>
  <c r="BB358" i="13"/>
  <c r="AG424" i="13"/>
  <c r="AP27" i="13"/>
  <c r="AB460" i="13"/>
  <c r="AB261" i="13"/>
  <c r="AD313" i="13"/>
  <c r="L419" i="13"/>
  <c r="AU80" i="13"/>
  <c r="AK18" i="13"/>
  <c r="AD88" i="13"/>
  <c r="AA69" i="13"/>
  <c r="K19" i="13"/>
  <c r="AN295" i="13"/>
  <c r="BA43" i="13"/>
  <c r="BU396" i="13"/>
  <c r="BQ244" i="13"/>
  <c r="BD83" i="13"/>
  <c r="AY234" i="13"/>
  <c r="W192" i="13"/>
  <c r="W478" i="13"/>
  <c r="BQ389" i="13"/>
  <c r="B428" i="13"/>
  <c r="AS486" i="13"/>
  <c r="AW275" i="13"/>
  <c r="AT397" i="13"/>
  <c r="AS466" i="13"/>
  <c r="BJ457" i="13"/>
  <c r="BP346" i="13"/>
  <c r="AK405" i="13"/>
  <c r="S177" i="13"/>
  <c r="T286" i="13"/>
  <c r="AF262" i="13"/>
  <c r="M438" i="13"/>
  <c r="BM381" i="13"/>
  <c r="BO305" i="13"/>
  <c r="BW146" i="13"/>
  <c r="AT422" i="13"/>
  <c r="BA191" i="13"/>
  <c r="E487" i="13"/>
  <c r="BB389" i="13"/>
  <c r="O425" i="13"/>
  <c r="AM401" i="13"/>
  <c r="AW437" i="13"/>
  <c r="A457" i="13"/>
  <c r="AH252" i="13"/>
  <c r="BS435" i="13"/>
  <c r="AN137" i="13"/>
  <c r="AC174" i="13"/>
  <c r="BO207" i="13"/>
  <c r="BV138" i="13"/>
  <c r="P372" i="13"/>
  <c r="K13" i="13"/>
  <c r="R246" i="13"/>
  <c r="AU158" i="13"/>
  <c r="AF418" i="13"/>
  <c r="BN138" i="13"/>
  <c r="BQ287" i="13"/>
  <c r="AL488" i="13"/>
  <c r="I437" i="13"/>
  <c r="E178" i="13"/>
  <c r="AQ253" i="13"/>
  <c r="BG376" i="13"/>
  <c r="BT386" i="13"/>
  <c r="Q442" i="13"/>
  <c r="AZ6" i="13"/>
  <c r="AY267" i="13"/>
  <c r="AF251" i="13"/>
  <c r="BU316" i="13"/>
  <c r="AI183" i="13"/>
  <c r="BA387" i="13"/>
  <c r="AN242" i="13"/>
  <c r="I305" i="13"/>
  <c r="AS177" i="13"/>
  <c r="BH465" i="13"/>
  <c r="AF297" i="13"/>
  <c r="M285" i="13"/>
  <c r="BO151" i="13"/>
  <c r="BP438" i="13"/>
  <c r="J10" i="13"/>
  <c r="M253" i="13"/>
  <c r="N13" i="13"/>
  <c r="AY344" i="13"/>
  <c r="C59" i="13"/>
  <c r="U3" i="13"/>
  <c r="AM286" i="13"/>
  <c r="J204" i="13"/>
  <c r="E216" i="13"/>
  <c r="B4" i="13"/>
  <c r="E42" i="13"/>
  <c r="BD414" i="13"/>
  <c r="N122" i="13"/>
  <c r="BQ290" i="13"/>
  <c r="Y154" i="13"/>
  <c r="BL475" i="13"/>
  <c r="AZ205" i="13"/>
  <c r="AC359" i="13"/>
  <c r="BE364" i="13"/>
  <c r="Z204" i="13"/>
  <c r="M304" i="13"/>
  <c r="Y274" i="13"/>
  <c r="V191" i="13"/>
  <c r="C345" i="13"/>
  <c r="AX1" i="13"/>
  <c r="J73" i="13"/>
  <c r="C358" i="13"/>
  <c r="AZ238" i="13"/>
  <c r="BI206" i="13"/>
  <c r="Q113" i="13"/>
  <c r="AF492" i="13"/>
  <c r="AQ404" i="13"/>
  <c r="M28" i="13"/>
  <c r="AI45" i="13"/>
  <c r="BR186" i="13"/>
  <c r="BH244" i="13"/>
  <c r="BQ134" i="13"/>
  <c r="AQ355" i="13"/>
  <c r="BW469" i="13"/>
  <c r="AA357" i="13"/>
  <c r="BK417" i="13"/>
  <c r="BF83" i="13"/>
  <c r="X136" i="13"/>
  <c r="S453" i="13"/>
  <c r="M50" i="13"/>
  <c r="BT467" i="13"/>
  <c r="AB384" i="13"/>
  <c r="H463" i="13"/>
  <c r="AN420" i="13"/>
  <c r="U160" i="13"/>
  <c r="B115" i="13"/>
  <c r="AU303" i="13"/>
  <c r="E168" i="13"/>
  <c r="AJ457" i="13"/>
  <c r="AQ206" i="13"/>
  <c r="BT212" i="13"/>
  <c r="BA462" i="13"/>
  <c r="P59" i="13"/>
  <c r="X138" i="13"/>
  <c r="BF427" i="13"/>
  <c r="BW322" i="13"/>
  <c r="M490" i="13"/>
  <c r="Q478" i="13"/>
  <c r="A87" i="13"/>
  <c r="M149" i="13"/>
  <c r="BI374" i="13"/>
  <c r="AS373" i="13"/>
  <c r="BU301" i="13"/>
  <c r="O339" i="13"/>
  <c r="AQ283" i="13"/>
  <c r="AD303" i="13"/>
  <c r="G369" i="13"/>
  <c r="D352" i="13"/>
  <c r="N88" i="13"/>
  <c r="AR433" i="13"/>
  <c r="AQ418" i="13"/>
  <c r="AP447" i="13"/>
  <c r="BJ320" i="13"/>
  <c r="W10" i="13"/>
  <c r="AD416" i="13"/>
  <c r="BV71" i="13"/>
  <c r="AI67" i="13"/>
  <c r="BQ11" i="13"/>
  <c r="AQ478" i="13"/>
  <c r="I21" i="13"/>
  <c r="AV329" i="13"/>
  <c r="BA480" i="13"/>
  <c r="BM443" i="13"/>
  <c r="BA356" i="13"/>
  <c r="BC322" i="13"/>
  <c r="AQ172" i="13"/>
  <c r="AW159" i="13"/>
  <c r="D118" i="13"/>
  <c r="BG22" i="13"/>
  <c r="F361" i="13"/>
  <c r="AM330" i="13"/>
  <c r="BE281" i="13"/>
  <c r="AE183" i="13"/>
  <c r="BU298" i="13"/>
  <c r="S130" i="13"/>
  <c r="AH443" i="13"/>
  <c r="BS334" i="13"/>
  <c r="C245" i="13"/>
  <c r="BU217" i="13"/>
  <c r="AF129" i="13"/>
  <c r="Z295" i="13"/>
  <c r="BN401" i="13"/>
  <c r="I304" i="13"/>
  <c r="E307" i="13"/>
  <c r="BG59" i="13"/>
  <c r="B172" i="13"/>
  <c r="AJ160" i="13"/>
  <c r="BT90" i="13"/>
  <c r="BG57" i="13"/>
  <c r="AN259" i="13"/>
  <c r="AO210" i="13"/>
  <c r="AM387" i="13"/>
  <c r="AJ14" i="13"/>
  <c r="AM70" i="13"/>
  <c r="BB427" i="13"/>
  <c r="AM316" i="13"/>
  <c r="BW223" i="13"/>
  <c r="AH474" i="13"/>
  <c r="AW377" i="13"/>
  <c r="AP187" i="13"/>
  <c r="AI162" i="13"/>
  <c r="Q389" i="13"/>
  <c r="BR301" i="13"/>
  <c r="AX276" i="13"/>
  <c r="BF190" i="13"/>
  <c r="A402" i="13"/>
  <c r="BE295" i="13"/>
  <c r="AX444" i="13"/>
  <c r="O317" i="13"/>
  <c r="K112" i="13"/>
  <c r="Z147" i="13"/>
  <c r="K301" i="13"/>
  <c r="Z367" i="13"/>
  <c r="BN483" i="13"/>
  <c r="AL206" i="13"/>
  <c r="BM287" i="13"/>
  <c r="AV474" i="13"/>
  <c r="Z156" i="13"/>
  <c r="N255" i="13"/>
  <c r="AD468" i="13"/>
  <c r="BC343" i="13"/>
  <c r="BF298" i="13"/>
  <c r="BF104" i="13"/>
  <c r="H190" i="13"/>
  <c r="BR80" i="13"/>
  <c r="AJ156" i="13"/>
  <c r="BS294" i="13"/>
  <c r="N96" i="13"/>
  <c r="AB419" i="13"/>
  <c r="T449" i="13"/>
  <c r="BB119" i="13"/>
  <c r="BN339" i="13"/>
  <c r="O365" i="13"/>
  <c r="BI135" i="13"/>
  <c r="AZ225" i="13"/>
  <c r="BW354" i="13"/>
  <c r="AX295" i="13"/>
  <c r="B495" i="13"/>
  <c r="AT103" i="13"/>
  <c r="AV61" i="13"/>
  <c r="BA153" i="13"/>
  <c r="BV284" i="13"/>
  <c r="Y302" i="13"/>
  <c r="X192" i="13"/>
  <c r="BV188" i="13"/>
  <c r="R265" i="13"/>
  <c r="AZ330" i="13"/>
  <c r="G208" i="13"/>
  <c r="AO249" i="13"/>
  <c r="AB200" i="13"/>
  <c r="AG328" i="13"/>
  <c r="BW215" i="13"/>
  <c r="BO478" i="13"/>
  <c r="BE341" i="13"/>
  <c r="AL374" i="13"/>
  <c r="T314" i="13"/>
  <c r="V372" i="13"/>
  <c r="O438" i="13"/>
  <c r="B151" i="13"/>
  <c r="E317" i="13"/>
  <c r="Y198" i="13"/>
  <c r="Q459" i="13"/>
  <c r="BV15" i="13"/>
  <c r="BK122" i="13"/>
  <c r="AM33" i="13"/>
  <c r="F197" i="13"/>
  <c r="AJ89" i="13"/>
  <c r="O110" i="13"/>
  <c r="AW145" i="13"/>
  <c r="BN75" i="13"/>
  <c r="A236" i="13"/>
  <c r="H78" i="13"/>
  <c r="AD324" i="13"/>
  <c r="G373" i="13"/>
  <c r="AD484" i="13"/>
  <c r="M446" i="13"/>
  <c r="X274" i="13"/>
  <c r="AZ172" i="13"/>
  <c r="AZ385" i="13"/>
  <c r="BE474" i="13"/>
  <c r="S373" i="13"/>
  <c r="N6" i="13"/>
  <c r="BF434" i="13"/>
  <c r="L319" i="13"/>
  <c r="BS40" i="13"/>
  <c r="AU246" i="13"/>
  <c r="AY430" i="13"/>
  <c r="R407" i="13"/>
  <c r="AJ207" i="13"/>
  <c r="AD423" i="13"/>
  <c r="AQ235" i="13"/>
  <c r="AO194" i="13"/>
  <c r="BK328" i="13"/>
  <c r="U293" i="13"/>
  <c r="BU499" i="13"/>
  <c r="BB413" i="13"/>
  <c r="AW215" i="13"/>
  <c r="AI341" i="13"/>
  <c r="AX322" i="13"/>
  <c r="BN236" i="13"/>
  <c r="AB245" i="13"/>
  <c r="BN83" i="13"/>
  <c r="X109" i="13"/>
  <c r="AB150" i="13"/>
  <c r="BH407" i="13"/>
  <c r="AU183" i="13"/>
  <c r="AE459" i="13"/>
  <c r="AT152" i="13"/>
  <c r="AL150" i="13"/>
  <c r="AX274" i="13"/>
  <c r="AD213" i="13"/>
  <c r="AL140" i="13"/>
  <c r="Y399" i="13"/>
  <c r="T120" i="13"/>
  <c r="BV285" i="13"/>
  <c r="AQ282" i="13"/>
  <c r="R365" i="13"/>
  <c r="BV388" i="13"/>
  <c r="BF309" i="13"/>
  <c r="BS270" i="13"/>
  <c r="BD120" i="13"/>
  <c r="BC437" i="13"/>
  <c r="V301" i="13"/>
  <c r="BU424" i="13"/>
  <c r="Y381" i="13"/>
  <c r="D353" i="13"/>
  <c r="BK418" i="13"/>
  <c r="AD135" i="13"/>
  <c r="AS158" i="13"/>
  <c r="BN447" i="13"/>
  <c r="AV429" i="13"/>
  <c r="BD452" i="13"/>
  <c r="BT247" i="13"/>
  <c r="BE278" i="13"/>
  <c r="AY227" i="13"/>
  <c r="O468" i="13"/>
  <c r="AA88" i="13"/>
  <c r="BI353" i="13"/>
  <c r="AC201" i="13"/>
  <c r="BV434" i="13"/>
  <c r="BI257" i="13"/>
  <c r="AH174" i="13"/>
  <c r="BM314" i="13"/>
  <c r="AR291" i="13"/>
  <c r="AE381" i="13"/>
  <c r="AA242" i="13"/>
  <c r="BB93" i="13"/>
  <c r="BH140" i="13"/>
  <c r="AE209" i="13"/>
  <c r="BN48" i="13"/>
  <c r="X452" i="13"/>
  <c r="BT424" i="13"/>
  <c r="AD344" i="13"/>
  <c r="BB67" i="13"/>
  <c r="BR482" i="13"/>
  <c r="AU493" i="13"/>
  <c r="AU427" i="13"/>
  <c r="AY450" i="13"/>
  <c r="N472" i="13"/>
  <c r="BT396" i="13"/>
  <c r="AV389" i="13"/>
  <c r="AM220" i="13"/>
  <c r="BS148" i="13"/>
  <c r="BP33" i="13"/>
  <c r="BQ267" i="13"/>
  <c r="Q282" i="13"/>
  <c r="T388" i="13"/>
  <c r="BT19" i="13"/>
  <c r="BA20" i="13"/>
  <c r="M232" i="13"/>
  <c r="AZ475" i="13"/>
  <c r="BA470" i="13"/>
  <c r="AM349" i="13"/>
  <c r="BS78" i="13"/>
  <c r="BN6" i="13"/>
  <c r="BH222" i="13"/>
  <c r="AV290" i="13"/>
  <c r="AM398" i="13"/>
  <c r="BS346" i="13"/>
  <c r="O424" i="13"/>
  <c r="AU373" i="13"/>
  <c r="AM439" i="13"/>
  <c r="W459" i="13"/>
  <c r="BF401" i="13"/>
  <c r="AG156" i="13"/>
  <c r="BK311" i="13"/>
  <c r="BU461" i="13"/>
  <c r="BG234" i="13"/>
  <c r="H188" i="13"/>
  <c r="AS402" i="13"/>
  <c r="BC301" i="13"/>
  <c r="AO110" i="13"/>
  <c r="B176" i="13"/>
  <c r="AI119" i="13"/>
  <c r="BE211" i="13"/>
  <c r="AA432" i="13"/>
  <c r="AF90" i="13"/>
  <c r="M123" i="13"/>
  <c r="AC190" i="13"/>
  <c r="BO416" i="13"/>
  <c r="BD54" i="13"/>
  <c r="B168" i="13"/>
  <c r="P18" i="13"/>
  <c r="AS185" i="13"/>
  <c r="BU416" i="13"/>
  <c r="BP363" i="13"/>
  <c r="AQ269" i="13"/>
  <c r="P125" i="13"/>
  <c r="AN354" i="13"/>
  <c r="F494" i="13"/>
  <c r="P258" i="13"/>
  <c r="AG245" i="13"/>
  <c r="BI74" i="13"/>
  <c r="AO240" i="13"/>
  <c r="AE173" i="13"/>
  <c r="AZ280" i="13"/>
  <c r="AN402" i="13"/>
  <c r="AL355" i="13"/>
  <c r="AW233" i="13"/>
  <c r="Q476" i="13"/>
  <c r="AW442" i="13"/>
  <c r="AL240" i="13"/>
  <c r="AE491" i="13"/>
  <c r="K389" i="13"/>
  <c r="D434" i="13"/>
  <c r="AA358" i="13"/>
  <c r="AS306" i="13"/>
  <c r="AL435" i="13"/>
  <c r="V237" i="13"/>
  <c r="BR233" i="13"/>
  <c r="BR460" i="13"/>
  <c r="AB119" i="13"/>
  <c r="R276" i="13"/>
  <c r="AN108" i="13"/>
  <c r="BB218" i="13"/>
  <c r="T92" i="13"/>
  <c r="BB385" i="13"/>
  <c r="AW84" i="13"/>
  <c r="BK283" i="13"/>
  <c r="AB343" i="13"/>
  <c r="Z158" i="13"/>
  <c r="AB11" i="13"/>
  <c r="AY93" i="13"/>
  <c r="S102" i="13"/>
  <c r="AA433" i="13"/>
  <c r="BN437" i="13"/>
  <c r="AR377" i="13"/>
  <c r="J465" i="13"/>
  <c r="AV303" i="13"/>
  <c r="BN451" i="13"/>
  <c r="BA478" i="13"/>
  <c r="BC75" i="13"/>
  <c r="BW351" i="13"/>
  <c r="BT475" i="13"/>
  <c r="BV89" i="13"/>
  <c r="AD64" i="13"/>
  <c r="BO147" i="13"/>
  <c r="BI481" i="13"/>
  <c r="Z296" i="13"/>
  <c r="U296" i="13"/>
  <c r="AN305" i="13"/>
  <c r="BO39" i="13"/>
  <c r="J381" i="13"/>
  <c r="T205" i="13"/>
  <c r="BN224" i="13"/>
  <c r="AW154" i="13"/>
  <c r="BN353" i="13"/>
  <c r="AH269" i="13"/>
  <c r="BV368" i="13"/>
  <c r="T220" i="13"/>
  <c r="A180" i="13"/>
  <c r="AU244" i="13"/>
  <c r="AL496" i="13"/>
  <c r="M38" i="13"/>
  <c r="BE370" i="13"/>
  <c r="AD4" i="13"/>
  <c r="BI466" i="13"/>
  <c r="J342" i="13"/>
  <c r="J286" i="13"/>
  <c r="D216" i="13"/>
  <c r="A228" i="13"/>
  <c r="R321" i="13"/>
  <c r="BK325" i="13"/>
  <c r="BB222" i="13"/>
  <c r="H392" i="13"/>
  <c r="AV193" i="13"/>
  <c r="F135" i="13"/>
  <c r="I363" i="13"/>
  <c r="BW26" i="13"/>
  <c r="AX315" i="13"/>
  <c r="BJ268" i="13"/>
  <c r="BL237" i="13"/>
  <c r="J223" i="13"/>
  <c r="L370" i="13"/>
  <c r="BP265" i="13"/>
  <c r="G50" i="13"/>
  <c r="AQ118" i="13"/>
  <c r="BL485" i="13"/>
  <c r="BD393" i="13"/>
  <c r="N26" i="13"/>
  <c r="AP278" i="13"/>
  <c r="AJ391" i="13"/>
  <c r="AO229" i="13"/>
  <c r="C262" i="13"/>
  <c r="S204" i="13"/>
  <c r="BC12" i="13"/>
  <c r="J88" i="13"/>
  <c r="BA11" i="13"/>
  <c r="O297" i="13"/>
  <c r="AN290" i="13"/>
  <c r="BK11" i="13"/>
  <c r="U282" i="13"/>
  <c r="G88" i="13"/>
  <c r="AE120" i="13"/>
  <c r="T244" i="13"/>
  <c r="BU233" i="13"/>
  <c r="BU303" i="13"/>
  <c r="BG397" i="13"/>
  <c r="V244" i="13"/>
  <c r="AM363" i="13"/>
  <c r="L191" i="13"/>
  <c r="BI330" i="13"/>
  <c r="AV243" i="13"/>
  <c r="BB17" i="13"/>
  <c r="BS479" i="13"/>
  <c r="AF155" i="13"/>
  <c r="BP345" i="13"/>
  <c r="BH292" i="13"/>
  <c r="BR374" i="13"/>
  <c r="AD121" i="13"/>
  <c r="M301" i="13"/>
  <c r="AO273" i="13"/>
  <c r="AL489" i="13"/>
  <c r="AA484" i="13"/>
  <c r="N265" i="13"/>
  <c r="BC440" i="13"/>
  <c r="N371" i="13"/>
  <c r="BP391" i="13"/>
  <c r="AE124" i="13"/>
  <c r="BM374" i="13"/>
  <c r="BB87" i="13"/>
  <c r="AB86" i="13"/>
  <c r="AG17" i="13"/>
  <c r="AN180" i="13"/>
  <c r="BT227" i="13"/>
  <c r="P21" i="13"/>
  <c r="BV386" i="13"/>
  <c r="AG100" i="13"/>
  <c r="Y179" i="13"/>
  <c r="AX98" i="13"/>
  <c r="T391" i="13"/>
  <c r="AY463" i="13"/>
  <c r="S89" i="13"/>
  <c r="AK228" i="13"/>
  <c r="BJ425" i="13"/>
  <c r="AT338" i="13"/>
  <c r="Y288" i="13"/>
  <c r="S368" i="13"/>
  <c r="P173" i="13"/>
  <c r="AQ321" i="13"/>
  <c r="AF435" i="13"/>
  <c r="BD234" i="13"/>
  <c r="F488" i="13"/>
  <c r="AE192" i="13"/>
  <c r="AT457" i="13"/>
  <c r="AZ309" i="13"/>
  <c r="AD265" i="13"/>
  <c r="AK138" i="13"/>
  <c r="AK382" i="13"/>
  <c r="BW310" i="13"/>
  <c r="J37" i="13"/>
  <c r="H270" i="13"/>
  <c r="BK244" i="13"/>
  <c r="AR483" i="13"/>
  <c r="BE238" i="13"/>
  <c r="BG133" i="13"/>
  <c r="BL308" i="13"/>
  <c r="W468" i="13"/>
  <c r="BE140" i="13"/>
  <c r="R53" i="13"/>
  <c r="B475" i="13"/>
  <c r="AC147" i="13"/>
  <c r="Q162" i="13"/>
  <c r="BU244" i="13"/>
  <c r="AT164" i="13"/>
  <c r="AR125" i="13"/>
  <c r="AC131" i="13"/>
  <c r="BS143" i="13"/>
  <c r="BD303" i="13"/>
  <c r="Y357" i="13"/>
  <c r="BD110" i="13"/>
  <c r="Y385" i="13"/>
  <c r="AN4" i="13"/>
  <c r="J474" i="13"/>
  <c r="F269" i="13"/>
  <c r="BB322" i="13"/>
  <c r="AI477" i="13"/>
  <c r="BH345" i="13"/>
  <c r="U221" i="13"/>
  <c r="AU276" i="13"/>
  <c r="BV236" i="13"/>
  <c r="C234" i="13"/>
  <c r="AY497" i="13"/>
  <c r="AH445" i="13"/>
  <c r="AA49" i="13"/>
  <c r="AY35" i="13"/>
  <c r="Y447" i="13"/>
  <c r="W306" i="13"/>
  <c r="AM354" i="13"/>
  <c r="AO201" i="13"/>
  <c r="U306" i="13"/>
  <c r="A261" i="13"/>
  <c r="AT238" i="13"/>
  <c r="BL19" i="13"/>
  <c r="O124" i="13"/>
  <c r="M307" i="13"/>
  <c r="AF373" i="13"/>
  <c r="BF217" i="13"/>
  <c r="AP338" i="13"/>
  <c r="O188" i="13"/>
  <c r="BV161" i="13"/>
  <c r="I281" i="13"/>
  <c r="AK4" i="13"/>
  <c r="AM224" i="13"/>
  <c r="AE364" i="13"/>
  <c r="S273" i="13"/>
  <c r="BR456" i="13"/>
  <c r="W448" i="13"/>
  <c r="A76" i="13"/>
  <c r="AR447" i="13"/>
  <c r="AG435" i="13"/>
  <c r="W284" i="13"/>
  <c r="L284" i="13"/>
  <c r="T144" i="13"/>
  <c r="AK212" i="13"/>
  <c r="X76" i="13"/>
  <c r="AT178" i="13"/>
  <c r="AB147" i="13"/>
  <c r="AP489" i="13"/>
  <c r="AW119" i="13"/>
  <c r="BD152" i="13"/>
  <c r="N445" i="13"/>
  <c r="AG188" i="13"/>
  <c r="T75" i="13"/>
  <c r="BK119" i="13"/>
  <c r="R94" i="13"/>
  <c r="AF274" i="13"/>
  <c r="AC451" i="13"/>
  <c r="BO171" i="13"/>
  <c r="BP399" i="13"/>
  <c r="X472" i="13"/>
  <c r="Y153" i="13"/>
  <c r="T380" i="13"/>
  <c r="BD440" i="13"/>
  <c r="BJ18" i="13"/>
  <c r="O391" i="13"/>
  <c r="AB238" i="13"/>
  <c r="BS269" i="13"/>
  <c r="AI467" i="13"/>
  <c r="Q307" i="13"/>
  <c r="K279" i="13"/>
  <c r="C300" i="13"/>
  <c r="D212" i="13"/>
  <c r="AC150" i="13"/>
  <c r="BR404" i="13"/>
  <c r="R381" i="13"/>
  <c r="AX69" i="13"/>
  <c r="AR340" i="13"/>
  <c r="BQ159" i="13"/>
  <c r="AW408" i="13"/>
  <c r="Q428" i="13"/>
  <c r="K479" i="13"/>
  <c r="BI337" i="13"/>
  <c r="BG271" i="13"/>
  <c r="AX255" i="13"/>
  <c r="AC450" i="13"/>
  <c r="AD36" i="13"/>
  <c r="U354" i="13"/>
  <c r="AW38" i="13"/>
  <c r="D296" i="13"/>
  <c r="AS470" i="13"/>
  <c r="AM116" i="13"/>
  <c r="AT123" i="13"/>
  <c r="X268" i="13"/>
  <c r="G486" i="13"/>
  <c r="AN377" i="13"/>
  <c r="AS350" i="13"/>
  <c r="T320" i="13"/>
  <c r="V459" i="13"/>
  <c r="AK414" i="13"/>
  <c r="J307" i="13"/>
  <c r="M302" i="13"/>
  <c r="BW19" i="13"/>
  <c r="AV473" i="13"/>
  <c r="AY252" i="13"/>
  <c r="AM227" i="13"/>
  <c r="AF210" i="13"/>
  <c r="AK1" i="13"/>
  <c r="BW455" i="13"/>
  <c r="J203" i="13"/>
  <c r="BV133" i="13"/>
  <c r="BO28" i="13"/>
  <c r="AK242" i="13"/>
  <c r="BV64" i="13"/>
  <c r="AB73" i="13"/>
  <c r="E441" i="13"/>
  <c r="BU231" i="13"/>
  <c r="AU8" i="13"/>
  <c r="BI222" i="13"/>
  <c r="BV463" i="13"/>
  <c r="BB257" i="13"/>
  <c r="V126" i="13"/>
  <c r="BT264" i="13"/>
  <c r="AC357" i="13"/>
  <c r="AJ227" i="13"/>
  <c r="Z395" i="13"/>
  <c r="AU309" i="13"/>
  <c r="E324" i="13"/>
  <c r="BM276" i="13"/>
  <c r="BT14" i="13"/>
  <c r="H390" i="13"/>
  <c r="BS154" i="13"/>
  <c r="AI275" i="13"/>
  <c r="AK419" i="13"/>
  <c r="BG311" i="13"/>
  <c r="AF482" i="13"/>
  <c r="P11" i="13"/>
  <c r="BS277" i="13"/>
  <c r="AS348" i="13"/>
  <c r="BM208" i="13"/>
  <c r="T268" i="13"/>
  <c r="AP134" i="13"/>
  <c r="R163" i="13"/>
  <c r="T213" i="13"/>
  <c r="I444" i="13"/>
  <c r="AR278" i="13"/>
  <c r="BJ290" i="13"/>
  <c r="M200" i="13"/>
  <c r="BK363" i="13"/>
  <c r="J333" i="13"/>
  <c r="AD149" i="13"/>
  <c r="X490" i="13"/>
  <c r="BK392" i="13"/>
  <c r="AH372" i="13"/>
  <c r="BR353" i="13"/>
  <c r="BR446" i="13"/>
  <c r="AV381" i="13"/>
  <c r="AL173" i="13"/>
  <c r="BF160" i="13"/>
  <c r="S244" i="13"/>
  <c r="Y214" i="13"/>
  <c r="H273" i="13"/>
  <c r="BD242" i="13"/>
  <c r="AO324" i="13"/>
  <c r="BK175" i="13"/>
  <c r="G357" i="13"/>
  <c r="I324" i="13"/>
  <c r="AX36" i="13"/>
  <c r="Y425" i="13"/>
  <c r="W6" i="13"/>
  <c r="AT309" i="13"/>
  <c r="BP352" i="13"/>
  <c r="AM399" i="13"/>
  <c r="BO360" i="13"/>
  <c r="BD352" i="13"/>
  <c r="AQ464" i="13"/>
  <c r="T304" i="13"/>
  <c r="AX48" i="13"/>
  <c r="V419" i="13"/>
  <c r="V149" i="13"/>
  <c r="BD366" i="13"/>
  <c r="I405" i="13"/>
  <c r="AT255" i="13"/>
  <c r="AA318" i="13"/>
  <c r="D441" i="13"/>
  <c r="AX281" i="13"/>
  <c r="BF429" i="13"/>
  <c r="AH153" i="13"/>
  <c r="BN270" i="13"/>
  <c r="AX350" i="13"/>
  <c r="C137" i="13"/>
  <c r="AH162" i="13"/>
  <c r="X437" i="13"/>
  <c r="BM378" i="13"/>
  <c r="BF462" i="13"/>
  <c r="AJ94" i="13"/>
  <c r="B469" i="13"/>
  <c r="AE44" i="13"/>
  <c r="S133" i="13"/>
  <c r="BH359" i="13"/>
  <c r="AU26" i="13"/>
  <c r="BB396" i="13"/>
  <c r="BJ107" i="13"/>
  <c r="AH223" i="13"/>
  <c r="K451" i="13"/>
  <c r="F162" i="13"/>
  <c r="BF95" i="13"/>
  <c r="AL356" i="13"/>
  <c r="C156" i="13"/>
  <c r="I425" i="13"/>
  <c r="BS353" i="13"/>
  <c r="AZ174" i="13"/>
  <c r="BK445" i="13"/>
  <c r="BO247" i="13"/>
  <c r="AE201" i="13"/>
  <c r="BV201" i="13"/>
  <c r="BO330" i="13"/>
  <c r="A21" i="13"/>
  <c r="W372" i="13"/>
  <c r="AE357" i="13"/>
  <c r="AC182" i="13"/>
  <c r="I355" i="13"/>
  <c r="AS445" i="13"/>
  <c r="BO212" i="13"/>
  <c r="M92" i="13"/>
  <c r="W139" i="13"/>
  <c r="G250" i="13"/>
  <c r="M68" i="13"/>
  <c r="AL299" i="13"/>
  <c r="BI179" i="13"/>
  <c r="AL420" i="13"/>
  <c r="AJ79" i="13"/>
  <c r="BA37" i="13"/>
  <c r="F78" i="13"/>
  <c r="AG327" i="13"/>
  <c r="AM438" i="13"/>
  <c r="BN414" i="13"/>
  <c r="AT129" i="13"/>
  <c r="AR109" i="13"/>
  <c r="AA335" i="13"/>
  <c r="J435" i="13"/>
  <c r="BO183" i="13"/>
  <c r="BF404" i="13"/>
  <c r="E252" i="13"/>
  <c r="E146" i="13"/>
  <c r="AB24" i="13"/>
  <c r="AH206" i="13"/>
  <c r="AW25" i="13"/>
  <c r="P225" i="13"/>
  <c r="BJ176" i="13"/>
  <c r="BU141" i="13"/>
  <c r="M267" i="13"/>
  <c r="J315" i="13"/>
  <c r="M93" i="13"/>
  <c r="AZ444" i="13"/>
  <c r="BL455" i="13"/>
  <c r="AS309" i="13"/>
  <c r="BJ35" i="13"/>
  <c r="AK72" i="13"/>
  <c r="AT51" i="13"/>
  <c r="BU203" i="13"/>
  <c r="BP443" i="13"/>
  <c r="AL494" i="13"/>
  <c r="BA130" i="13"/>
  <c r="AE113" i="13"/>
  <c r="BQ230" i="13"/>
  <c r="AB228" i="13"/>
  <c r="G124" i="13"/>
  <c r="BE122" i="13"/>
  <c r="F345" i="13"/>
  <c r="AW345" i="13"/>
  <c r="BJ97" i="13"/>
  <c r="AI368" i="13"/>
  <c r="BL234" i="13"/>
  <c r="BP51" i="13"/>
  <c r="BW222" i="13"/>
  <c r="G103" i="13"/>
  <c r="BJ162" i="13"/>
  <c r="C331" i="13"/>
  <c r="F324" i="13"/>
  <c r="BG90" i="13"/>
  <c r="BR10" i="13"/>
  <c r="AE115" i="13"/>
  <c r="BI147" i="13"/>
  <c r="AQ105" i="13"/>
  <c r="AH275" i="13"/>
  <c r="H341" i="13"/>
  <c r="BQ110" i="13"/>
  <c r="BP146" i="13"/>
  <c r="BJ357" i="13"/>
  <c r="AX432" i="13"/>
  <c r="AC144" i="13"/>
  <c r="BE202" i="13"/>
  <c r="AO429" i="13"/>
  <c r="AJ45" i="13"/>
  <c r="BL311" i="13"/>
  <c r="BW213" i="13"/>
  <c r="BQ371" i="13"/>
  <c r="J279" i="13"/>
  <c r="C445" i="13"/>
  <c r="AM6" i="13"/>
  <c r="BG323" i="13"/>
  <c r="AD18" i="13"/>
  <c r="BK139" i="13"/>
  <c r="P74" i="13"/>
  <c r="BD482" i="13"/>
  <c r="BI491" i="13"/>
  <c r="AO193" i="13"/>
  <c r="BB162" i="13"/>
  <c r="AX408" i="13"/>
  <c r="AM14" i="13"/>
  <c r="Q440" i="13"/>
  <c r="BL376" i="13"/>
  <c r="BO362" i="13"/>
  <c r="U62" i="13"/>
  <c r="H112" i="13"/>
  <c r="B474" i="13"/>
  <c r="AC116" i="13"/>
  <c r="BJ119" i="13"/>
  <c r="AP383" i="13"/>
  <c r="Z407" i="13"/>
  <c r="M259" i="13"/>
  <c r="AA159" i="13"/>
  <c r="C481" i="13"/>
  <c r="AW297" i="13"/>
  <c r="AG397" i="13"/>
  <c r="Q250" i="13"/>
  <c r="Y162" i="13"/>
  <c r="B316" i="13"/>
  <c r="AJ359" i="13"/>
  <c r="AZ338" i="13"/>
  <c r="A249" i="13"/>
  <c r="V306" i="13"/>
  <c r="BI500" i="13"/>
  <c r="BH299" i="13"/>
  <c r="Y91" i="13"/>
  <c r="BU477" i="13"/>
  <c r="AV393" i="13"/>
  <c r="AU97" i="13"/>
  <c r="AP210" i="13"/>
  <c r="AW135" i="13"/>
  <c r="U338" i="13"/>
  <c r="V167" i="13"/>
  <c r="BE392" i="13"/>
  <c r="Q229" i="13"/>
  <c r="P165" i="13"/>
  <c r="N39" i="13"/>
  <c r="AI210" i="13"/>
  <c r="AN88" i="13"/>
  <c r="AT454" i="13"/>
  <c r="S165" i="13"/>
  <c r="AW14" i="13"/>
  <c r="BU173" i="13"/>
  <c r="BP174" i="13"/>
  <c r="BV420" i="13"/>
  <c r="E141" i="13"/>
  <c r="P433" i="13"/>
  <c r="AX242" i="13"/>
  <c r="AB346" i="13"/>
  <c r="V205" i="13"/>
  <c r="AL182" i="13"/>
  <c r="BM79" i="13"/>
  <c r="BT292" i="13"/>
  <c r="H182" i="13"/>
  <c r="BK332" i="13"/>
  <c r="AQ406" i="13"/>
  <c r="AH157" i="13"/>
  <c r="O53" i="13"/>
  <c r="BK7" i="13"/>
  <c r="BU91" i="13"/>
  <c r="AJ413" i="13"/>
  <c r="BJ136" i="13"/>
  <c r="BW364" i="13"/>
  <c r="AD417" i="13"/>
  <c r="AK333" i="13"/>
  <c r="BU218" i="13"/>
  <c r="AT383" i="13"/>
  <c r="AJ176" i="13"/>
  <c r="AN308" i="13"/>
  <c r="BQ219" i="13"/>
  <c r="BH137" i="13"/>
  <c r="BF193" i="13"/>
  <c r="AE242" i="13"/>
  <c r="AK218" i="13"/>
  <c r="BH389" i="13"/>
  <c r="AY412" i="13"/>
  <c r="BC244" i="13"/>
  <c r="AL94" i="13"/>
  <c r="BL401" i="13"/>
  <c r="T2" i="13"/>
  <c r="BQ99" i="13"/>
  <c r="AO331" i="13"/>
  <c r="BM313" i="13"/>
  <c r="N288" i="13"/>
  <c r="AF109" i="13"/>
  <c r="S439" i="13"/>
  <c r="BA315" i="13"/>
  <c r="BR156" i="13"/>
  <c r="H490" i="13"/>
  <c r="AY81" i="13"/>
  <c r="C98" i="13"/>
  <c r="Y158" i="13"/>
  <c r="BP162" i="13"/>
  <c r="M404" i="13"/>
  <c r="BU162" i="13"/>
  <c r="AD367" i="13"/>
  <c r="BE83" i="13"/>
  <c r="AR395" i="13"/>
  <c r="J139" i="13"/>
  <c r="BS443" i="13"/>
  <c r="BA243" i="13"/>
  <c r="BV450" i="13"/>
  <c r="Q185" i="13"/>
  <c r="S448" i="13"/>
  <c r="J122" i="13"/>
  <c r="BU194" i="13"/>
  <c r="BC161" i="13"/>
  <c r="AQ184" i="13"/>
  <c r="H221" i="13"/>
  <c r="AP33" i="13"/>
  <c r="K285" i="13"/>
  <c r="AY321" i="13"/>
  <c r="AW465" i="13"/>
  <c r="G415" i="13"/>
  <c r="BG121" i="13"/>
  <c r="AM337" i="13"/>
  <c r="A481" i="13"/>
  <c r="AW308" i="13"/>
  <c r="AX121" i="13"/>
  <c r="BC334" i="13"/>
  <c r="BC142" i="13"/>
  <c r="AL359" i="13"/>
  <c r="BP56" i="13"/>
  <c r="AL333" i="13"/>
  <c r="BO431" i="13"/>
  <c r="AQ163" i="13"/>
  <c r="BV189" i="13"/>
  <c r="U196" i="13"/>
  <c r="Q404" i="13"/>
  <c r="AJ189" i="13"/>
  <c r="D111" i="13"/>
  <c r="AZ42" i="13"/>
  <c r="AD245" i="13"/>
  <c r="G205" i="13"/>
  <c r="AF183" i="13"/>
  <c r="G380" i="13"/>
  <c r="AU331" i="13"/>
  <c r="AM190" i="13"/>
  <c r="G215" i="13"/>
  <c r="P146" i="13"/>
  <c r="AA286" i="13"/>
  <c r="J397" i="13"/>
  <c r="A116" i="13"/>
  <c r="AX462" i="13"/>
  <c r="I207" i="13"/>
  <c r="E273" i="13"/>
  <c r="AY240" i="13"/>
  <c r="F9" i="13"/>
  <c r="AF271" i="13"/>
  <c r="AP73" i="13"/>
  <c r="AM77" i="13"/>
  <c r="BD72" i="13"/>
  <c r="AH84" i="13"/>
  <c r="D220" i="13"/>
  <c r="AK181" i="13"/>
  <c r="J214" i="13"/>
  <c r="BH169" i="13"/>
  <c r="BG354" i="13"/>
  <c r="BA93" i="13"/>
  <c r="BS364" i="13"/>
  <c r="AR300" i="13"/>
  <c r="L287" i="13"/>
  <c r="AD197" i="13"/>
  <c r="G209" i="13"/>
  <c r="W196" i="13"/>
  <c r="AF309" i="13"/>
  <c r="D394" i="13"/>
  <c r="O60" i="13"/>
  <c r="AH260" i="13"/>
  <c r="AA463" i="13"/>
  <c r="AJ389" i="13"/>
  <c r="BJ353" i="13"/>
  <c r="BT345" i="13"/>
  <c r="AV42" i="13"/>
  <c r="I442" i="13"/>
  <c r="BU123" i="13"/>
  <c r="AW468" i="13"/>
  <c r="E113" i="13"/>
  <c r="T315" i="13"/>
  <c r="AY328" i="13"/>
  <c r="BU239" i="13"/>
  <c r="AM242" i="13"/>
  <c r="AX63" i="13"/>
  <c r="H483" i="13"/>
  <c r="K298" i="13"/>
  <c r="BG127" i="13"/>
  <c r="AY9" i="13"/>
  <c r="E314" i="13"/>
  <c r="AV46" i="13"/>
  <c r="H18" i="13"/>
  <c r="AU368" i="13"/>
  <c r="P310" i="13"/>
  <c r="BR462" i="13"/>
  <c r="BD46" i="13"/>
  <c r="J252" i="13"/>
  <c r="E99" i="13"/>
  <c r="AW105" i="13"/>
  <c r="AC176" i="13"/>
  <c r="AP448" i="13"/>
  <c r="L179" i="13"/>
  <c r="H436" i="13"/>
  <c r="AD47" i="13"/>
  <c r="AC23" i="13"/>
  <c r="BJ375" i="13"/>
  <c r="AA334" i="13"/>
  <c r="BD402" i="13"/>
  <c r="BR261" i="13"/>
  <c r="BM348" i="13"/>
  <c r="K152" i="13"/>
  <c r="BN182" i="13"/>
  <c r="E265" i="13"/>
  <c r="K488" i="13"/>
  <c r="R335" i="13"/>
  <c r="S11" i="13"/>
  <c r="BH257" i="13"/>
  <c r="D361" i="13"/>
  <c r="AD260" i="13"/>
  <c r="Z211" i="13"/>
  <c r="BT220" i="13"/>
  <c r="U155" i="13"/>
  <c r="AW173" i="13"/>
  <c r="L168" i="13"/>
  <c r="BW435" i="13"/>
  <c r="D261" i="13"/>
  <c r="AG373" i="13"/>
  <c r="BC488" i="13"/>
  <c r="AL13" i="13"/>
  <c r="BE428" i="13"/>
  <c r="AG263" i="13"/>
  <c r="AP466" i="13"/>
  <c r="P475" i="13"/>
  <c r="S480" i="13"/>
  <c r="AF265" i="13"/>
  <c r="AM462" i="13"/>
  <c r="Y181" i="13"/>
  <c r="BK291" i="13"/>
  <c r="A227" i="13"/>
  <c r="E489" i="13"/>
  <c r="I299" i="13"/>
  <c r="V285" i="13"/>
  <c r="I331" i="13"/>
  <c r="AE354" i="13"/>
  <c r="Z275" i="13"/>
  <c r="AL495" i="13"/>
  <c r="Q297" i="13"/>
  <c r="AL380" i="13"/>
  <c r="BH147" i="13"/>
  <c r="W147" i="13"/>
  <c r="AG230" i="13"/>
  <c r="AF48" i="13"/>
  <c r="BW456" i="13"/>
  <c r="AX311" i="13"/>
  <c r="S318" i="13"/>
  <c r="BQ190" i="13"/>
  <c r="BE462" i="13"/>
  <c r="D340" i="13"/>
  <c r="AQ302" i="13"/>
  <c r="AP456" i="13"/>
  <c r="AF202" i="13"/>
  <c r="BP151" i="13"/>
  <c r="R274" i="13"/>
  <c r="AC4" i="13"/>
  <c r="AJ343" i="13"/>
  <c r="AN112" i="13"/>
  <c r="BU189" i="13"/>
  <c r="P376" i="13"/>
  <c r="BH237" i="13"/>
  <c r="E406" i="13"/>
  <c r="V88" i="13"/>
  <c r="BU182" i="13"/>
  <c r="BE94" i="13"/>
  <c r="AJ241" i="13"/>
  <c r="BK286" i="13"/>
  <c r="K97" i="13"/>
  <c r="AN18" i="13"/>
  <c r="BB163" i="13"/>
  <c r="BU494" i="13"/>
  <c r="BK343" i="13"/>
  <c r="BW141" i="13"/>
  <c r="BU309" i="13"/>
  <c r="N394" i="13"/>
  <c r="AM415" i="13"/>
  <c r="U228" i="13"/>
  <c r="V4" i="13"/>
  <c r="C470" i="13"/>
  <c r="K105" i="13"/>
  <c r="U31" i="13"/>
  <c r="I243" i="13"/>
  <c r="W317" i="13"/>
  <c r="J311" i="13"/>
  <c r="Q134" i="13"/>
  <c r="C258" i="13"/>
  <c r="H45" i="13"/>
  <c r="AV44" i="13"/>
  <c r="AB436" i="13"/>
  <c r="R457" i="13"/>
  <c r="BO248" i="13"/>
  <c r="AN165" i="13"/>
  <c r="AB279" i="13"/>
  <c r="AR293" i="13"/>
  <c r="AQ457" i="13"/>
  <c r="E162" i="13"/>
  <c r="A130" i="13"/>
  <c r="BB498" i="13"/>
  <c r="AP107" i="13"/>
  <c r="AL198" i="13"/>
  <c r="BQ367" i="13"/>
  <c r="AX136" i="13"/>
  <c r="AY256" i="13"/>
  <c r="V345" i="13"/>
  <c r="AU457" i="13"/>
  <c r="G130" i="13"/>
  <c r="BT127" i="13"/>
  <c r="AD188" i="13"/>
  <c r="BA456" i="13"/>
  <c r="BA371" i="13"/>
  <c r="BH91" i="13"/>
  <c r="AN252" i="13"/>
  <c r="AP419" i="13"/>
  <c r="BU408" i="13"/>
  <c r="A442" i="13"/>
  <c r="K481" i="13"/>
  <c r="J269" i="13"/>
  <c r="BE405" i="13"/>
  <c r="P330" i="13"/>
  <c r="AC185" i="13"/>
  <c r="AU407" i="13"/>
  <c r="W388" i="13"/>
  <c r="AJ475" i="13"/>
  <c r="BW211" i="13"/>
  <c r="AU336" i="13"/>
  <c r="BB253" i="13"/>
  <c r="O175" i="13"/>
  <c r="BL459" i="13"/>
  <c r="AX382" i="13"/>
  <c r="AQ212" i="13"/>
  <c r="AL471" i="13"/>
  <c r="AP342" i="13"/>
  <c r="BE497" i="13"/>
  <c r="AF310" i="13"/>
  <c r="AK206" i="13"/>
  <c r="BO129" i="13"/>
  <c r="P135" i="13"/>
  <c r="G233" i="13"/>
  <c r="AW461" i="13"/>
  <c r="BF369" i="13"/>
  <c r="AQ128" i="13"/>
  <c r="AZ272" i="13"/>
  <c r="D16" i="13"/>
  <c r="A280" i="13"/>
  <c r="G199" i="13"/>
  <c r="U182" i="13"/>
  <c r="AI399" i="13"/>
  <c r="K392" i="13"/>
  <c r="AG294" i="13"/>
  <c r="K166" i="13"/>
  <c r="R433" i="13"/>
  <c r="AN240" i="13"/>
  <c r="AL311" i="13"/>
  <c r="BR40" i="13"/>
  <c r="BD328" i="13"/>
  <c r="AB26" i="13"/>
  <c r="T323" i="13"/>
  <c r="BV63" i="13"/>
  <c r="AC232" i="13"/>
  <c r="AJ284" i="13"/>
  <c r="BP474" i="13"/>
  <c r="BD229" i="13"/>
  <c r="AJ379" i="13"/>
  <c r="BP374" i="13"/>
  <c r="AN157" i="13"/>
  <c r="BM264" i="13"/>
  <c r="BT54" i="13"/>
  <c r="U337" i="13"/>
  <c r="BG245" i="13"/>
  <c r="U274" i="13"/>
  <c r="AD448" i="13"/>
  <c r="AX241" i="13"/>
  <c r="AF340" i="13"/>
  <c r="D20" i="13"/>
  <c r="U497" i="13"/>
  <c r="BC25" i="13"/>
  <c r="Z252" i="13"/>
  <c r="AE343" i="13"/>
  <c r="AD146" i="13"/>
  <c r="BC342" i="13"/>
  <c r="AV213" i="13"/>
  <c r="BV55" i="13"/>
  <c r="W85" i="13"/>
  <c r="O222" i="13"/>
  <c r="AX400" i="13"/>
  <c r="BR382" i="13"/>
  <c r="A244" i="13"/>
  <c r="P119" i="13"/>
  <c r="AG160" i="13"/>
  <c r="AN476" i="13"/>
  <c r="BA345" i="13"/>
  <c r="T227" i="13"/>
  <c r="AK495" i="13"/>
  <c r="BO388" i="13"/>
  <c r="AA199" i="13"/>
  <c r="BE32" i="13"/>
  <c r="H241" i="13"/>
  <c r="AX341" i="13"/>
  <c r="AQ378" i="13"/>
  <c r="G498" i="13"/>
  <c r="BQ490" i="13"/>
  <c r="AY395" i="13"/>
  <c r="X152" i="13"/>
  <c r="BK327" i="13"/>
  <c r="BG459" i="13"/>
  <c r="Q207" i="13"/>
  <c r="BD486" i="13"/>
  <c r="AV379" i="13"/>
  <c r="AE455" i="13"/>
  <c r="AQ448" i="13"/>
  <c r="Z310" i="13"/>
  <c r="BD277" i="13"/>
  <c r="BV365" i="13"/>
  <c r="E128" i="13"/>
  <c r="S220" i="13"/>
  <c r="BM332" i="13"/>
  <c r="AO108" i="13"/>
  <c r="AR150" i="13"/>
  <c r="AT330" i="13"/>
  <c r="AA233" i="13"/>
  <c r="Q315" i="13"/>
  <c r="AI344" i="13"/>
  <c r="BE465" i="13"/>
  <c r="AC279" i="13"/>
  <c r="AJ211" i="13"/>
  <c r="AK102" i="13"/>
  <c r="AE59" i="13"/>
  <c r="BC121" i="13"/>
  <c r="AQ3" i="13"/>
  <c r="BP464" i="13"/>
  <c r="AC423" i="13"/>
  <c r="BN232" i="13"/>
  <c r="BB495" i="13"/>
  <c r="AS489" i="13"/>
  <c r="E16" i="13"/>
  <c r="BA468" i="13"/>
  <c r="U448" i="13"/>
  <c r="BC160" i="13"/>
  <c r="BE433" i="13"/>
  <c r="AC478" i="13"/>
  <c r="AC245" i="13"/>
  <c r="BO304" i="13"/>
  <c r="BK204" i="13"/>
  <c r="AB470" i="13"/>
  <c r="BL199" i="13"/>
  <c r="G439" i="13"/>
  <c r="BT453" i="13"/>
  <c r="R180" i="13"/>
  <c r="AK478" i="13"/>
  <c r="A486" i="13"/>
  <c r="T386" i="13"/>
  <c r="AJ31" i="13"/>
  <c r="H269" i="13"/>
  <c r="BJ418" i="13"/>
  <c r="AJ255" i="13"/>
  <c r="BA368" i="13"/>
  <c r="BG305" i="13"/>
  <c r="BR491" i="13"/>
  <c r="Z163" i="13"/>
  <c r="BH172" i="13"/>
  <c r="AX414" i="13"/>
  <c r="BO235" i="13"/>
  <c r="AM406" i="13"/>
  <c r="AK362" i="13"/>
  <c r="BE287" i="13"/>
  <c r="AJ353" i="13"/>
  <c r="I112" i="13"/>
  <c r="AK106" i="13"/>
  <c r="H92" i="13"/>
  <c r="T483" i="13"/>
  <c r="BL479" i="13"/>
  <c r="BP292" i="13"/>
  <c r="C462" i="13"/>
  <c r="E206" i="13"/>
  <c r="AT280" i="13"/>
  <c r="BM53" i="13"/>
  <c r="B29" i="13"/>
  <c r="BA492" i="13"/>
  <c r="AX233" i="13"/>
  <c r="BU481" i="13"/>
  <c r="Q203" i="13"/>
  <c r="L344" i="13"/>
  <c r="M480" i="13"/>
  <c r="BR317" i="13"/>
  <c r="BB51" i="13"/>
  <c r="AL351" i="13"/>
  <c r="BC433" i="13"/>
  <c r="AX130" i="13"/>
  <c r="J207" i="13"/>
  <c r="AR344" i="13"/>
  <c r="A141" i="13"/>
  <c r="BT420" i="13"/>
  <c r="AB374" i="13"/>
  <c r="BQ280" i="13"/>
  <c r="AE27" i="13"/>
  <c r="I232" i="13"/>
  <c r="BK402" i="13"/>
  <c r="AH303" i="13"/>
  <c r="BB148" i="13"/>
  <c r="Y492" i="13"/>
  <c r="AK164" i="13"/>
  <c r="AC343" i="13"/>
  <c r="BA58" i="13"/>
  <c r="AW125" i="13"/>
  <c r="BG377" i="13"/>
  <c r="C409" i="13"/>
  <c r="AK292" i="13"/>
  <c r="X51" i="13"/>
  <c r="S142" i="13"/>
  <c r="L305" i="13"/>
  <c r="BA265" i="13"/>
  <c r="R15" i="13"/>
  <c r="AL451" i="13"/>
  <c r="Z2" i="13"/>
  <c r="BN180" i="13"/>
  <c r="P333" i="13"/>
  <c r="AZ267" i="13"/>
  <c r="AG394" i="13"/>
  <c r="BT287" i="13"/>
  <c r="C100" i="13"/>
  <c r="F153" i="13"/>
  <c r="BI416" i="13"/>
  <c r="BA435" i="13"/>
  <c r="BE112" i="13"/>
  <c r="A168" i="13"/>
  <c r="BD417" i="13"/>
  <c r="AQ420" i="13"/>
  <c r="Q202" i="13"/>
  <c r="A269" i="13"/>
  <c r="Y189" i="13"/>
  <c r="BK290" i="13"/>
  <c r="AX12" i="13"/>
  <c r="Y134" i="13"/>
  <c r="AR123" i="13"/>
  <c r="AV374" i="13"/>
  <c r="Q380" i="13"/>
  <c r="BR150" i="13"/>
  <c r="AX260" i="13"/>
  <c r="AM310" i="13"/>
  <c r="BR44" i="13"/>
  <c r="AF374" i="13"/>
  <c r="Z84" i="13"/>
  <c r="P412" i="13"/>
  <c r="AN276" i="13"/>
  <c r="BP290" i="13"/>
  <c r="AX51" i="13"/>
  <c r="BB179" i="13"/>
  <c r="AK99" i="13"/>
  <c r="AY354" i="13"/>
  <c r="J436" i="13"/>
  <c r="K326" i="13"/>
  <c r="AY145" i="13"/>
  <c r="AZ8" i="13"/>
  <c r="BB486" i="13"/>
  <c r="Q189" i="13"/>
  <c r="AG379" i="13"/>
  <c r="BO457" i="13"/>
  <c r="BS490" i="13"/>
  <c r="Y281" i="13"/>
  <c r="AD182" i="13"/>
  <c r="F47" i="13"/>
  <c r="AO451" i="13"/>
  <c r="AF412" i="13"/>
  <c r="BM433" i="13"/>
  <c r="BA100" i="13"/>
  <c r="T453" i="13"/>
  <c r="AR268" i="13"/>
  <c r="AA24" i="13"/>
  <c r="BB445" i="13"/>
  <c r="P231" i="13"/>
  <c r="N243" i="13"/>
  <c r="D233" i="13"/>
  <c r="Q432" i="13"/>
  <c r="BW479" i="13"/>
  <c r="BK457" i="13"/>
  <c r="E136" i="13"/>
  <c r="T11" i="13"/>
  <c r="X276" i="13"/>
  <c r="AS129" i="13"/>
  <c r="BL338" i="13"/>
  <c r="BF433" i="13"/>
  <c r="V319" i="13"/>
  <c r="A327" i="13"/>
  <c r="R261" i="13"/>
  <c r="BM242" i="13"/>
  <c r="AU449" i="13"/>
  <c r="H20" i="13"/>
  <c r="BA31" i="13"/>
  <c r="A356" i="13"/>
  <c r="BI348" i="13"/>
  <c r="AD287" i="13"/>
  <c r="B139" i="13"/>
  <c r="AM431" i="13"/>
  <c r="BA70" i="13"/>
  <c r="BU248" i="13"/>
  <c r="AZ294" i="13"/>
  <c r="I106" i="13"/>
  <c r="BV169" i="13"/>
  <c r="C29" i="13"/>
  <c r="AO138" i="13"/>
  <c r="O431" i="13"/>
  <c r="AH428" i="13"/>
  <c r="J440" i="13"/>
  <c r="AS323" i="13"/>
  <c r="AE249" i="13"/>
  <c r="AM341" i="13"/>
  <c r="BF322" i="13"/>
  <c r="Y351" i="13"/>
  <c r="F284" i="13"/>
  <c r="J105" i="13"/>
  <c r="I102" i="13"/>
  <c r="BJ344" i="13"/>
  <c r="BI501" i="13"/>
  <c r="H344" i="13"/>
  <c r="W465" i="13"/>
  <c r="AB425" i="13"/>
  <c r="AW114" i="13"/>
  <c r="V150" i="13"/>
  <c r="BC163" i="13"/>
  <c r="BF225" i="13"/>
  <c r="AX493" i="13"/>
  <c r="Z424" i="13"/>
  <c r="BI362" i="13"/>
  <c r="T450" i="13"/>
  <c r="L441" i="13"/>
  <c r="AM124" i="13"/>
  <c r="D203" i="13"/>
  <c r="P292" i="13"/>
  <c r="BA252" i="13"/>
  <c r="N456" i="13"/>
  <c r="AJ472" i="13"/>
  <c r="AV150" i="13"/>
  <c r="BB125" i="13"/>
  <c r="AA44" i="13"/>
  <c r="AI154" i="13"/>
  <c r="AR207" i="13"/>
  <c r="AY486" i="13"/>
  <c r="E209" i="13"/>
  <c r="BF186" i="13"/>
  <c r="AE126" i="13"/>
  <c r="W92" i="13"/>
  <c r="AF184" i="13"/>
  <c r="BK458" i="13"/>
  <c r="AU343" i="13"/>
  <c r="AS442" i="13"/>
  <c r="C106" i="13"/>
  <c r="J335" i="13"/>
  <c r="BJ257" i="13"/>
  <c r="C139" i="13"/>
  <c r="BK149" i="13"/>
  <c r="AH483" i="13"/>
  <c r="AW201" i="13"/>
  <c r="BB296" i="13"/>
  <c r="I170" i="13"/>
  <c r="AF166" i="13"/>
  <c r="BP168" i="13"/>
  <c r="N226" i="13"/>
  <c r="BP277" i="13"/>
  <c r="BH410" i="13"/>
  <c r="BB227" i="13"/>
  <c r="AT269" i="13"/>
  <c r="BB41" i="13"/>
  <c r="BI164" i="13"/>
  <c r="G178" i="13"/>
  <c r="AL144" i="13"/>
  <c r="AJ445" i="13"/>
  <c r="BF347" i="13"/>
  <c r="BP473" i="13"/>
  <c r="AE235" i="13"/>
  <c r="AZ393" i="13"/>
  <c r="AP162" i="13"/>
  <c r="N204" i="13"/>
  <c r="H21" i="13"/>
  <c r="O65" i="13"/>
  <c r="V87" i="13"/>
  <c r="BR501" i="13"/>
  <c r="BG473" i="13"/>
  <c r="BQ311" i="13"/>
  <c r="AP262" i="13"/>
  <c r="AL91" i="13"/>
  <c r="L212" i="13"/>
  <c r="K440" i="13"/>
  <c r="BR310" i="13"/>
  <c r="AI293" i="13"/>
  <c r="P219" i="13"/>
  <c r="BN301" i="13"/>
  <c r="BP29" i="13"/>
  <c r="BG120" i="13"/>
  <c r="V43" i="13"/>
  <c r="Q379" i="13"/>
  <c r="AS198" i="13"/>
  <c r="BA432" i="13"/>
  <c r="BP68" i="13"/>
  <c r="F363" i="13"/>
  <c r="S323" i="13"/>
  <c r="BW314" i="13"/>
  <c r="BW473" i="13"/>
  <c r="BJ407" i="13"/>
  <c r="V226" i="13"/>
  <c r="AW453" i="13"/>
  <c r="BU324" i="13"/>
  <c r="AQ280" i="13"/>
  <c r="O330" i="13"/>
  <c r="O130" i="13"/>
  <c r="BV160" i="13"/>
  <c r="E31" i="13"/>
  <c r="AO455" i="13"/>
  <c r="BD489" i="13"/>
  <c r="BE167" i="13"/>
  <c r="AM375" i="13"/>
  <c r="AL395" i="13"/>
  <c r="BT87" i="13"/>
  <c r="BL195" i="13"/>
  <c r="BK80" i="13"/>
  <c r="D171" i="13"/>
  <c r="G363" i="13"/>
  <c r="AR120" i="13"/>
  <c r="H388" i="13"/>
  <c r="AJ299" i="13"/>
  <c r="AF491" i="13"/>
  <c r="AM339" i="13"/>
  <c r="BE448" i="13"/>
  <c r="BL261" i="13"/>
  <c r="AT279" i="13"/>
  <c r="AW109" i="13"/>
  <c r="AW131" i="13"/>
  <c r="BH22" i="13"/>
  <c r="BP217" i="13"/>
  <c r="Y301" i="13"/>
  <c r="BS300" i="13"/>
  <c r="BL244" i="13"/>
  <c r="AF205" i="13"/>
  <c r="H226" i="13"/>
  <c r="BE203" i="13"/>
  <c r="AZ151" i="13"/>
  <c r="BA207" i="13"/>
  <c r="P366" i="13"/>
  <c r="AI236" i="13"/>
  <c r="BN107" i="13"/>
  <c r="AS251" i="13"/>
  <c r="B367" i="13"/>
  <c r="BO444" i="13"/>
  <c r="C161" i="13"/>
  <c r="AH61" i="13"/>
  <c r="T486" i="13"/>
  <c r="BJ254" i="13"/>
  <c r="BP258" i="13"/>
  <c r="BB281" i="13"/>
  <c r="BT275" i="13"/>
  <c r="BK223" i="13"/>
  <c r="BU354" i="13"/>
  <c r="AK381" i="13"/>
  <c r="AY92" i="13"/>
  <c r="D180" i="13"/>
  <c r="D211" i="13"/>
  <c r="S415" i="13"/>
  <c r="BJ16" i="13"/>
  <c r="AM497" i="13"/>
  <c r="BC276" i="13"/>
  <c r="AB295" i="13"/>
  <c r="AV427" i="13"/>
  <c r="BP259" i="13"/>
  <c r="AA144" i="13"/>
  <c r="AV75" i="13"/>
  <c r="AL391" i="13"/>
  <c r="BR195" i="13"/>
  <c r="AQ409" i="13"/>
  <c r="BC439" i="13"/>
  <c r="AT183" i="13"/>
  <c r="J391" i="13"/>
  <c r="AR451" i="13"/>
  <c r="N200" i="13"/>
  <c r="G85" i="13"/>
  <c r="BJ435" i="13"/>
  <c r="BF475" i="13"/>
  <c r="AX137" i="13"/>
  <c r="AO262" i="13"/>
  <c r="N232" i="13"/>
  <c r="BD314" i="13"/>
  <c r="T158" i="13"/>
  <c r="Z123" i="13"/>
  <c r="Y146" i="13"/>
  <c r="BD122" i="13"/>
  <c r="J380" i="13"/>
  <c r="AS333" i="13"/>
  <c r="X458" i="13"/>
  <c r="BT290" i="13"/>
  <c r="BI248" i="13"/>
  <c r="BS97" i="13"/>
  <c r="AZ424" i="13"/>
  <c r="AZ234" i="13"/>
  <c r="A434" i="13"/>
  <c r="P350" i="13"/>
  <c r="AQ259" i="13"/>
  <c r="BD351" i="13"/>
  <c r="D262" i="13"/>
  <c r="AX105" i="13"/>
  <c r="BE491" i="13"/>
  <c r="AG11" i="13"/>
  <c r="A421" i="13"/>
  <c r="AF496" i="13"/>
  <c r="AA224" i="13"/>
  <c r="BG370" i="13"/>
  <c r="BO95" i="13"/>
  <c r="L232" i="13"/>
  <c r="U65" i="13"/>
  <c r="BA209" i="13"/>
  <c r="BI18" i="13"/>
  <c r="Q169" i="13"/>
  <c r="K413" i="13"/>
  <c r="N187" i="13"/>
  <c r="AX346" i="13"/>
  <c r="E369" i="13"/>
  <c r="BH214" i="13"/>
  <c r="BM128" i="13"/>
  <c r="L293" i="13"/>
  <c r="AW314" i="13"/>
  <c r="BQ355" i="13"/>
  <c r="AF50" i="13"/>
  <c r="BA119" i="13"/>
  <c r="C46" i="13"/>
  <c r="AU404" i="13"/>
  <c r="E281" i="13"/>
  <c r="AM20" i="13"/>
  <c r="Z481" i="13"/>
  <c r="BI474" i="13"/>
  <c r="AQ475" i="13"/>
  <c r="BB221" i="13"/>
  <c r="BW373" i="13"/>
  <c r="BR159" i="13"/>
  <c r="BJ322" i="13"/>
  <c r="AW394" i="13"/>
  <c r="AK310" i="13"/>
  <c r="BC115" i="13"/>
  <c r="BQ185" i="13"/>
  <c r="P133" i="13"/>
  <c r="H144" i="13"/>
  <c r="B86" i="13"/>
  <c r="V238" i="13"/>
  <c r="BI270" i="13"/>
  <c r="BR391" i="13"/>
  <c r="AQ481" i="13"/>
  <c r="AM309" i="13"/>
  <c r="BP192" i="13"/>
  <c r="AA330" i="13"/>
  <c r="AA206" i="13"/>
  <c r="BV126" i="13"/>
  <c r="AS399" i="13"/>
  <c r="AT276" i="13"/>
  <c r="N42" i="13"/>
  <c r="BK48" i="13"/>
  <c r="AC202" i="13"/>
  <c r="BM387" i="13"/>
  <c r="BN329" i="13"/>
  <c r="BG238" i="13"/>
  <c r="V492" i="13"/>
  <c r="BB351" i="13"/>
  <c r="BR221" i="13"/>
  <c r="AD175" i="13"/>
  <c r="T171" i="13"/>
  <c r="L242" i="13"/>
  <c r="AA304" i="13"/>
  <c r="AZ474" i="13"/>
  <c r="BB96" i="13"/>
  <c r="S103" i="13"/>
  <c r="AS338" i="13"/>
  <c r="BP187" i="13"/>
  <c r="AU88" i="13"/>
  <c r="BT18" i="13"/>
  <c r="D148" i="13"/>
  <c r="BK299" i="13"/>
  <c r="AS336" i="13"/>
  <c r="BW123" i="13"/>
  <c r="AB16" i="13"/>
  <c r="AG278" i="13"/>
  <c r="AP227" i="13"/>
  <c r="BH16" i="13"/>
  <c r="L175" i="13"/>
  <c r="AE130" i="13"/>
  <c r="BK288" i="13"/>
  <c r="BQ396" i="13"/>
  <c r="AG201" i="13"/>
  <c r="AF228" i="13"/>
  <c r="AV114" i="13"/>
  <c r="BU212" i="13"/>
  <c r="AT3" i="13"/>
  <c r="BN389" i="13"/>
  <c r="V406" i="13"/>
  <c r="AD419" i="13"/>
  <c r="C285" i="13"/>
  <c r="T341" i="13"/>
  <c r="AN369" i="13"/>
  <c r="U361" i="13"/>
  <c r="BU383" i="13"/>
  <c r="AP487" i="13"/>
  <c r="AC500" i="13"/>
  <c r="AR336" i="13"/>
  <c r="W140" i="13"/>
  <c r="AE204" i="13"/>
  <c r="AR298" i="13"/>
  <c r="BJ285" i="13"/>
  <c r="BF484" i="13"/>
  <c r="AT174" i="13"/>
  <c r="P211" i="13"/>
  <c r="AT382" i="13"/>
  <c r="AB473" i="13"/>
  <c r="BJ282" i="13"/>
  <c r="BW318" i="13"/>
  <c r="A218" i="13"/>
  <c r="V24" i="13"/>
  <c r="AR348" i="13"/>
  <c r="AX483" i="13"/>
  <c r="AO392" i="13"/>
  <c r="N481" i="13"/>
  <c r="L185" i="13"/>
  <c r="Y254" i="13"/>
  <c r="G219" i="13"/>
  <c r="AB151" i="13"/>
  <c r="BG475" i="13"/>
  <c r="BA402" i="13"/>
  <c r="AR73" i="13"/>
  <c r="D83" i="13"/>
  <c r="AI438" i="13"/>
  <c r="BJ279" i="13"/>
  <c r="AR436" i="13"/>
  <c r="F73" i="13"/>
  <c r="AS145" i="13"/>
  <c r="BW183" i="13"/>
  <c r="AD355" i="13"/>
  <c r="AE39" i="13"/>
  <c r="W438" i="13"/>
  <c r="AD309" i="13"/>
  <c r="AT284" i="13"/>
  <c r="BP105" i="13"/>
  <c r="AQ100" i="13"/>
  <c r="L398" i="13"/>
  <c r="Y185" i="13"/>
  <c r="AR11" i="13"/>
  <c r="AN467" i="13"/>
  <c r="V156" i="13"/>
  <c r="AJ386" i="13"/>
  <c r="AJ424" i="13"/>
  <c r="AH360" i="13"/>
  <c r="BM209" i="13"/>
  <c r="S419" i="13"/>
  <c r="AB439" i="13"/>
  <c r="AM441" i="13"/>
  <c r="AL149" i="13"/>
  <c r="AU391" i="13"/>
  <c r="X193" i="13"/>
  <c r="BH132" i="13"/>
  <c r="Z191" i="13"/>
  <c r="AA17" i="13"/>
  <c r="H419" i="13"/>
  <c r="AV118" i="13"/>
  <c r="AE308" i="13"/>
  <c r="B237" i="13"/>
  <c r="M422" i="13"/>
  <c r="AU415" i="13"/>
  <c r="BW337" i="13"/>
  <c r="BU440" i="13"/>
  <c r="AV426" i="13"/>
  <c r="E468" i="13"/>
  <c r="BP12" i="13"/>
  <c r="BA323" i="13"/>
  <c r="AX308" i="13"/>
  <c r="BP466" i="13"/>
  <c r="BK214" i="13"/>
  <c r="D169" i="13"/>
  <c r="AL329" i="13"/>
  <c r="O480" i="13"/>
  <c r="BE354" i="13"/>
  <c r="AN447" i="13"/>
  <c r="B188" i="13"/>
  <c r="H166" i="13"/>
  <c r="AW87" i="13"/>
  <c r="AJ340" i="13"/>
  <c r="BF112" i="13"/>
  <c r="BO152" i="13"/>
  <c r="L223" i="13"/>
  <c r="BJ142" i="13"/>
  <c r="K500" i="13"/>
  <c r="BA457" i="13"/>
  <c r="BG18" i="13"/>
  <c r="AU3" i="13"/>
  <c r="O259" i="13"/>
  <c r="AL126" i="13"/>
  <c r="BV92" i="13"/>
  <c r="D318" i="13"/>
  <c r="B246" i="13"/>
  <c r="R299" i="13"/>
  <c r="BG415" i="13"/>
  <c r="R410" i="13"/>
  <c r="U349" i="13"/>
  <c r="AU264" i="13"/>
  <c r="J320" i="13"/>
  <c r="D182" i="13"/>
  <c r="AH327" i="13"/>
  <c r="J402" i="13"/>
  <c r="BS5" i="13"/>
  <c r="AF382" i="13"/>
  <c r="BS301" i="13"/>
  <c r="BI202" i="13"/>
  <c r="L248" i="13"/>
  <c r="AB388" i="13"/>
  <c r="AL239" i="13"/>
  <c r="BC189" i="13"/>
  <c r="AN310" i="13"/>
  <c r="BF299" i="13"/>
  <c r="AF313" i="13"/>
  <c r="K490" i="13"/>
  <c r="Y480" i="13"/>
  <c r="AC84" i="13"/>
  <c r="O154" i="13"/>
  <c r="D114" i="13"/>
  <c r="H253" i="13"/>
  <c r="BS425" i="13"/>
  <c r="R386" i="13"/>
  <c r="I302" i="13"/>
  <c r="BT428" i="13"/>
  <c r="AC5" i="13"/>
  <c r="AL332" i="13"/>
  <c r="BR287" i="13"/>
  <c r="C241" i="13"/>
  <c r="AS84" i="13"/>
  <c r="N242" i="13"/>
  <c r="G225" i="13"/>
  <c r="C11" i="13"/>
  <c r="M476" i="13"/>
  <c r="F446" i="13"/>
  <c r="BH190" i="13"/>
  <c r="S236" i="13"/>
  <c r="AV325" i="13"/>
  <c r="BW287" i="13"/>
  <c r="AV428" i="13"/>
  <c r="BS191" i="13"/>
  <c r="F320" i="13"/>
  <c r="V196" i="13"/>
  <c r="L300" i="13"/>
  <c r="AY496" i="13"/>
  <c r="W422" i="13"/>
  <c r="I467" i="13"/>
  <c r="R60" i="13"/>
  <c r="BO284" i="13"/>
  <c r="AJ185" i="13"/>
  <c r="H135" i="13"/>
  <c r="AL313" i="13"/>
  <c r="E35" i="13"/>
  <c r="O429" i="13"/>
  <c r="AS500" i="13"/>
  <c r="M271" i="13"/>
  <c r="BG205" i="13"/>
  <c r="BE487" i="13"/>
  <c r="AQ35" i="13"/>
  <c r="BG470" i="13"/>
  <c r="C420" i="13"/>
  <c r="BR469" i="13"/>
  <c r="Y238" i="13"/>
  <c r="BC302" i="13"/>
  <c r="C32" i="13"/>
  <c r="AT305" i="13"/>
  <c r="E2" i="13"/>
  <c r="D339" i="13"/>
  <c r="L456" i="13"/>
  <c r="AN404" i="13"/>
  <c r="AT210" i="13"/>
  <c r="P422" i="13"/>
  <c r="AC379" i="13"/>
  <c r="H227" i="13"/>
  <c r="AQ377" i="13"/>
  <c r="F441" i="13"/>
  <c r="R467" i="13"/>
  <c r="Z20" i="13"/>
  <c r="AM219" i="13"/>
  <c r="BU441" i="13"/>
  <c r="BO424" i="13"/>
  <c r="E501" i="13"/>
  <c r="B79" i="13"/>
  <c r="AA158" i="13"/>
  <c r="G255" i="13"/>
  <c r="AU204" i="13"/>
  <c r="T86" i="13"/>
  <c r="AZ261" i="13"/>
  <c r="BK353" i="13"/>
  <c r="A43" i="13"/>
  <c r="V330" i="13"/>
  <c r="BC133" i="13"/>
  <c r="AD393" i="13"/>
  <c r="AY384" i="13"/>
  <c r="X290" i="13"/>
  <c r="AN265" i="13"/>
  <c r="BO13" i="13"/>
  <c r="Y391" i="13"/>
  <c r="BF395" i="13"/>
  <c r="AC154" i="13"/>
  <c r="BN341" i="13"/>
  <c r="T427" i="13"/>
  <c r="AD470" i="13"/>
  <c r="AZ120" i="13"/>
  <c r="AR403" i="13"/>
  <c r="AY358" i="13"/>
  <c r="Y144" i="13"/>
  <c r="E190" i="13"/>
  <c r="E254" i="13"/>
  <c r="Q460" i="13"/>
  <c r="AT181" i="13"/>
  <c r="AC277" i="13"/>
  <c r="Y243" i="13"/>
  <c r="BD434" i="13"/>
  <c r="AQ401" i="13"/>
  <c r="V207" i="13"/>
  <c r="W391" i="13"/>
  <c r="BM422" i="13"/>
  <c r="AD258" i="13"/>
  <c r="AF248" i="13"/>
  <c r="BV341" i="13"/>
  <c r="K470" i="13"/>
  <c r="AF347" i="13"/>
  <c r="A298" i="13"/>
  <c r="BW277" i="13"/>
  <c r="BO398" i="13"/>
  <c r="BH92" i="13"/>
  <c r="BV155" i="13"/>
  <c r="V48" i="13"/>
  <c r="AY230" i="13"/>
  <c r="AK71" i="13"/>
  <c r="S86" i="13"/>
  <c r="AG239" i="13"/>
  <c r="BU443" i="13"/>
  <c r="AF299" i="13"/>
  <c r="A406" i="13"/>
  <c r="BK487" i="13"/>
  <c r="X350" i="13"/>
  <c r="N14" i="13"/>
  <c r="BK298" i="13"/>
  <c r="U364" i="13"/>
  <c r="E1" i="13"/>
  <c r="AG276" i="13"/>
  <c r="BC151" i="13"/>
  <c r="AG57" i="13"/>
  <c r="R291" i="13"/>
  <c r="O167" i="13"/>
  <c r="AU411" i="13"/>
  <c r="AR318" i="13"/>
  <c r="BP487" i="13"/>
  <c r="F138" i="13"/>
  <c r="BK484" i="13"/>
  <c r="AX50" i="13"/>
  <c r="O405" i="13"/>
  <c r="AE475" i="13"/>
  <c r="O192" i="13"/>
  <c r="H220" i="13"/>
  <c r="AX287" i="13"/>
  <c r="AF272" i="13"/>
  <c r="U495" i="13"/>
  <c r="BH94" i="13"/>
  <c r="BM246" i="13"/>
  <c r="BJ203" i="13"/>
  <c r="S242" i="13"/>
  <c r="BB383" i="13"/>
  <c r="AB140" i="13"/>
  <c r="BG99" i="13"/>
  <c r="T456" i="13"/>
  <c r="AX446" i="13"/>
  <c r="AN428" i="13"/>
  <c r="BM421" i="13"/>
  <c r="M197" i="13"/>
  <c r="U499" i="13"/>
  <c r="BR397" i="13"/>
  <c r="V186" i="13"/>
  <c r="AR463" i="13"/>
  <c r="AU426" i="13"/>
  <c r="BU148" i="13"/>
  <c r="B137" i="13"/>
  <c r="T298" i="13"/>
  <c r="BT228" i="13"/>
  <c r="BM249" i="13"/>
  <c r="AH240" i="13"/>
  <c r="F236" i="13"/>
  <c r="BN210" i="13"/>
  <c r="AK483" i="13"/>
  <c r="BO448" i="13"/>
  <c r="F491" i="13"/>
  <c r="AT365" i="13"/>
  <c r="P295" i="13"/>
  <c r="AY404" i="13"/>
  <c r="AA195" i="13"/>
  <c r="AG401" i="13"/>
  <c r="BG75" i="13"/>
  <c r="BV68" i="13"/>
  <c r="Q10" i="13"/>
  <c r="F205" i="13"/>
  <c r="AJ95" i="13"/>
  <c r="BM444" i="13"/>
  <c r="AT449" i="13"/>
  <c r="BD205" i="13"/>
  <c r="BJ306" i="13"/>
  <c r="BR405" i="13"/>
  <c r="AQ131" i="13"/>
  <c r="H416" i="13"/>
  <c r="Q463" i="13"/>
  <c r="AT203" i="13"/>
  <c r="A213" i="13"/>
  <c r="BS260" i="13"/>
  <c r="E328" i="13"/>
  <c r="L128" i="13"/>
  <c r="BH454" i="13"/>
  <c r="AN195" i="13"/>
  <c r="AR308" i="13"/>
  <c r="AQ394" i="13"/>
  <c r="P315" i="13"/>
  <c r="BN309" i="13"/>
  <c r="K198" i="13"/>
  <c r="S406" i="13"/>
  <c r="AX44" i="13"/>
  <c r="AJ143" i="13"/>
  <c r="V332" i="13"/>
  <c r="AO358" i="13"/>
  <c r="M297" i="13"/>
  <c r="BH284" i="13"/>
  <c r="AG52" i="13"/>
  <c r="BT431" i="13"/>
  <c r="AC330" i="13"/>
  <c r="AP244" i="13"/>
  <c r="BH111" i="13"/>
  <c r="B84" i="13"/>
  <c r="T9" i="13"/>
  <c r="BG476" i="13"/>
  <c r="AW247" i="13"/>
  <c r="AN251" i="13"/>
  <c r="AV313" i="13"/>
  <c r="B453" i="13"/>
  <c r="AG45" i="13"/>
  <c r="BD458" i="13"/>
  <c r="BC499" i="13"/>
  <c r="L270" i="13"/>
  <c r="AS484" i="13"/>
  <c r="C164" i="13"/>
  <c r="AN343" i="13"/>
  <c r="O179" i="13"/>
  <c r="BG493" i="13"/>
  <c r="AD366" i="13"/>
  <c r="BU337" i="13"/>
  <c r="BP459" i="13"/>
  <c r="BU328" i="13"/>
  <c r="BS390" i="13"/>
  <c r="H154" i="13"/>
  <c r="BO220" i="13"/>
  <c r="F273" i="13"/>
  <c r="E300" i="13"/>
  <c r="O128" i="13"/>
  <c r="BQ60" i="13"/>
  <c r="BI308" i="13"/>
  <c r="G285" i="13"/>
  <c r="BB166" i="13"/>
  <c r="L375" i="13"/>
  <c r="G12" i="13"/>
  <c r="BA467" i="13"/>
  <c r="AT225" i="13"/>
  <c r="T146" i="13"/>
  <c r="AX490" i="13"/>
  <c r="AA424" i="13"/>
  <c r="A454" i="13"/>
  <c r="BU391" i="13"/>
  <c r="BC28" i="13"/>
  <c r="BR12" i="13"/>
  <c r="BO142" i="13"/>
  <c r="BQ252" i="13"/>
  <c r="AR213" i="13"/>
  <c r="BD238" i="13"/>
  <c r="BV10" i="13"/>
  <c r="BU362" i="13"/>
  <c r="B323" i="13"/>
  <c r="AV339" i="13"/>
  <c r="AL365" i="13"/>
  <c r="T246" i="13"/>
  <c r="BI423" i="13"/>
  <c r="AE194" i="13"/>
  <c r="BQ128" i="13"/>
  <c r="BU184" i="13"/>
  <c r="BG446" i="13"/>
  <c r="BK168" i="13"/>
  <c r="AR165" i="13"/>
  <c r="AK264" i="13"/>
  <c r="V414" i="13"/>
  <c r="Q318" i="13"/>
  <c r="BP330" i="13"/>
  <c r="Q357" i="13"/>
  <c r="BS112" i="13"/>
  <c r="R70" i="13"/>
  <c r="BM470" i="13"/>
  <c r="BN36" i="13"/>
  <c r="AN381" i="13"/>
  <c r="AN72" i="13"/>
  <c r="Q278" i="13"/>
  <c r="AN221" i="13"/>
  <c r="AM284" i="13"/>
  <c r="BP19" i="13"/>
  <c r="BD297" i="13"/>
  <c r="BM278" i="13"/>
  <c r="V358" i="13"/>
  <c r="BH211" i="13"/>
  <c r="AA403" i="13"/>
  <c r="BF41" i="13"/>
  <c r="AZ149" i="13"/>
  <c r="AV88" i="13"/>
  <c r="G224" i="13"/>
  <c r="O255" i="13"/>
  <c r="BF479" i="13"/>
  <c r="AK5" i="13"/>
  <c r="BA199" i="13"/>
  <c r="V447" i="13"/>
  <c r="BL209" i="13"/>
  <c r="F154" i="13"/>
  <c r="D462" i="13"/>
  <c r="J175" i="13"/>
  <c r="BB450" i="13"/>
  <c r="BF389" i="13"/>
  <c r="K312" i="13"/>
  <c r="BP359" i="13"/>
  <c r="AU205" i="13"/>
  <c r="BD222" i="13"/>
  <c r="AW234" i="13"/>
  <c r="BI336" i="13"/>
  <c r="AD269" i="13"/>
  <c r="Z193" i="13"/>
  <c r="AS104" i="13"/>
  <c r="BS387" i="13"/>
  <c r="BH263" i="13"/>
  <c r="L401" i="13"/>
  <c r="BV223" i="13"/>
  <c r="A10" i="13"/>
  <c r="AV390" i="13"/>
  <c r="BH344" i="13"/>
  <c r="U481" i="13"/>
  <c r="X5" i="13"/>
  <c r="BQ420" i="13"/>
  <c r="AA21" i="13"/>
  <c r="D428" i="13"/>
  <c r="T51" i="13"/>
  <c r="BJ213" i="13"/>
  <c r="BD254" i="13"/>
  <c r="BR79" i="13"/>
  <c r="N186" i="13"/>
  <c r="BM464" i="13"/>
  <c r="AY261" i="13"/>
  <c r="AQ360" i="13"/>
  <c r="J416" i="13"/>
  <c r="AF328" i="13"/>
  <c r="AO439" i="13"/>
  <c r="J460" i="13"/>
  <c r="AK332" i="13"/>
  <c r="AQ351" i="13"/>
  <c r="BP304" i="13"/>
  <c r="BH376" i="13"/>
  <c r="BH239" i="13"/>
  <c r="BS82" i="13"/>
  <c r="R483" i="13"/>
  <c r="BN178" i="13"/>
  <c r="AS38" i="13"/>
  <c r="BJ389" i="13"/>
  <c r="AB80" i="13"/>
  <c r="P168" i="13"/>
  <c r="I494" i="13"/>
  <c r="Y242" i="13"/>
  <c r="BU418" i="13"/>
  <c r="AM298" i="13"/>
  <c r="BG208" i="13"/>
  <c r="BA105" i="13"/>
  <c r="AF405" i="13"/>
  <c r="AJ491" i="13"/>
  <c r="O224" i="13"/>
  <c r="BG312" i="13"/>
  <c r="R277" i="13"/>
  <c r="W288" i="13"/>
  <c r="AJ276" i="13"/>
  <c r="BV498" i="13"/>
  <c r="AL491" i="13"/>
  <c r="O238" i="13"/>
  <c r="S405" i="13"/>
  <c r="BM234" i="13"/>
  <c r="W480" i="13"/>
  <c r="AN458" i="13"/>
  <c r="AF207" i="13"/>
  <c r="J287" i="13"/>
  <c r="Q370" i="13"/>
  <c r="BA59" i="13"/>
  <c r="K197" i="13"/>
  <c r="S261" i="13"/>
  <c r="AY247" i="13"/>
  <c r="I407" i="13"/>
  <c r="BD9" i="13"/>
  <c r="AC45" i="13"/>
  <c r="AY338" i="13"/>
  <c r="BE260" i="13"/>
  <c r="AA409" i="13"/>
  <c r="Z136" i="13"/>
  <c r="BN256" i="13"/>
  <c r="BT187" i="13"/>
  <c r="AN448" i="13"/>
  <c r="D63" i="13"/>
  <c r="AU165" i="13"/>
  <c r="AM94" i="13"/>
  <c r="BD165" i="13"/>
  <c r="AL21" i="13"/>
  <c r="AC125" i="13"/>
  <c r="BI249" i="13"/>
  <c r="N427" i="13"/>
  <c r="BE251" i="13"/>
  <c r="W133" i="13"/>
  <c r="K101" i="13"/>
  <c r="K407" i="13"/>
  <c r="AS213" i="13"/>
  <c r="BJ310" i="13"/>
  <c r="BI68" i="13"/>
  <c r="V197" i="13"/>
  <c r="E181" i="13"/>
  <c r="AP48" i="13"/>
  <c r="BN183" i="13"/>
  <c r="BN98" i="13"/>
  <c r="AK174" i="13"/>
  <c r="BB275" i="13"/>
  <c r="BW291" i="13"/>
  <c r="Y6" i="13"/>
  <c r="E391" i="13"/>
  <c r="BM293" i="13"/>
  <c r="AL398" i="13"/>
  <c r="BT146" i="13"/>
  <c r="AV20" i="13"/>
  <c r="AK95" i="13"/>
  <c r="Z259" i="13"/>
  <c r="BW186" i="13"/>
  <c r="V131" i="13"/>
  <c r="D6" i="13"/>
  <c r="BJ485" i="13"/>
  <c r="AN264" i="13"/>
  <c r="C153" i="13"/>
  <c r="AM292" i="13"/>
  <c r="AR475" i="13"/>
  <c r="T239" i="13"/>
  <c r="AK428" i="13"/>
  <c r="BE224" i="13"/>
  <c r="A452" i="13"/>
  <c r="AQ151" i="13"/>
  <c r="V229" i="13"/>
  <c r="K221" i="13"/>
  <c r="BR318" i="13"/>
  <c r="L310" i="13"/>
  <c r="BI288" i="13"/>
  <c r="BN438" i="13"/>
  <c r="AL487" i="13"/>
  <c r="N465" i="13"/>
  <c r="AG262" i="13"/>
  <c r="AB357" i="13"/>
  <c r="T89" i="13"/>
  <c r="BS491" i="13"/>
  <c r="AM170" i="13"/>
  <c r="BG423" i="13"/>
  <c r="Q326" i="13"/>
  <c r="BI356" i="13"/>
  <c r="AO183" i="13"/>
  <c r="BN445" i="13"/>
  <c r="AN486" i="13"/>
  <c r="AF438" i="13"/>
  <c r="AE218" i="13"/>
  <c r="C372" i="13"/>
  <c r="BJ346" i="13"/>
  <c r="BE270" i="13"/>
  <c r="AH68" i="13"/>
  <c r="AN387" i="13"/>
  <c r="AR270" i="13"/>
  <c r="AO277" i="13"/>
  <c r="V72" i="13"/>
  <c r="BA461" i="13"/>
  <c r="I415" i="13"/>
  <c r="M15" i="13"/>
  <c r="BH329" i="13"/>
  <c r="X486" i="13"/>
  <c r="BH88" i="13"/>
  <c r="BN312" i="13"/>
  <c r="AA500" i="13"/>
  <c r="AH418" i="13"/>
  <c r="BK347" i="13"/>
  <c r="AF343" i="13"/>
  <c r="Z45" i="13"/>
  <c r="Y403" i="13"/>
  <c r="L184" i="13"/>
  <c r="BL172" i="13"/>
  <c r="T127" i="13"/>
  <c r="BT389" i="13"/>
  <c r="N259" i="13"/>
  <c r="E304" i="13"/>
  <c r="AG203" i="13"/>
  <c r="B482" i="13"/>
  <c r="N440" i="13"/>
  <c r="I338" i="13"/>
  <c r="BI151" i="13"/>
  <c r="BO344" i="13"/>
  <c r="G389" i="13"/>
  <c r="BE486" i="13"/>
  <c r="BV137" i="13"/>
  <c r="E320" i="13"/>
  <c r="BM480" i="13"/>
  <c r="AW9" i="13"/>
  <c r="AZ54" i="13"/>
  <c r="BU187" i="13"/>
  <c r="B244" i="13"/>
  <c r="G92" i="13"/>
  <c r="BM248" i="13"/>
  <c r="G484" i="13"/>
  <c r="U444" i="13"/>
  <c r="BH353" i="13"/>
  <c r="AI171" i="13"/>
  <c r="BC429" i="13"/>
  <c r="BV249" i="13"/>
  <c r="BQ294" i="13"/>
  <c r="G288" i="13"/>
  <c r="AT468" i="13"/>
  <c r="AG456" i="13"/>
  <c r="BR380" i="13"/>
  <c r="BQ403" i="13"/>
  <c r="AK305" i="13"/>
  <c r="AJ426" i="13"/>
  <c r="X402" i="13"/>
  <c r="BO191" i="13"/>
  <c r="Y348" i="13"/>
  <c r="AR338" i="13"/>
  <c r="BM130" i="13"/>
  <c r="P220" i="13"/>
  <c r="AP279" i="13"/>
  <c r="F393" i="13"/>
  <c r="BI313" i="13"/>
  <c r="AU476" i="13"/>
  <c r="AP331" i="13"/>
  <c r="BC131" i="13"/>
  <c r="BT125" i="13"/>
  <c r="BQ369" i="13"/>
  <c r="BB437" i="13"/>
  <c r="AZ470" i="13"/>
  <c r="BH367" i="13"/>
  <c r="BW433" i="13"/>
  <c r="AT11" i="13"/>
  <c r="U317" i="13"/>
  <c r="L266" i="13"/>
  <c r="AY362" i="13"/>
  <c r="AG119" i="13"/>
  <c r="AM368" i="13"/>
  <c r="AC288" i="13"/>
  <c r="BW432" i="13"/>
  <c r="K180" i="13"/>
  <c r="BL168" i="13"/>
  <c r="BQ277" i="13"/>
  <c r="S402" i="13"/>
  <c r="BO279" i="13"/>
  <c r="BF293" i="13"/>
  <c r="AL303" i="13"/>
  <c r="F309" i="13"/>
  <c r="R24" i="13"/>
  <c r="BT139" i="13"/>
  <c r="E160" i="13"/>
  <c r="AP272" i="13"/>
  <c r="Y410" i="13"/>
  <c r="BQ31" i="13"/>
  <c r="AA372" i="13"/>
  <c r="BU500" i="13"/>
  <c r="BR198" i="13"/>
  <c r="W224" i="13"/>
  <c r="AO247" i="13"/>
  <c r="BU334" i="13"/>
  <c r="BE440" i="13"/>
  <c r="C279" i="13"/>
  <c r="AW452" i="13"/>
  <c r="BD451" i="13"/>
  <c r="AQ226" i="13"/>
  <c r="AN336" i="13"/>
  <c r="V396" i="13"/>
  <c r="BU422" i="13"/>
  <c r="AK197" i="13"/>
  <c r="BW405" i="13"/>
  <c r="B239" i="13"/>
  <c r="AU216" i="13"/>
  <c r="AW241" i="13"/>
  <c r="AH211" i="13"/>
  <c r="H312" i="13"/>
  <c r="L388" i="13"/>
  <c r="AT196" i="13"/>
  <c r="J466" i="13"/>
  <c r="V394" i="13"/>
  <c r="BH495" i="13"/>
  <c r="AA353" i="13"/>
  <c r="N100" i="13"/>
  <c r="BH350" i="13"/>
  <c r="A433" i="13"/>
  <c r="BG181" i="13"/>
  <c r="BS369" i="13"/>
  <c r="V264" i="13"/>
  <c r="AU348" i="13"/>
  <c r="BR126" i="13"/>
  <c r="O44" i="13"/>
  <c r="BV239" i="13"/>
  <c r="AD171" i="13"/>
  <c r="BB123" i="13"/>
  <c r="AX80" i="13"/>
  <c r="BM331" i="13"/>
  <c r="BK324" i="13"/>
  <c r="BR396" i="13"/>
  <c r="AC253" i="13"/>
  <c r="AK75" i="13"/>
  <c r="AI473" i="13"/>
  <c r="T338" i="13"/>
  <c r="BT325" i="13"/>
  <c r="AK337" i="13"/>
  <c r="Y293" i="13"/>
  <c r="AS3" i="13"/>
  <c r="A222" i="13"/>
  <c r="Y402" i="13"/>
  <c r="BO172" i="13"/>
  <c r="AF149" i="13"/>
  <c r="BR379" i="13"/>
  <c r="AL285" i="13"/>
  <c r="AT281" i="13"/>
  <c r="S187" i="13"/>
  <c r="Y237" i="13"/>
  <c r="BR94" i="13"/>
  <c r="O118" i="13"/>
  <c r="J309" i="13"/>
  <c r="AC299" i="13"/>
  <c r="C18" i="13"/>
  <c r="AI114" i="13"/>
  <c r="AL83" i="13"/>
  <c r="BL208" i="13"/>
  <c r="L326" i="13"/>
  <c r="BM11" i="13"/>
  <c r="C353" i="13"/>
  <c r="W443" i="13"/>
  <c r="BR116" i="13"/>
  <c r="BE351" i="13"/>
  <c r="N52" i="13"/>
  <c r="Z426" i="13"/>
  <c r="BM231" i="13"/>
  <c r="C490" i="13"/>
  <c r="BQ382" i="13"/>
  <c r="AS451" i="13"/>
  <c r="A357" i="13"/>
  <c r="AN431" i="13"/>
  <c r="G325" i="13"/>
  <c r="AF485" i="13"/>
  <c r="T234" i="13"/>
  <c r="AG14" i="13"/>
  <c r="U372" i="13"/>
  <c r="BK406" i="13"/>
  <c r="AY364" i="13"/>
  <c r="BU220" i="13"/>
  <c r="F141" i="13"/>
  <c r="AV12" i="13"/>
  <c r="BB372" i="13"/>
  <c r="Y141" i="13"/>
  <c r="AA406" i="13"/>
  <c r="BG179" i="13"/>
  <c r="W476" i="13"/>
  <c r="BG270" i="13"/>
  <c r="BE187" i="13"/>
  <c r="J452" i="13"/>
  <c r="AP256" i="13"/>
  <c r="E202" i="13"/>
  <c r="V20" i="13"/>
  <c r="U460" i="13"/>
  <c r="BG110" i="13"/>
  <c r="Z406" i="13"/>
  <c r="AC193" i="13"/>
  <c r="S258" i="13"/>
  <c r="AY285" i="13"/>
  <c r="AH277" i="13"/>
  <c r="BU400" i="13"/>
  <c r="J101" i="13"/>
  <c r="AG235" i="13"/>
  <c r="AG306" i="13"/>
  <c r="BI324" i="13"/>
  <c r="Q329" i="13"/>
  <c r="AG441" i="13"/>
  <c r="BL243" i="13"/>
  <c r="AP169" i="13"/>
  <c r="S216" i="13"/>
  <c r="BM500" i="13"/>
  <c r="E461" i="13"/>
  <c r="W241" i="13"/>
  <c r="BU72" i="13"/>
  <c r="AP216" i="13"/>
  <c r="AW430" i="13"/>
  <c r="BI139" i="13"/>
  <c r="I399" i="13"/>
  <c r="AV488" i="13"/>
  <c r="AE484" i="13"/>
  <c r="P281" i="13"/>
  <c r="U421" i="13"/>
  <c r="AA278" i="13"/>
  <c r="V143" i="13"/>
  <c r="X296" i="13"/>
  <c r="BO260" i="13"/>
  <c r="AK424" i="13"/>
  <c r="G54" i="13"/>
  <c r="S325" i="13"/>
  <c r="Z115" i="13"/>
  <c r="AU206" i="13"/>
  <c r="BO413" i="13"/>
  <c r="BD454" i="13"/>
  <c r="O493" i="13"/>
  <c r="D487" i="13"/>
  <c r="E436" i="13"/>
  <c r="AW492" i="13"/>
  <c r="AW177" i="13"/>
  <c r="BI393" i="13"/>
  <c r="BH71" i="13"/>
  <c r="BL50" i="13"/>
  <c r="F456" i="13"/>
  <c r="D179" i="13"/>
  <c r="AK364" i="13"/>
  <c r="BT303" i="13"/>
  <c r="V251" i="13"/>
  <c r="BC3" i="13"/>
  <c r="I267" i="13"/>
  <c r="AB368" i="13"/>
  <c r="AH106" i="13"/>
  <c r="I7" i="13"/>
  <c r="AR260" i="13"/>
  <c r="AF279" i="13"/>
  <c r="BU286" i="13"/>
  <c r="AH439" i="13"/>
  <c r="AL249" i="13"/>
  <c r="AR311" i="13"/>
  <c r="A241" i="13"/>
  <c r="AQ454" i="13"/>
  <c r="O141" i="13"/>
  <c r="AC221" i="13"/>
  <c r="AI106" i="13"/>
  <c r="W123" i="13"/>
  <c r="BB150" i="13"/>
  <c r="BA483" i="13"/>
  <c r="BH105" i="13"/>
  <c r="V375" i="13"/>
  <c r="M458" i="13"/>
  <c r="AU98" i="13"/>
  <c r="AB318" i="13"/>
  <c r="B300" i="13"/>
  <c r="AT110" i="13"/>
  <c r="R211" i="13"/>
  <c r="R63" i="13"/>
  <c r="S76" i="13"/>
  <c r="D363" i="13"/>
  <c r="AP327" i="13"/>
  <c r="AQ327" i="13"/>
  <c r="BU207" i="13"/>
  <c r="BA79" i="13"/>
  <c r="AF320" i="13"/>
  <c r="Y368" i="13"/>
  <c r="BF413" i="13"/>
  <c r="AB198" i="13"/>
  <c r="AT28" i="13"/>
  <c r="A267" i="13"/>
  <c r="AP12" i="13"/>
  <c r="U279" i="13"/>
  <c r="AA461" i="13"/>
  <c r="BO399" i="13"/>
  <c r="AN332" i="13"/>
  <c r="N359" i="13"/>
  <c r="F124" i="13"/>
  <c r="AJ345" i="13"/>
  <c r="W356" i="13"/>
  <c r="BJ387" i="13"/>
  <c r="N83" i="13"/>
  <c r="N20" i="13"/>
  <c r="BB403" i="13"/>
  <c r="AV431" i="13"/>
  <c r="V273" i="13"/>
  <c r="AE176" i="13"/>
  <c r="AT482" i="13"/>
  <c r="N123" i="13"/>
  <c r="V334" i="13"/>
  <c r="BS474" i="13"/>
  <c r="B329" i="13"/>
  <c r="AX338" i="13"/>
  <c r="AL476" i="13"/>
  <c r="N488" i="13"/>
  <c r="AR26" i="13"/>
  <c r="BS488" i="13"/>
  <c r="K351" i="13"/>
  <c r="BI407" i="13"/>
  <c r="N482" i="13"/>
  <c r="BH181" i="13"/>
  <c r="BD193" i="13"/>
  <c r="AE94" i="13"/>
  <c r="AT375" i="13"/>
  <c r="BJ470" i="13"/>
  <c r="AY83" i="13"/>
  <c r="F186" i="13"/>
  <c r="Z162" i="13"/>
  <c r="AW478" i="13"/>
  <c r="BW283" i="13"/>
  <c r="S8" i="13"/>
  <c r="P45" i="13"/>
  <c r="I443" i="13"/>
  <c r="AQ29" i="13"/>
  <c r="J461" i="13"/>
  <c r="AR418" i="13"/>
  <c r="B488" i="13"/>
  <c r="BR451" i="13"/>
  <c r="BQ406" i="13"/>
  <c r="S474" i="13"/>
  <c r="P338" i="13"/>
  <c r="AC494" i="13"/>
  <c r="P484" i="13"/>
  <c r="BV308" i="13"/>
  <c r="L146" i="13"/>
  <c r="O467" i="13"/>
  <c r="AA437" i="13"/>
  <c r="AV16" i="13"/>
  <c r="X52" i="13"/>
  <c r="AS388" i="13"/>
  <c r="N8" i="13"/>
  <c r="AK473" i="13"/>
  <c r="AE108" i="13"/>
  <c r="T141" i="13"/>
  <c r="AK346" i="13"/>
  <c r="BR171" i="13"/>
  <c r="AM448" i="13"/>
  <c r="BT375" i="13"/>
  <c r="BV146" i="13"/>
  <c r="BF166" i="13"/>
  <c r="K464" i="13"/>
  <c r="BA279" i="13"/>
  <c r="BF287" i="13"/>
  <c r="BW413" i="13"/>
  <c r="BE331" i="13"/>
  <c r="AZ436" i="13"/>
  <c r="Z116" i="13"/>
  <c r="AR62" i="13"/>
  <c r="AP440" i="13"/>
  <c r="I230" i="13"/>
  <c r="BF140" i="13"/>
  <c r="W58" i="13"/>
  <c r="BO470" i="13"/>
  <c r="BC364" i="13"/>
  <c r="AC241" i="13"/>
  <c r="AD201" i="13"/>
  <c r="AL428" i="13"/>
  <c r="AA450" i="13"/>
  <c r="BH473" i="13"/>
  <c r="C260" i="13"/>
  <c r="AR284" i="13"/>
  <c r="Z253" i="13"/>
  <c r="H441" i="13"/>
  <c r="AV23" i="13"/>
  <c r="BL348" i="13"/>
  <c r="BM358" i="13"/>
  <c r="AO441" i="13"/>
  <c r="P447" i="13"/>
  <c r="BO490" i="13"/>
  <c r="AA375" i="13"/>
  <c r="BV208" i="13"/>
  <c r="S392" i="13"/>
  <c r="M380" i="13"/>
  <c r="BQ139" i="13"/>
  <c r="P228" i="13"/>
  <c r="AN9" i="13"/>
  <c r="AF179" i="13"/>
  <c r="BL30" i="13"/>
  <c r="BO332" i="13"/>
  <c r="BI363" i="13"/>
  <c r="O300" i="13"/>
  <c r="Q135" i="13"/>
  <c r="BL389" i="13"/>
  <c r="AE274" i="13"/>
  <c r="BE424" i="13"/>
  <c r="AB237" i="13"/>
  <c r="F474" i="13"/>
  <c r="BO439" i="13"/>
  <c r="BU325" i="13"/>
  <c r="BB172" i="13"/>
  <c r="Z353" i="13"/>
  <c r="I173" i="13"/>
  <c r="AU23" i="13"/>
  <c r="AV316" i="13"/>
  <c r="Z335" i="13"/>
  <c r="BF292" i="13"/>
  <c r="AL377" i="13"/>
  <c r="K18" i="13"/>
  <c r="AX163" i="13"/>
  <c r="BR134" i="13"/>
  <c r="H69" i="13"/>
  <c r="AK112" i="13"/>
  <c r="BG414" i="13"/>
  <c r="A384" i="13"/>
  <c r="V341" i="13"/>
  <c r="AE303" i="13"/>
  <c r="O318" i="13"/>
  <c r="AH391" i="13"/>
  <c r="S431" i="13"/>
  <c r="C388" i="13"/>
  <c r="BM428" i="13"/>
  <c r="W348" i="13"/>
  <c r="AI489" i="13"/>
  <c r="AK299" i="13"/>
  <c r="BJ233" i="13"/>
  <c r="N24" i="13"/>
  <c r="V25" i="13"/>
  <c r="BE403" i="13"/>
  <c r="AF214" i="13"/>
  <c r="C6" i="13"/>
  <c r="N368" i="13"/>
  <c r="AX352" i="13"/>
  <c r="I309" i="13"/>
  <c r="AS4" i="13"/>
  <c r="AH125" i="13"/>
  <c r="N222" i="13"/>
  <c r="B331" i="13"/>
  <c r="W21" i="13"/>
  <c r="BU479" i="13"/>
  <c r="AN349" i="13"/>
  <c r="Z461" i="13"/>
  <c r="AJ438" i="13"/>
  <c r="AP16" i="13"/>
  <c r="AU132" i="13"/>
  <c r="AW443" i="13"/>
  <c r="BW280" i="13"/>
  <c r="E326" i="13"/>
  <c r="N66" i="13"/>
  <c r="AE46" i="13"/>
  <c r="AW433" i="13"/>
  <c r="AU138" i="13"/>
  <c r="BJ412" i="13"/>
  <c r="V429" i="13"/>
  <c r="S256" i="13"/>
  <c r="J146" i="13"/>
  <c r="AD406" i="13"/>
  <c r="AA423" i="13"/>
  <c r="C486" i="13"/>
  <c r="L354" i="13"/>
  <c r="S413" i="13"/>
  <c r="W472" i="13"/>
  <c r="AM475" i="13"/>
  <c r="AU470" i="13"/>
  <c r="AS78" i="13"/>
  <c r="AC331" i="13"/>
  <c r="BE447" i="13"/>
  <c r="AO218" i="13"/>
  <c r="BC346" i="13"/>
  <c r="BF155" i="13"/>
  <c r="Z262" i="13"/>
  <c r="BT207" i="13"/>
  <c r="BE234" i="13"/>
  <c r="BU45" i="13"/>
  <c r="K398" i="13"/>
  <c r="BB139" i="13"/>
  <c r="BN247" i="13"/>
  <c r="AD76" i="13"/>
  <c r="AF192" i="13"/>
  <c r="AZ178" i="13"/>
  <c r="AU106" i="13"/>
  <c r="AD280" i="13"/>
  <c r="B122" i="13"/>
  <c r="AB477" i="13"/>
  <c r="K228" i="13"/>
  <c r="N173" i="13"/>
  <c r="BC494" i="13"/>
  <c r="BL225" i="13"/>
  <c r="BB76" i="13"/>
  <c r="BV181" i="13"/>
  <c r="V472" i="13"/>
  <c r="AU469" i="13"/>
  <c r="T457" i="13"/>
  <c r="AS6" i="13"/>
  <c r="AI108" i="13"/>
  <c r="X365" i="13"/>
  <c r="BL197" i="13"/>
  <c r="AO350" i="13"/>
  <c r="AO159" i="13"/>
  <c r="Y234" i="13"/>
  <c r="BG260" i="13"/>
  <c r="BT311" i="13"/>
  <c r="AV45" i="13"/>
  <c r="AB389" i="13"/>
  <c r="B319" i="13"/>
  <c r="E120" i="13"/>
  <c r="E102" i="13"/>
  <c r="BA236" i="13"/>
  <c r="BK410" i="13"/>
  <c r="AD382" i="13"/>
  <c r="V307" i="13"/>
  <c r="AO344" i="13"/>
  <c r="Y334" i="13"/>
  <c r="BA349" i="13"/>
  <c r="BA375" i="13"/>
  <c r="BE419" i="13"/>
  <c r="W235" i="13"/>
  <c r="AG305" i="13"/>
  <c r="A26" i="13"/>
  <c r="AM158" i="13"/>
  <c r="BO367" i="13"/>
  <c r="AD430" i="13"/>
  <c r="O86" i="13"/>
  <c r="K472" i="13"/>
  <c r="O400" i="13"/>
  <c r="BF402" i="13"/>
  <c r="AI327" i="13"/>
  <c r="AW300" i="13"/>
  <c r="AO215" i="13"/>
  <c r="M210" i="13"/>
  <c r="AR371" i="13"/>
  <c r="BV251" i="13"/>
  <c r="BN409" i="13"/>
  <c r="K33" i="13"/>
  <c r="BR357" i="13"/>
  <c r="AH74" i="13"/>
  <c r="AU386" i="13"/>
  <c r="AN474" i="13"/>
  <c r="L444" i="13"/>
  <c r="AZ307" i="13"/>
  <c r="AT148" i="13"/>
  <c r="W395" i="13"/>
  <c r="BM299" i="13"/>
  <c r="BQ330" i="13"/>
  <c r="AK453" i="13"/>
  <c r="BE499" i="13"/>
  <c r="AP490" i="13"/>
  <c r="AI307" i="13"/>
  <c r="AV204" i="13"/>
  <c r="AV224" i="13"/>
  <c r="BD236" i="13"/>
  <c r="AW368" i="13"/>
  <c r="O458" i="13"/>
  <c r="O415" i="13"/>
  <c r="BK131" i="13"/>
  <c r="BN303" i="13"/>
  <c r="BA454" i="13"/>
  <c r="S314" i="13"/>
  <c r="BK383" i="13"/>
  <c r="BA127" i="13"/>
  <c r="AH225" i="13"/>
  <c r="V379" i="13"/>
  <c r="BJ352" i="13"/>
  <c r="BP111" i="13"/>
  <c r="BO219" i="13"/>
  <c r="BK251" i="13"/>
  <c r="AB397" i="13"/>
  <c r="I430" i="13"/>
  <c r="BV93" i="13"/>
  <c r="L322" i="13"/>
  <c r="L273" i="13"/>
  <c r="AL213" i="13"/>
  <c r="BH366" i="13"/>
  <c r="BM400" i="13"/>
  <c r="C20" i="13"/>
  <c r="AA22" i="13"/>
  <c r="BQ390" i="13"/>
  <c r="E371" i="13"/>
  <c r="AI290" i="13"/>
  <c r="BR148" i="13"/>
  <c r="AX472" i="13"/>
  <c r="BU236" i="13"/>
  <c r="J251" i="13"/>
  <c r="BK334" i="13"/>
  <c r="K4" i="13"/>
  <c r="BS139" i="13"/>
  <c r="AU496" i="13"/>
  <c r="AI459" i="13"/>
  <c r="D223" i="13"/>
  <c r="BK132" i="13"/>
  <c r="BF399" i="13"/>
  <c r="BJ432" i="13"/>
  <c r="AV299" i="13"/>
  <c r="BP299" i="13"/>
  <c r="L448" i="13"/>
  <c r="O333" i="13"/>
  <c r="AU58" i="13"/>
  <c r="L137" i="13"/>
  <c r="AV348" i="13"/>
  <c r="H449" i="13"/>
  <c r="K209" i="13"/>
  <c r="Y8" i="13"/>
  <c r="F286" i="13"/>
  <c r="Z248" i="13"/>
  <c r="AW489" i="13"/>
  <c r="BS187" i="13"/>
  <c r="Y470" i="13"/>
  <c r="D194" i="13"/>
  <c r="BS10" i="13"/>
  <c r="J356" i="13"/>
  <c r="X442" i="13"/>
  <c r="C329" i="13"/>
  <c r="BN490" i="13"/>
  <c r="BE463" i="13"/>
  <c r="W444" i="13"/>
  <c r="C259" i="13"/>
  <c r="BC69" i="13"/>
  <c r="BC332" i="13"/>
  <c r="Q473" i="13"/>
  <c r="BE218" i="13"/>
  <c r="BS362" i="13"/>
  <c r="C460" i="13"/>
  <c r="AK374" i="13"/>
  <c r="O247" i="13"/>
  <c r="AU370" i="13"/>
  <c r="AO449" i="13"/>
  <c r="AE195" i="13"/>
  <c r="AT478" i="13"/>
  <c r="BA44" i="13"/>
  <c r="BQ408" i="13"/>
  <c r="AU178" i="13"/>
  <c r="J176" i="13"/>
  <c r="BN439" i="13"/>
  <c r="N250" i="13"/>
  <c r="D98" i="13"/>
  <c r="BC467" i="13"/>
  <c r="S337" i="13"/>
  <c r="AV349" i="13"/>
  <c r="BO440" i="13"/>
  <c r="BS268" i="13"/>
  <c r="AW219" i="13"/>
  <c r="A455" i="13"/>
  <c r="BT390" i="13"/>
  <c r="W339" i="13"/>
  <c r="N263" i="13"/>
  <c r="A122" i="13"/>
  <c r="X389" i="13"/>
  <c r="C381" i="13"/>
  <c r="BK101" i="13"/>
  <c r="AR329" i="13"/>
  <c r="BI44" i="13"/>
  <c r="W242" i="13"/>
  <c r="J442" i="13"/>
  <c r="R210" i="13"/>
  <c r="AX416" i="13"/>
  <c r="V325" i="13"/>
  <c r="L10" i="13"/>
  <c r="V377" i="13"/>
  <c r="BM206" i="13"/>
  <c r="I275" i="13"/>
  <c r="X459" i="13"/>
  <c r="L466" i="13"/>
  <c r="BS110" i="13"/>
  <c r="AM403" i="13"/>
  <c r="W107" i="13"/>
  <c r="AR159" i="13"/>
  <c r="BG200" i="13"/>
  <c r="BW90" i="13"/>
  <c r="AI328" i="13"/>
  <c r="M431" i="13"/>
  <c r="U292" i="13"/>
  <c r="F294" i="13"/>
  <c r="P344" i="13"/>
  <c r="AK3" i="13"/>
  <c r="AG61" i="13"/>
  <c r="BS412" i="13"/>
  <c r="D170" i="13"/>
  <c r="BG401" i="13"/>
  <c r="BB490" i="13"/>
  <c r="AI389" i="13"/>
  <c r="G284" i="13"/>
  <c r="AO417" i="13"/>
  <c r="W451" i="13"/>
  <c r="BB116" i="13"/>
  <c r="BD221" i="13"/>
  <c r="BB136" i="13"/>
  <c r="AN297" i="13"/>
  <c r="AD230" i="13"/>
  <c r="BH333" i="13"/>
  <c r="AS322" i="13"/>
  <c r="J337" i="13"/>
  <c r="AP468" i="13"/>
  <c r="H420" i="13"/>
  <c r="AA102" i="13"/>
  <c r="AD375" i="13"/>
  <c r="AV382" i="13"/>
  <c r="O282" i="13"/>
  <c r="AL358" i="13"/>
  <c r="BN378" i="13"/>
  <c r="BT441" i="13"/>
  <c r="AA408" i="13"/>
  <c r="E459" i="13"/>
  <c r="I423" i="13"/>
  <c r="AH496" i="13"/>
  <c r="BV430" i="13"/>
  <c r="U425" i="13"/>
  <c r="BO197" i="13"/>
  <c r="BC325" i="13"/>
  <c r="D299" i="13"/>
  <c r="BC262" i="13"/>
  <c r="AH83" i="13"/>
  <c r="BT416" i="13"/>
  <c r="BO163" i="13"/>
  <c r="AC242" i="13"/>
  <c r="BO193" i="13"/>
  <c r="E426" i="13"/>
  <c r="AZ96" i="13"/>
  <c r="BV139" i="13"/>
  <c r="AG365" i="13"/>
  <c r="P256" i="13"/>
  <c r="AU333" i="13"/>
  <c r="D176" i="13"/>
  <c r="N425" i="13"/>
  <c r="Q457" i="13"/>
  <c r="H380" i="13"/>
  <c r="BE374" i="13"/>
  <c r="AE499" i="13"/>
  <c r="BN386" i="13"/>
  <c r="AP261" i="13"/>
  <c r="F17" i="13"/>
  <c r="T437" i="13"/>
  <c r="X213" i="13"/>
  <c r="BH116" i="13"/>
  <c r="BI482" i="13"/>
  <c r="BV441" i="13"/>
  <c r="H199" i="13"/>
  <c r="H473" i="13"/>
  <c r="BL296" i="13"/>
  <c r="BR475" i="13"/>
  <c r="BU471" i="13"/>
  <c r="A277" i="13"/>
  <c r="BP390" i="13"/>
  <c r="AA480" i="13"/>
  <c r="AN37" i="13"/>
  <c r="BG381" i="13"/>
  <c r="BV359" i="13"/>
  <c r="AW148" i="13"/>
  <c r="AP220" i="13"/>
  <c r="AO177" i="13"/>
  <c r="AL392" i="13"/>
  <c r="AS238" i="13"/>
  <c r="AV336" i="13"/>
  <c r="AT393" i="13"/>
  <c r="AB352" i="13"/>
  <c r="BI269" i="13"/>
  <c r="BK355" i="13"/>
  <c r="AV97" i="13"/>
  <c r="Y309" i="13"/>
  <c r="BN259" i="13"/>
  <c r="AM7" i="13"/>
  <c r="X291" i="13"/>
  <c r="BH286" i="13"/>
  <c r="I333" i="13"/>
  <c r="L469" i="13"/>
  <c r="H219" i="13"/>
  <c r="BQ417" i="13"/>
  <c r="BL111" i="13"/>
  <c r="U326" i="13"/>
  <c r="Y133" i="13"/>
  <c r="L257" i="13"/>
  <c r="AM259" i="13"/>
  <c r="V420" i="13"/>
  <c r="T252" i="13"/>
  <c r="K489" i="13"/>
  <c r="AX132" i="13"/>
  <c r="AA321" i="13"/>
  <c r="BK243" i="13"/>
  <c r="BI364" i="13"/>
  <c r="BM437" i="13"/>
  <c r="BT353" i="13"/>
  <c r="AE349" i="13"/>
  <c r="AR283" i="13"/>
  <c r="BJ484" i="13"/>
  <c r="E43" i="13"/>
  <c r="BU497" i="13"/>
  <c r="AH2" i="13"/>
  <c r="V277" i="13"/>
  <c r="AX464" i="13"/>
  <c r="E19" i="13"/>
  <c r="BF307" i="13"/>
  <c r="BD437" i="13"/>
  <c r="BT261" i="13"/>
  <c r="BH349" i="13"/>
  <c r="AU77" i="13"/>
  <c r="BT8" i="13"/>
  <c r="BP415" i="13"/>
  <c r="BE406" i="13"/>
  <c r="R215" i="13"/>
  <c r="V411" i="13"/>
  <c r="AB194" i="13"/>
  <c r="Y247" i="13"/>
  <c r="BI381" i="13"/>
  <c r="BK377" i="13"/>
  <c r="M274" i="13"/>
  <c r="V8" i="13"/>
  <c r="AU171" i="13"/>
  <c r="G443" i="13"/>
  <c r="BJ6" i="13"/>
  <c r="AB396" i="13"/>
  <c r="BB121" i="13"/>
  <c r="A500" i="13"/>
  <c r="AR458" i="13"/>
  <c r="BV462" i="13"/>
  <c r="AU194" i="13"/>
  <c r="BK216" i="13"/>
  <c r="H256" i="13"/>
  <c r="R272" i="13"/>
  <c r="AG293" i="13"/>
  <c r="AU12" i="13"/>
  <c r="R423" i="13"/>
  <c r="N143" i="13"/>
  <c r="S393" i="13"/>
  <c r="O292" i="13"/>
  <c r="AM168" i="13"/>
  <c r="M369" i="13"/>
  <c r="AX317" i="13"/>
  <c r="BL378" i="13"/>
  <c r="BF500" i="13"/>
  <c r="Q489" i="13"/>
  <c r="I287" i="13"/>
  <c r="Y213" i="13"/>
  <c r="R446" i="13"/>
  <c r="T296" i="13"/>
  <c r="BP471" i="13"/>
  <c r="AV479" i="13"/>
  <c r="AF476" i="13"/>
  <c r="I310" i="13"/>
  <c r="F386" i="13"/>
  <c r="BL423" i="13"/>
  <c r="AP444" i="13"/>
  <c r="G277" i="13"/>
  <c r="AV255" i="13"/>
  <c r="AQ340" i="13"/>
  <c r="BB419" i="13"/>
  <c r="AI475" i="13"/>
  <c r="L402" i="13"/>
  <c r="Z188" i="13"/>
  <c r="AB371" i="13"/>
  <c r="AU173" i="13"/>
  <c r="H58" i="13"/>
  <c r="AP420" i="13"/>
  <c r="J308" i="13"/>
  <c r="AE480" i="13"/>
  <c r="U146" i="13"/>
  <c r="W222" i="13"/>
  <c r="AQ147" i="13"/>
  <c r="BV152" i="13"/>
  <c r="O281" i="13"/>
  <c r="E423" i="13"/>
  <c r="AO425" i="13"/>
  <c r="Z94" i="13"/>
  <c r="BD226" i="13"/>
  <c r="AM196" i="13"/>
  <c r="AX99" i="13"/>
  <c r="AW359" i="13"/>
  <c r="F424" i="13"/>
  <c r="BH434" i="13"/>
  <c r="BA395" i="13"/>
  <c r="BF235" i="13"/>
  <c r="BB314" i="13"/>
  <c r="J383" i="13"/>
  <c r="BD20" i="13"/>
  <c r="Z65" i="13"/>
  <c r="W175" i="13"/>
  <c r="T426" i="13"/>
  <c r="AP496" i="13"/>
  <c r="BI150" i="13"/>
  <c r="BA278" i="13"/>
  <c r="T273" i="13"/>
  <c r="BB426" i="13"/>
  <c r="BG374" i="13"/>
  <c r="AE489" i="13"/>
  <c r="AL23" i="13"/>
  <c r="BB230" i="13"/>
  <c r="D95" i="13"/>
  <c r="AQ219" i="13"/>
  <c r="G270" i="13"/>
  <c r="BA52" i="13"/>
  <c r="AT104" i="13"/>
  <c r="D366" i="13"/>
  <c r="L236" i="13"/>
  <c r="M256" i="13"/>
  <c r="AP446" i="13"/>
  <c r="BW89" i="13"/>
  <c r="K205" i="13"/>
  <c r="AL88" i="13"/>
  <c r="AW262" i="13"/>
  <c r="J316" i="13"/>
  <c r="BC157" i="13"/>
  <c r="BD347" i="13"/>
  <c r="AY300" i="13"/>
  <c r="A464" i="13"/>
  <c r="AA98" i="13"/>
  <c r="BE191" i="13"/>
  <c r="BO436" i="13"/>
  <c r="BL380" i="13"/>
  <c r="AW113" i="13"/>
  <c r="BB462" i="13"/>
  <c r="AV500" i="13"/>
  <c r="BK51" i="13"/>
  <c r="W156" i="13"/>
  <c r="BJ172" i="13"/>
  <c r="J499" i="13"/>
  <c r="AE439" i="13"/>
  <c r="BQ329" i="13"/>
  <c r="S7" i="13"/>
  <c r="BO104" i="13"/>
  <c r="BC375" i="13"/>
  <c r="BU241" i="13"/>
  <c r="V404" i="13"/>
  <c r="Q74" i="13"/>
  <c r="C376" i="13"/>
  <c r="BQ383" i="13"/>
  <c r="AD371" i="13"/>
  <c r="L358" i="13"/>
  <c r="AS126" i="13"/>
  <c r="X78" i="13"/>
  <c r="X281" i="13"/>
  <c r="U351" i="13"/>
  <c r="W23" i="13"/>
  <c r="BK187" i="13"/>
  <c r="T499" i="13"/>
  <c r="AI439" i="13"/>
  <c r="BG317" i="13"/>
  <c r="BK171" i="13"/>
  <c r="BJ265" i="13"/>
  <c r="AW103" i="13"/>
  <c r="BK116" i="13"/>
  <c r="AE248" i="13"/>
  <c r="BQ386" i="13"/>
  <c r="N214" i="13"/>
  <c r="AO442" i="13"/>
  <c r="U60" i="13"/>
  <c r="AM301" i="13"/>
  <c r="P65" i="13"/>
  <c r="Y156" i="13"/>
  <c r="BF328" i="13"/>
  <c r="BW244" i="13"/>
  <c r="BD327" i="13"/>
  <c r="AH477" i="13"/>
  <c r="AQ422" i="13"/>
  <c r="J369" i="13"/>
  <c r="BF385" i="13"/>
  <c r="AT221" i="13"/>
  <c r="L16" i="13"/>
  <c r="AC327" i="13"/>
  <c r="AS438" i="13"/>
  <c r="AA430" i="13"/>
  <c r="AF465" i="13"/>
  <c r="AI294" i="13"/>
  <c r="AQ144" i="13"/>
  <c r="AK54" i="13"/>
  <c r="AL128" i="13"/>
  <c r="C77" i="13"/>
  <c r="BQ405" i="13"/>
  <c r="AA327" i="13"/>
  <c r="BR8" i="13"/>
  <c r="F297" i="13"/>
  <c r="W368" i="13"/>
  <c r="BA98" i="13"/>
  <c r="V30" i="13"/>
  <c r="BC207" i="13"/>
  <c r="BQ247" i="13"/>
  <c r="R320" i="13"/>
  <c r="BD421" i="13"/>
  <c r="AT19" i="13"/>
  <c r="BO287" i="13"/>
  <c r="AM338" i="13"/>
  <c r="BV100" i="13"/>
  <c r="BQ328" i="13"/>
  <c r="BT267" i="13"/>
  <c r="BT469" i="13"/>
  <c r="AQ218" i="13"/>
  <c r="BC91" i="13"/>
  <c r="BM156" i="13"/>
  <c r="AK422" i="13"/>
  <c r="BE241" i="13"/>
  <c r="BM366" i="13"/>
  <c r="J258" i="13"/>
  <c r="S3" i="13"/>
  <c r="L435" i="13"/>
  <c r="AV80" i="13"/>
  <c r="AD413" i="13"/>
  <c r="X225" i="13"/>
  <c r="S414" i="13"/>
  <c r="Z272" i="13"/>
  <c r="BW347" i="13"/>
  <c r="AN190" i="13"/>
  <c r="AS346" i="13"/>
  <c r="AR17" i="13"/>
  <c r="AL295" i="13"/>
  <c r="BL132" i="13"/>
  <c r="AT323" i="13"/>
  <c r="BM456" i="13"/>
  <c r="AT430" i="13"/>
  <c r="AY170" i="13"/>
  <c r="BC485" i="13"/>
  <c r="I128" i="13"/>
  <c r="V54" i="13"/>
  <c r="BL393" i="13"/>
  <c r="I400" i="13"/>
  <c r="BC350" i="13"/>
  <c r="AX261" i="13"/>
  <c r="AM393" i="13"/>
  <c r="AQ281" i="13"/>
  <c r="A17" i="13"/>
  <c r="X347" i="13"/>
  <c r="BS379" i="13"/>
  <c r="AB326" i="13"/>
  <c r="Q373" i="13"/>
  <c r="AW263" i="13"/>
  <c r="A429" i="13"/>
  <c r="BF414" i="13"/>
  <c r="BN470" i="13"/>
  <c r="Y300" i="13"/>
  <c r="BK323" i="13"/>
  <c r="BQ4" i="13"/>
  <c r="O111" i="13"/>
  <c r="AL152" i="13"/>
  <c r="BD428" i="13"/>
  <c r="AA178" i="13"/>
  <c r="N279" i="13"/>
  <c r="L294" i="13"/>
  <c r="U462" i="13"/>
  <c r="AO393" i="13"/>
  <c r="I182" i="13"/>
  <c r="BT142" i="13"/>
  <c r="AZ490" i="13"/>
  <c r="BK247" i="13"/>
  <c r="AO123" i="13"/>
  <c r="K70" i="13"/>
  <c r="K496" i="13"/>
  <c r="BK19" i="13"/>
  <c r="P287" i="13"/>
  <c r="BM222" i="13"/>
  <c r="AF362" i="13"/>
  <c r="H451" i="13"/>
  <c r="V235" i="13"/>
  <c r="BD188" i="13"/>
  <c r="A287" i="13"/>
  <c r="AZ130" i="13"/>
  <c r="BQ199" i="13"/>
  <c r="W262" i="13"/>
  <c r="BF120" i="13"/>
  <c r="L234" i="13"/>
  <c r="AF278" i="13"/>
  <c r="BC254" i="13"/>
  <c r="D8" i="13"/>
  <c r="AG414" i="13"/>
  <c r="AN409" i="13"/>
  <c r="BF301" i="13"/>
  <c r="BP229" i="13"/>
  <c r="M107" i="13"/>
  <c r="BE273" i="13"/>
  <c r="BJ295" i="13"/>
  <c r="AK294" i="13"/>
  <c r="AM276" i="13"/>
  <c r="BD416" i="13"/>
  <c r="BS246" i="13"/>
  <c r="V250" i="13"/>
  <c r="AY346" i="13"/>
  <c r="AR406" i="13"/>
  <c r="AM396" i="13"/>
  <c r="W232" i="13"/>
  <c r="N249" i="13"/>
  <c r="BR432" i="13"/>
  <c r="AT87" i="13"/>
  <c r="V463" i="13"/>
  <c r="AO284" i="13"/>
  <c r="C176" i="13"/>
  <c r="Q61" i="13"/>
  <c r="BA216" i="13"/>
  <c r="BU367" i="13"/>
  <c r="AN500" i="13"/>
  <c r="BP368" i="13"/>
  <c r="BF211" i="13"/>
  <c r="AS156" i="13"/>
  <c r="BW204" i="13"/>
  <c r="BV320" i="13"/>
  <c r="P401" i="13"/>
  <c r="C34" i="13"/>
  <c r="S196" i="13"/>
  <c r="Q289" i="13"/>
  <c r="BK36" i="13"/>
  <c r="Q369" i="13"/>
  <c r="BK205" i="13"/>
  <c r="X92" i="13"/>
  <c r="AQ17" i="13"/>
  <c r="W38" i="13"/>
  <c r="X331" i="13"/>
  <c r="Z48" i="13"/>
  <c r="AP259" i="13"/>
  <c r="BM99" i="13"/>
  <c r="A33" i="13"/>
  <c r="BP112" i="13"/>
  <c r="BF188" i="13"/>
  <c r="AM210" i="13"/>
  <c r="J420" i="13"/>
  <c r="AG312" i="13"/>
  <c r="S117" i="13"/>
  <c r="Y216" i="13"/>
  <c r="BU295" i="13"/>
  <c r="AX499" i="13"/>
  <c r="M186" i="13"/>
  <c r="AQ270" i="13"/>
  <c r="AG358" i="13"/>
  <c r="AL341" i="13"/>
  <c r="BF7" i="13"/>
  <c r="BD246" i="13"/>
  <c r="BG464" i="13"/>
  <c r="BU446" i="13"/>
  <c r="BG126" i="13"/>
  <c r="AM324" i="13"/>
  <c r="AL470" i="13"/>
  <c r="BT235" i="13"/>
  <c r="AM266" i="13"/>
  <c r="Z345" i="13"/>
  <c r="AT437" i="13"/>
  <c r="AX334" i="13"/>
  <c r="AF390" i="13"/>
  <c r="O479" i="13"/>
  <c r="AU420" i="13"/>
  <c r="L396" i="13"/>
  <c r="AL98" i="13"/>
  <c r="W430" i="13"/>
  <c r="BN112" i="13"/>
  <c r="AO461" i="13"/>
  <c r="Y441" i="13"/>
  <c r="AL316" i="13"/>
  <c r="AN283" i="13"/>
  <c r="AR149" i="13"/>
  <c r="O381" i="13"/>
  <c r="J300" i="13"/>
  <c r="BW8" i="13"/>
  <c r="AQ275" i="13"/>
  <c r="BA162" i="13"/>
  <c r="BM244" i="13"/>
  <c r="BB10" i="13"/>
  <c r="N343" i="13"/>
  <c r="AM353" i="13"/>
  <c r="BE245" i="13"/>
  <c r="AX208" i="13"/>
  <c r="M314" i="13"/>
  <c r="BE438" i="13"/>
  <c r="BB193" i="13"/>
  <c r="M111" i="13"/>
  <c r="BO331" i="13"/>
  <c r="AN433" i="13"/>
  <c r="AN214" i="13"/>
  <c r="AS190" i="13"/>
  <c r="AJ355" i="13"/>
  <c r="AE62" i="13"/>
  <c r="R332" i="13"/>
  <c r="AJ483" i="13"/>
  <c r="BW7" i="13"/>
  <c r="W369" i="13"/>
  <c r="BM321" i="13"/>
  <c r="BG484" i="13"/>
  <c r="BI203" i="13"/>
  <c r="AG427" i="13"/>
  <c r="AW36" i="13"/>
  <c r="BQ351" i="13"/>
  <c r="M330" i="13"/>
  <c r="AP127" i="13"/>
  <c r="BB468" i="13"/>
  <c r="BH155" i="13"/>
  <c r="D278" i="13"/>
  <c r="AT52" i="13"/>
  <c r="G223" i="13"/>
  <c r="AH103" i="13"/>
  <c r="M252" i="13"/>
  <c r="A167" i="13"/>
  <c r="O342" i="13"/>
  <c r="Q395" i="13"/>
  <c r="Z398" i="13"/>
  <c r="C413" i="13"/>
  <c r="AK475" i="13"/>
  <c r="BO377" i="13"/>
  <c r="BS393" i="13"/>
  <c r="AU304" i="13"/>
  <c r="K352" i="13"/>
  <c r="AO378" i="13"/>
  <c r="K324" i="13"/>
  <c r="AG338" i="13"/>
  <c r="K191" i="13"/>
  <c r="P296" i="13"/>
  <c r="H411" i="13"/>
  <c r="D274" i="13"/>
  <c r="E356" i="13"/>
  <c r="BW64" i="13"/>
  <c r="F226" i="13"/>
  <c r="BK262" i="13"/>
  <c r="BD334" i="13"/>
  <c r="J25" i="13"/>
  <c r="AH294" i="13"/>
  <c r="AF464" i="13"/>
  <c r="W446" i="13"/>
  <c r="R334" i="13"/>
  <c r="BT477" i="13"/>
  <c r="AW374" i="13"/>
  <c r="AC493" i="13"/>
  <c r="BS398" i="13"/>
  <c r="BS53" i="13"/>
  <c r="BC361" i="13"/>
  <c r="BK318" i="13"/>
  <c r="G307" i="13"/>
  <c r="BD399" i="13"/>
  <c r="L451" i="13"/>
  <c r="AP17" i="13"/>
  <c r="AS430" i="13"/>
  <c r="C108" i="13"/>
  <c r="D347" i="13"/>
  <c r="AZ360" i="13"/>
  <c r="BC314" i="13"/>
  <c r="AA65" i="13"/>
  <c r="AN235" i="13"/>
  <c r="AI149" i="13"/>
  <c r="L397" i="13"/>
  <c r="BW118" i="13"/>
  <c r="BV148" i="13"/>
  <c r="AC7" i="13"/>
  <c r="AG370" i="13"/>
  <c r="BW199" i="13"/>
  <c r="K385" i="13"/>
  <c r="BM213" i="13"/>
  <c r="AK188" i="13"/>
  <c r="AD119" i="13"/>
  <c r="AB69" i="13"/>
  <c r="X159" i="13"/>
  <c r="J295" i="13"/>
  <c r="AJ71" i="13"/>
  <c r="BV367" i="13"/>
  <c r="AF73" i="13"/>
  <c r="AC206" i="13"/>
  <c r="AZ204" i="13"/>
  <c r="BL215" i="13"/>
  <c r="BG410" i="13"/>
  <c r="O403" i="13"/>
  <c r="BG364" i="13"/>
  <c r="AH318" i="13"/>
  <c r="AC248" i="13"/>
  <c r="BQ473" i="13"/>
  <c r="N278" i="13"/>
  <c r="D269" i="13"/>
  <c r="J487" i="13"/>
  <c r="BO297" i="13"/>
  <c r="I342" i="13"/>
  <c r="L161" i="13"/>
  <c r="BC446" i="13"/>
  <c r="AE318" i="13"/>
  <c r="S135" i="13"/>
  <c r="AJ360" i="13"/>
  <c r="AG296" i="13"/>
  <c r="BI453" i="13"/>
  <c r="BI289" i="13"/>
  <c r="V367" i="13"/>
  <c r="BP247" i="13"/>
  <c r="S496" i="13"/>
  <c r="O319" i="13"/>
  <c r="U56" i="13"/>
  <c r="B310" i="13"/>
  <c r="AY212" i="13"/>
  <c r="AC340" i="13"/>
  <c r="BM134" i="13"/>
  <c r="BL157" i="13"/>
  <c r="BM190" i="13"/>
  <c r="BS419" i="13"/>
  <c r="S12" i="13"/>
  <c r="BP318" i="13"/>
  <c r="AQ169" i="13"/>
  <c r="N230" i="13"/>
  <c r="BS392" i="13"/>
  <c r="W359" i="13"/>
  <c r="Z233" i="13"/>
  <c r="R310" i="13"/>
  <c r="AT447" i="13"/>
  <c r="BF423" i="13"/>
  <c r="BJ368" i="13"/>
  <c r="AK317" i="13"/>
  <c r="BJ210" i="13"/>
  <c r="BV12" i="13"/>
  <c r="H381" i="13"/>
  <c r="Z82" i="13"/>
  <c r="BG134" i="13"/>
  <c r="AA50" i="13"/>
  <c r="P459" i="13"/>
  <c r="BO471" i="13"/>
  <c r="BD257" i="13"/>
  <c r="AI192" i="13"/>
  <c r="AC377" i="13"/>
  <c r="BA391" i="13"/>
  <c r="H476" i="13"/>
  <c r="F425" i="13"/>
  <c r="B447" i="13"/>
  <c r="AY343" i="13"/>
  <c r="AO413" i="13"/>
  <c r="Z473" i="13"/>
  <c r="AF128" i="13"/>
  <c r="BN4" i="13"/>
  <c r="AP139" i="13"/>
  <c r="R194" i="13"/>
  <c r="L110" i="13"/>
  <c r="J267" i="13"/>
  <c r="AL153" i="13"/>
  <c r="V416" i="13"/>
  <c r="AT182" i="13"/>
  <c r="BG474" i="13"/>
  <c r="BH305" i="13"/>
  <c r="BS243" i="13"/>
  <c r="P322" i="13"/>
  <c r="AX470" i="13"/>
  <c r="AY371" i="13"/>
  <c r="BG53" i="13"/>
  <c r="AX366" i="13"/>
  <c r="Q178" i="13"/>
  <c r="AE358" i="13"/>
  <c r="AV166" i="13"/>
  <c r="N487" i="13"/>
  <c r="L320" i="13"/>
  <c r="AY387" i="13"/>
  <c r="L279" i="13"/>
  <c r="R235" i="13"/>
  <c r="BK362" i="13"/>
  <c r="I376" i="13"/>
  <c r="P239" i="13"/>
  <c r="AJ477" i="13"/>
  <c r="AO92" i="13"/>
  <c r="BR122" i="13"/>
  <c r="I370" i="13"/>
  <c r="Z180" i="13"/>
  <c r="Y346" i="13"/>
  <c r="R370" i="13"/>
  <c r="AY481" i="13"/>
  <c r="AK441" i="13"/>
  <c r="AM494" i="13"/>
  <c r="BG424" i="13"/>
  <c r="H457" i="13"/>
  <c r="BW301" i="13"/>
  <c r="BF381" i="13"/>
  <c r="Q285" i="13"/>
  <c r="BQ392" i="13"/>
  <c r="AI482" i="13"/>
  <c r="BV338" i="13"/>
  <c r="Z194" i="13"/>
  <c r="AY28" i="13"/>
  <c r="I334" i="13"/>
  <c r="N285" i="13"/>
  <c r="AP202" i="13"/>
  <c r="BP242" i="13"/>
  <c r="BC174" i="13"/>
  <c r="I268" i="13"/>
  <c r="AI452" i="13"/>
  <c r="BL324" i="13"/>
  <c r="AO145" i="13"/>
  <c r="AM281" i="13"/>
  <c r="BJ93" i="13"/>
  <c r="BL381" i="13"/>
  <c r="A428" i="13"/>
  <c r="AA315" i="13"/>
  <c r="AQ471" i="13"/>
  <c r="AK107" i="13"/>
  <c r="C309" i="13"/>
  <c r="BG468" i="13"/>
  <c r="AS203" i="13"/>
  <c r="AW323" i="13"/>
  <c r="G425" i="13"/>
  <c r="I384" i="13"/>
  <c r="F22" i="13"/>
  <c r="BA358" i="13"/>
  <c r="AS375" i="13"/>
  <c r="O421" i="13"/>
  <c r="BJ430" i="13"/>
  <c r="V424" i="13"/>
  <c r="BN485" i="13"/>
  <c r="AW66" i="13"/>
  <c r="BL201" i="13"/>
  <c r="BP388" i="13"/>
  <c r="J208" i="13"/>
  <c r="AB487" i="13"/>
  <c r="O459" i="13"/>
  <c r="AB105" i="13"/>
  <c r="BG216" i="13"/>
  <c r="BL384" i="13"/>
  <c r="BG292" i="13"/>
  <c r="G42" i="13"/>
  <c r="BP153" i="13"/>
  <c r="E473" i="13"/>
  <c r="D446" i="13"/>
  <c r="AC59" i="13"/>
  <c r="BD463" i="13"/>
  <c r="C120" i="13"/>
  <c r="V257" i="13"/>
  <c r="BM451" i="13"/>
  <c r="AW471" i="13"/>
  <c r="M310" i="13"/>
  <c r="P305" i="13"/>
  <c r="AK98" i="13"/>
  <c r="AH82" i="13"/>
  <c r="I46" i="13"/>
  <c r="D350" i="13"/>
  <c r="BE407" i="13"/>
  <c r="H82" i="13"/>
  <c r="AR303" i="13"/>
  <c r="AB422" i="13"/>
  <c r="BC309" i="13"/>
  <c r="BC476" i="13"/>
  <c r="BR371" i="13"/>
  <c r="AG348" i="13"/>
  <c r="BB388" i="13"/>
  <c r="F11" i="13"/>
  <c r="J372" i="13"/>
  <c r="T318" i="13"/>
  <c r="BT62" i="13"/>
  <c r="AL484" i="13"/>
  <c r="AP328" i="13"/>
  <c r="AQ210" i="13"/>
  <c r="S266" i="13"/>
  <c r="C251" i="13"/>
  <c r="BQ467" i="13"/>
  <c r="BA319" i="13"/>
  <c r="BF365" i="13"/>
  <c r="AN378" i="13"/>
  <c r="AU395" i="13"/>
  <c r="BU356" i="13"/>
  <c r="C187" i="13"/>
  <c r="T415" i="13"/>
  <c r="W442" i="13"/>
  <c r="BH6" i="13"/>
  <c r="A270" i="13"/>
  <c r="AJ172" i="13"/>
  <c r="BM432" i="13"/>
  <c r="BS272" i="13"/>
  <c r="BQ270" i="13"/>
  <c r="AJ240" i="13"/>
  <c r="A482" i="13"/>
  <c r="AI359" i="13"/>
  <c r="AD161" i="13"/>
  <c r="AK222" i="13"/>
  <c r="BL428" i="13"/>
  <c r="D377" i="13"/>
  <c r="AR2" i="13"/>
  <c r="AY18" i="13"/>
  <c r="Z8" i="13"/>
  <c r="BJ498" i="13"/>
  <c r="BE280" i="13"/>
  <c r="BO421" i="13"/>
  <c r="BK293" i="13"/>
  <c r="BL450" i="13"/>
  <c r="AY418" i="13"/>
  <c r="BN72" i="13"/>
  <c r="BF13" i="13"/>
  <c r="AI361" i="13"/>
  <c r="BM301" i="13"/>
  <c r="S455" i="13"/>
  <c r="BF50" i="13"/>
  <c r="U387" i="13"/>
  <c r="B412" i="13"/>
  <c r="BI138" i="13"/>
  <c r="AH326" i="13"/>
  <c r="R326" i="13"/>
  <c r="BF375" i="13"/>
  <c r="BD410" i="13"/>
  <c r="AT427" i="13"/>
  <c r="M394" i="13"/>
  <c r="N468" i="13"/>
  <c r="AS344" i="13"/>
  <c r="AX381" i="13"/>
  <c r="Z323" i="13"/>
  <c r="J280" i="13"/>
  <c r="G386" i="13"/>
  <c r="U278" i="13"/>
  <c r="Q237" i="13"/>
  <c r="BR184" i="13"/>
  <c r="BB34" i="13"/>
  <c r="AL447" i="13"/>
  <c r="AK433" i="13"/>
  <c r="G15" i="13"/>
  <c r="BC358" i="13"/>
  <c r="I381" i="13"/>
  <c r="AK165" i="13"/>
  <c r="K473" i="13"/>
  <c r="BM3" i="13"/>
  <c r="BH334" i="13"/>
  <c r="K217" i="13"/>
  <c r="BV69" i="13"/>
  <c r="BH87" i="13"/>
  <c r="AC420" i="13"/>
  <c r="BF461" i="13"/>
  <c r="J231" i="13"/>
  <c r="BV3" i="13"/>
  <c r="AG261" i="13"/>
  <c r="M495" i="13"/>
  <c r="BG130" i="13"/>
  <c r="AR13" i="13"/>
  <c r="AV91" i="13"/>
  <c r="AH265" i="13"/>
  <c r="AB70" i="13"/>
  <c r="S460" i="13"/>
  <c r="AI464" i="13"/>
  <c r="H30" i="13"/>
  <c r="M338" i="13"/>
  <c r="AH407" i="13"/>
  <c r="AX278" i="13"/>
  <c r="X435" i="13"/>
  <c r="AT171" i="13"/>
  <c r="BV24" i="13"/>
  <c r="AG384" i="13"/>
  <c r="BQ380" i="13"/>
  <c r="AN294" i="13"/>
  <c r="AY340" i="13"/>
  <c r="BU266" i="13"/>
  <c r="BQ208" i="13"/>
  <c r="AZ2" i="13"/>
  <c r="AX323" i="13"/>
  <c r="S484" i="13"/>
  <c r="I87" i="13"/>
  <c r="BN186" i="13"/>
  <c r="AC106" i="13"/>
  <c r="AW479" i="13"/>
  <c r="BH278" i="13"/>
  <c r="BH38" i="13"/>
  <c r="T423" i="13"/>
  <c r="BS145" i="13"/>
  <c r="AU221" i="13"/>
  <c r="M496" i="13"/>
  <c r="H316" i="13"/>
  <c r="O334" i="13"/>
  <c r="AU487" i="13"/>
  <c r="BF259" i="13"/>
  <c r="AO486" i="13"/>
  <c r="BT189" i="13"/>
  <c r="AN226" i="13"/>
  <c r="AX386" i="13"/>
  <c r="BQ374" i="13"/>
  <c r="BV387" i="13"/>
  <c r="AM212" i="13"/>
  <c r="BS355" i="13"/>
  <c r="C296" i="13"/>
  <c r="R161" i="13"/>
  <c r="Q226" i="13"/>
  <c r="AI419" i="13"/>
  <c r="V461" i="13"/>
  <c r="AU267" i="13"/>
  <c r="BO233" i="13"/>
  <c r="BT285" i="13"/>
  <c r="BW271" i="13"/>
  <c r="AD224" i="13"/>
  <c r="C378" i="13"/>
  <c r="B290" i="13"/>
  <c r="BG302" i="13"/>
  <c r="BK424" i="13"/>
  <c r="BJ88" i="13"/>
  <c r="BG190" i="13"/>
  <c r="AI188" i="13"/>
  <c r="AE49" i="13"/>
  <c r="AF434" i="13"/>
  <c r="Y178" i="13"/>
  <c r="BU51" i="13"/>
  <c r="Z146" i="13"/>
  <c r="O367" i="13"/>
  <c r="BB475" i="13"/>
  <c r="AG466" i="13"/>
  <c r="U500" i="13"/>
  <c r="AJ297" i="13"/>
  <c r="D343" i="13"/>
  <c r="AZ264" i="13"/>
  <c r="BF315" i="13"/>
  <c r="I361" i="13"/>
  <c r="BE338" i="13"/>
  <c r="AU15" i="13"/>
  <c r="V216" i="13"/>
  <c r="BN399" i="13"/>
  <c r="AA323" i="13"/>
  <c r="AF436" i="13"/>
  <c r="BL90" i="13"/>
  <c r="BD144" i="13"/>
  <c r="AY397" i="13"/>
  <c r="G387" i="13"/>
  <c r="BP122" i="13"/>
  <c r="BT195" i="13"/>
  <c r="BA150" i="13"/>
  <c r="AB34" i="13"/>
  <c r="B166" i="13"/>
  <c r="AI487" i="13"/>
  <c r="AT173" i="13"/>
  <c r="U390" i="13"/>
  <c r="AH255" i="13"/>
  <c r="BO321" i="13"/>
  <c r="AN311" i="13"/>
  <c r="AJ373" i="13"/>
  <c r="AC11" i="13"/>
  <c r="P159" i="13"/>
  <c r="O451" i="13"/>
  <c r="AZ383" i="13"/>
  <c r="AF327" i="13"/>
  <c r="X133" i="13"/>
  <c r="BU144" i="13"/>
  <c r="BS128" i="13"/>
  <c r="C185" i="13"/>
  <c r="AY4" i="13"/>
  <c r="AT424" i="13"/>
  <c r="AY161" i="13"/>
  <c r="I143" i="13"/>
  <c r="I473" i="13"/>
  <c r="AE314" i="13"/>
  <c r="AW149" i="13"/>
  <c r="BQ22" i="13"/>
  <c r="V202" i="13"/>
  <c r="B252" i="13"/>
  <c r="AS181" i="13"/>
  <c r="AQ69" i="13"/>
  <c r="BV128" i="13"/>
  <c r="R488" i="13"/>
  <c r="AA154" i="13"/>
  <c r="AI300" i="13"/>
  <c r="BT480" i="13"/>
  <c r="K24" i="13"/>
  <c r="BD470" i="13"/>
  <c r="AI2" i="13"/>
  <c r="AR358" i="13"/>
  <c r="BV474" i="13"/>
  <c r="AH213" i="13"/>
  <c r="U148" i="13"/>
  <c r="BL127" i="13"/>
  <c r="AT202" i="13"/>
  <c r="BF262" i="13"/>
  <c r="A444" i="13"/>
  <c r="B274" i="13"/>
  <c r="AP400" i="13"/>
  <c r="BM175" i="13"/>
  <c r="AP15" i="13"/>
  <c r="AN396" i="13"/>
  <c r="AD485" i="13"/>
  <c r="BG395" i="13"/>
  <c r="AF367" i="13"/>
  <c r="BB192" i="13"/>
  <c r="AS47" i="13"/>
  <c r="AZ368" i="13"/>
  <c r="L119" i="13"/>
  <c r="Y47" i="13"/>
  <c r="BP172" i="13"/>
  <c r="E449" i="13"/>
  <c r="BV468" i="13"/>
  <c r="AQ470" i="13"/>
  <c r="Z385" i="13"/>
  <c r="AG82" i="13"/>
  <c r="BN159" i="13"/>
  <c r="AO349" i="13"/>
  <c r="AM277" i="13"/>
  <c r="AP176" i="13"/>
  <c r="AT342" i="13"/>
  <c r="BJ309" i="13"/>
  <c r="E164" i="13"/>
  <c r="BW245" i="13"/>
  <c r="U436" i="13"/>
  <c r="BM46" i="13"/>
  <c r="T495" i="13"/>
  <c r="P290" i="13"/>
  <c r="W162" i="13"/>
  <c r="BK436" i="13"/>
  <c r="E193" i="13"/>
  <c r="U59" i="13"/>
  <c r="AY174" i="13"/>
  <c r="G360" i="13"/>
  <c r="AZ333" i="13"/>
  <c r="B18" i="13"/>
  <c r="BO372" i="13"/>
  <c r="O263" i="13"/>
  <c r="G416" i="13"/>
  <c r="J84" i="13"/>
  <c r="D222" i="13"/>
  <c r="BK472" i="13"/>
  <c r="BP241" i="13"/>
  <c r="BG124" i="13"/>
  <c r="AL276" i="13"/>
  <c r="AL438" i="13"/>
  <c r="BI116" i="13"/>
  <c r="E363" i="13"/>
  <c r="AY36" i="13"/>
  <c r="A483" i="13"/>
  <c r="Y466" i="13"/>
  <c r="AF60" i="13"/>
  <c r="AB99" i="13"/>
  <c r="AI491" i="13"/>
  <c r="BG406" i="13"/>
  <c r="AN499" i="13"/>
  <c r="AG489" i="13"/>
  <c r="BU425" i="13"/>
  <c r="Q448" i="13"/>
  <c r="A210" i="13"/>
  <c r="BO66" i="13"/>
  <c r="BE10" i="13"/>
  <c r="BF439" i="13"/>
  <c r="AD338" i="13"/>
  <c r="T317" i="13"/>
  <c r="AM334" i="13"/>
  <c r="Y308" i="13"/>
  <c r="BW165" i="13"/>
  <c r="Y474" i="13"/>
  <c r="W41" i="13"/>
  <c r="AV387" i="13"/>
  <c r="X363" i="13"/>
  <c r="G429" i="13"/>
  <c r="J371" i="13"/>
  <c r="BM241" i="13"/>
  <c r="O414" i="13"/>
  <c r="BH337" i="13"/>
  <c r="W84" i="13"/>
  <c r="L369" i="13"/>
  <c r="AM426" i="13"/>
  <c r="AR246" i="13"/>
  <c r="AT92" i="13"/>
  <c r="BM463" i="13"/>
  <c r="AK360" i="13"/>
  <c r="F174" i="13"/>
  <c r="BL110" i="13"/>
  <c r="BH479" i="13"/>
  <c r="Q146" i="13"/>
  <c r="AO155" i="13"/>
  <c r="AL231" i="13"/>
  <c r="BE129" i="13"/>
  <c r="AE217" i="13"/>
  <c r="AK115" i="13"/>
  <c r="F94" i="13"/>
  <c r="BU376" i="13"/>
  <c r="V355" i="13"/>
  <c r="AJ325" i="13"/>
  <c r="BQ494" i="13"/>
  <c r="BA396" i="13"/>
  <c r="AX144" i="13"/>
  <c r="BJ45" i="13"/>
  <c r="BJ20" i="13"/>
  <c r="BC216" i="13"/>
  <c r="BM484" i="13"/>
  <c r="AC373" i="13"/>
  <c r="BO289" i="13"/>
  <c r="AF275" i="13"/>
  <c r="AF285" i="13"/>
  <c r="BL404" i="13"/>
  <c r="AB401" i="13"/>
  <c r="K273" i="13"/>
  <c r="AG206" i="13"/>
  <c r="H6" i="13"/>
  <c r="N308" i="13"/>
  <c r="L218" i="13"/>
  <c r="BR358" i="13"/>
  <c r="AB231" i="13"/>
  <c r="AO320" i="13"/>
  <c r="AM132" i="13"/>
  <c r="L393" i="13"/>
  <c r="BF442" i="13"/>
  <c r="BJ260" i="13"/>
  <c r="AV103" i="13"/>
  <c r="T26" i="13"/>
  <c r="V247" i="13"/>
  <c r="BS493" i="13"/>
  <c r="N103" i="13"/>
  <c r="Y257" i="13"/>
  <c r="BP410" i="13"/>
  <c r="BS339" i="13"/>
  <c r="P373" i="13"/>
  <c r="AI309" i="13"/>
  <c r="U234" i="13"/>
  <c r="Z70" i="13"/>
  <c r="AQ319" i="13"/>
  <c r="BI292" i="13"/>
  <c r="E234" i="13"/>
  <c r="H395" i="13"/>
  <c r="Z488" i="13"/>
  <c r="F458" i="13"/>
  <c r="AL366" i="13"/>
  <c r="AH396" i="13"/>
  <c r="BR490" i="13"/>
  <c r="K187" i="13"/>
  <c r="N79" i="13"/>
  <c r="F193" i="13"/>
  <c r="BB425" i="13"/>
  <c r="BP396" i="13"/>
  <c r="AH245" i="13"/>
  <c r="AT240" i="13"/>
  <c r="BK429" i="13"/>
  <c r="BS262" i="13"/>
  <c r="BP450" i="13"/>
  <c r="BB18" i="13"/>
  <c r="Q415" i="13"/>
  <c r="I39" i="13"/>
  <c r="R247" i="13"/>
  <c r="H391" i="13"/>
  <c r="BM217" i="13"/>
  <c r="L482" i="13"/>
  <c r="BH497" i="13"/>
  <c r="AE116" i="13"/>
  <c r="AZ171" i="13"/>
  <c r="Q414" i="13"/>
  <c r="AH168" i="13"/>
  <c r="AP274" i="13"/>
  <c r="AP464" i="13"/>
  <c r="V468" i="13"/>
  <c r="AZ480" i="13"/>
  <c r="Q73" i="13"/>
  <c r="BT180" i="13"/>
  <c r="AT495" i="13"/>
  <c r="N467" i="13"/>
  <c r="BV105" i="13"/>
  <c r="AU67" i="13"/>
  <c r="BB347" i="13"/>
  <c r="BF334" i="13"/>
  <c r="AD411" i="13"/>
  <c r="AT446" i="13"/>
  <c r="F312" i="13"/>
  <c r="AX196" i="13"/>
  <c r="W259" i="13"/>
  <c r="BP386" i="13"/>
  <c r="T183" i="13"/>
  <c r="AW407" i="13"/>
  <c r="Z382" i="13"/>
  <c r="X228" i="13"/>
  <c r="AG285" i="13"/>
  <c r="AE236" i="13"/>
  <c r="AK395" i="13"/>
  <c r="BF126" i="13"/>
  <c r="U442" i="13"/>
  <c r="AA128" i="13"/>
  <c r="BJ163" i="13"/>
  <c r="V376" i="13"/>
  <c r="G289" i="13"/>
  <c r="AL69" i="13"/>
  <c r="AD316" i="13"/>
  <c r="T392" i="13"/>
  <c r="F346" i="13"/>
  <c r="AO447" i="13"/>
  <c r="G247" i="13"/>
  <c r="BH403" i="13"/>
  <c r="T367" i="13"/>
  <c r="S286" i="13"/>
  <c r="R393" i="13"/>
  <c r="N420" i="13"/>
  <c r="AX298" i="13"/>
  <c r="N192" i="13"/>
  <c r="BA334" i="13"/>
  <c r="AF329" i="13"/>
  <c r="BT254" i="13"/>
  <c r="AD407" i="13"/>
  <c r="AB273" i="13"/>
  <c r="BE314" i="13"/>
  <c r="F478" i="13"/>
  <c r="AS139" i="13"/>
  <c r="AY479" i="13"/>
  <c r="V295" i="13"/>
  <c r="BL419" i="13"/>
  <c r="BE47" i="13"/>
  <c r="BI452" i="13"/>
  <c r="AX227" i="13"/>
  <c r="BQ5" i="13"/>
  <c r="BA380" i="13"/>
  <c r="AK161" i="13"/>
  <c r="BE116" i="13"/>
  <c r="Q339" i="13"/>
  <c r="B210" i="13"/>
  <c r="BU277" i="13"/>
  <c r="P61" i="13"/>
  <c r="K348" i="13"/>
  <c r="BS66" i="13"/>
  <c r="Z276" i="13"/>
  <c r="AK141" i="13"/>
  <c r="AU372" i="13"/>
  <c r="AS441" i="13"/>
  <c r="BU321" i="13"/>
  <c r="AR102" i="13"/>
  <c r="E414" i="13"/>
  <c r="X82" i="13"/>
  <c r="BW233" i="13"/>
  <c r="BP422" i="13"/>
  <c r="BO496" i="13"/>
  <c r="T396" i="13"/>
  <c r="F88" i="13"/>
  <c r="N318" i="13"/>
  <c r="N367" i="13"/>
  <c r="AV472" i="13"/>
  <c r="BA45" i="13"/>
  <c r="AZ47" i="13"/>
  <c r="AK295" i="13"/>
  <c r="BB323" i="13"/>
  <c r="O131" i="13"/>
  <c r="BV389" i="13"/>
  <c r="Z346" i="13"/>
  <c r="AN127" i="13"/>
  <c r="I470" i="13"/>
  <c r="BL470" i="13"/>
  <c r="AF295" i="13"/>
  <c r="BV457" i="13"/>
  <c r="Q328" i="13"/>
  <c r="BG207" i="13"/>
  <c r="AV332" i="13"/>
  <c r="M233" i="13"/>
  <c r="AF368" i="13"/>
  <c r="AT356" i="13"/>
  <c r="BC66" i="13"/>
  <c r="BW127" i="13"/>
  <c r="M219" i="13"/>
  <c r="AH259" i="13"/>
  <c r="W266" i="13"/>
  <c r="BL141" i="13"/>
  <c r="C308" i="13"/>
  <c r="R167" i="13"/>
  <c r="BR91" i="13"/>
  <c r="BF261" i="13"/>
  <c r="AG69" i="13"/>
  <c r="A248" i="13"/>
  <c r="G61" i="13"/>
  <c r="AQ18" i="13"/>
  <c r="AB372" i="13"/>
  <c r="R359" i="13"/>
  <c r="Z459" i="13"/>
  <c r="Y287" i="13"/>
  <c r="AY245" i="13"/>
  <c r="AB298" i="13"/>
  <c r="BB160" i="13"/>
  <c r="AE344" i="13"/>
  <c r="I125" i="13"/>
  <c r="D289" i="13"/>
  <c r="AB385" i="13"/>
  <c r="P236" i="13"/>
  <c r="K438" i="13"/>
  <c r="D237" i="13"/>
  <c r="AT273" i="13"/>
  <c r="BH339" i="13"/>
  <c r="AJ489" i="13"/>
  <c r="BN420" i="13"/>
  <c r="AA96" i="13"/>
  <c r="K8" i="13"/>
  <c r="AH424" i="13"/>
  <c r="X275" i="13"/>
  <c r="BP27" i="13"/>
  <c r="AF190" i="13"/>
  <c r="AG132" i="13"/>
  <c r="AR467" i="13"/>
  <c r="BG353" i="13"/>
  <c r="AK436" i="13"/>
  <c r="G147" i="13"/>
  <c r="F163" i="13"/>
  <c r="AO369" i="13"/>
  <c r="BT499" i="13"/>
  <c r="AT404" i="13"/>
  <c r="U174" i="13"/>
  <c r="BU121" i="13"/>
  <c r="AF226" i="13"/>
  <c r="T451" i="13"/>
  <c r="O489" i="13"/>
  <c r="F454" i="13"/>
  <c r="BB448" i="13"/>
  <c r="O385" i="13"/>
  <c r="BI497" i="13"/>
  <c r="AW229" i="13"/>
  <c r="AS341" i="13"/>
  <c r="BH234" i="13"/>
  <c r="W115" i="13"/>
  <c r="BF96" i="13"/>
  <c r="AA329" i="13"/>
  <c r="AV432" i="13"/>
  <c r="I64" i="13"/>
  <c r="D275" i="13"/>
  <c r="BT460" i="13"/>
  <c r="AY192" i="13"/>
  <c r="AR477" i="13"/>
  <c r="V443" i="13"/>
  <c r="AJ496" i="13"/>
  <c r="J44" i="13"/>
  <c r="AS120" i="13"/>
  <c r="AQ387" i="13"/>
  <c r="T411" i="13"/>
  <c r="BD163" i="13"/>
  <c r="AB28" i="13"/>
  <c r="AS172" i="13"/>
  <c r="AQ165" i="13"/>
  <c r="AS465" i="13"/>
  <c r="F444" i="13"/>
  <c r="AU118" i="13"/>
  <c r="BK135" i="13"/>
  <c r="BT268" i="13"/>
  <c r="I311" i="13"/>
  <c r="BF258" i="13"/>
  <c r="BI410" i="13"/>
  <c r="Z95" i="13"/>
  <c r="AE324" i="13"/>
  <c r="Y15" i="13"/>
  <c r="AP93" i="13"/>
  <c r="AT367" i="13"/>
  <c r="Q179" i="13"/>
  <c r="K37" i="13"/>
  <c r="S478" i="13"/>
  <c r="H245" i="13"/>
  <c r="BQ80" i="13"/>
  <c r="AN367" i="13"/>
  <c r="N415" i="13"/>
  <c r="U297" i="13"/>
  <c r="BM306" i="13"/>
  <c r="BA493" i="13"/>
  <c r="BT191" i="13"/>
  <c r="Q475" i="13"/>
  <c r="BK153" i="13"/>
  <c r="AB124" i="13"/>
  <c r="BF48" i="13"/>
  <c r="BW263" i="13"/>
  <c r="D390" i="13"/>
  <c r="AI273" i="13"/>
  <c r="M246" i="13"/>
  <c r="BM155" i="13"/>
  <c r="C255" i="13"/>
  <c r="A245" i="13"/>
  <c r="BC319" i="13"/>
  <c r="I408" i="13"/>
  <c r="BE329" i="13"/>
  <c r="P446" i="13"/>
  <c r="AJ402" i="13"/>
  <c r="C379" i="13"/>
  <c r="BG169" i="13"/>
  <c r="AX454" i="13"/>
  <c r="AH385" i="13"/>
  <c r="AK470" i="13"/>
  <c r="BO48" i="13"/>
  <c r="AX398" i="13"/>
  <c r="O160" i="13"/>
  <c r="M461" i="13"/>
  <c r="AL251" i="13"/>
  <c r="BO397" i="13"/>
  <c r="T500" i="13"/>
  <c r="I481" i="13"/>
  <c r="G203" i="13"/>
  <c r="Y289" i="13"/>
  <c r="AL348" i="13"/>
  <c r="AV275" i="13"/>
  <c r="BA129" i="13"/>
  <c r="AL308" i="13"/>
  <c r="K435" i="13"/>
  <c r="T170" i="13"/>
  <c r="I146" i="13"/>
  <c r="AV385" i="13"/>
  <c r="AI324" i="13"/>
  <c r="BW158" i="13"/>
  <c r="AZ118" i="13"/>
  <c r="P405" i="13"/>
  <c r="W28" i="13"/>
  <c r="Y482" i="13"/>
  <c r="AJ311" i="13"/>
  <c r="AI102" i="13"/>
  <c r="AV297" i="13"/>
  <c r="Z230" i="13"/>
  <c r="AX482" i="13"/>
  <c r="G402" i="13"/>
  <c r="AL480" i="13"/>
  <c r="BH248" i="13"/>
  <c r="BD191" i="13"/>
  <c r="AG377" i="13"/>
  <c r="B245" i="13"/>
  <c r="J257" i="13"/>
  <c r="AN382" i="13"/>
  <c r="L237" i="13"/>
  <c r="X249" i="13"/>
  <c r="BO227" i="13"/>
  <c r="BV467" i="13"/>
  <c r="AT403" i="13"/>
  <c r="Q417" i="13"/>
  <c r="C411" i="13"/>
  <c r="AW481" i="13"/>
  <c r="X219" i="13"/>
  <c r="AD8" i="13"/>
  <c r="AQ45" i="13"/>
  <c r="K353" i="13"/>
  <c r="AY290" i="13"/>
  <c r="AA426" i="13"/>
  <c r="BT408" i="13"/>
  <c r="BU468" i="13"/>
  <c r="AS387" i="13"/>
  <c r="S131" i="13"/>
  <c r="AF433" i="13"/>
  <c r="AS108" i="13"/>
  <c r="BN228" i="13"/>
  <c r="X289" i="13"/>
  <c r="AC230" i="13"/>
  <c r="BM417" i="13"/>
  <c r="O361" i="13"/>
  <c r="AE79" i="13"/>
  <c r="Q327" i="13"/>
  <c r="AZ457" i="13"/>
  <c r="G473" i="13"/>
  <c r="H482" i="13"/>
  <c r="BK66" i="13"/>
  <c r="AA373" i="13"/>
  <c r="BF428" i="13"/>
  <c r="O423" i="13"/>
  <c r="U341" i="13"/>
  <c r="T385" i="13"/>
  <c r="L489" i="13"/>
  <c r="AO356" i="13"/>
  <c r="AN120" i="13"/>
  <c r="BQ156" i="13"/>
  <c r="AZ495" i="13"/>
  <c r="AZ193" i="13"/>
  <c r="U70" i="13"/>
  <c r="AP24" i="13"/>
  <c r="BH34" i="13"/>
  <c r="AX106" i="13"/>
  <c r="BF236" i="13"/>
  <c r="AR390" i="13"/>
  <c r="AB451" i="13"/>
  <c r="N380" i="13"/>
  <c r="S334" i="13"/>
  <c r="O474" i="13"/>
  <c r="Q30" i="13"/>
  <c r="W198" i="13"/>
  <c r="T458" i="13"/>
  <c r="U304" i="13"/>
  <c r="AG300" i="13"/>
  <c r="G179" i="13"/>
  <c r="AB402" i="13"/>
  <c r="AX153" i="13"/>
  <c r="O213" i="13"/>
  <c r="BC344" i="13"/>
  <c r="AH229" i="13"/>
  <c r="BV401" i="13"/>
  <c r="AV124" i="13"/>
  <c r="N286" i="13"/>
  <c r="BB340" i="13"/>
  <c r="AK237" i="13"/>
  <c r="BC4" i="13"/>
  <c r="AE352" i="13"/>
  <c r="BA201" i="13"/>
  <c r="A468" i="13"/>
  <c r="BM336" i="13"/>
  <c r="BK129" i="13"/>
  <c r="Z470" i="13"/>
  <c r="X114" i="13"/>
  <c r="AH501" i="13"/>
  <c r="A237" i="13"/>
  <c r="BR410" i="13"/>
  <c r="BH130" i="13"/>
  <c r="U209" i="13"/>
  <c r="AN473" i="13"/>
  <c r="BD433" i="13"/>
  <c r="W279" i="13"/>
  <c r="I24" i="13"/>
  <c r="AU477" i="13"/>
  <c r="Y400" i="13"/>
  <c r="AX72" i="13"/>
  <c r="BI427" i="13"/>
  <c r="U290" i="13"/>
  <c r="N75" i="13"/>
  <c r="AK440" i="13"/>
  <c r="A321" i="13"/>
  <c r="BB254" i="13"/>
  <c r="AC362" i="13"/>
  <c r="AP32" i="13"/>
  <c r="AN76" i="13"/>
  <c r="BQ291" i="13"/>
  <c r="BD164" i="13"/>
  <c r="BW261" i="13"/>
  <c r="AU334" i="13"/>
  <c r="BI461" i="13"/>
  <c r="N335" i="13"/>
  <c r="BR296" i="13"/>
  <c r="BL25" i="13"/>
  <c r="AY287" i="13"/>
  <c r="BA181" i="13"/>
  <c r="C457" i="13"/>
  <c r="Y320" i="13"/>
  <c r="AA269" i="13"/>
  <c r="U260" i="13"/>
  <c r="Z436" i="13"/>
  <c r="J500" i="13"/>
  <c r="BH442" i="13"/>
  <c r="BE208" i="13"/>
  <c r="BT474" i="13"/>
  <c r="T189" i="13"/>
  <c r="D24" i="13"/>
  <c r="AI356" i="13"/>
  <c r="V6" i="13"/>
  <c r="BP380" i="13"/>
  <c r="AB81" i="13"/>
  <c r="AZ184" i="13"/>
  <c r="AV457" i="13"/>
  <c r="R383" i="13"/>
  <c r="E197" i="13"/>
  <c r="L220" i="13"/>
  <c r="AP381" i="13"/>
  <c r="BG384" i="13"/>
  <c r="AT486" i="13"/>
  <c r="AT448" i="13"/>
  <c r="AV368" i="13"/>
  <c r="L361" i="13"/>
  <c r="K270" i="13"/>
  <c r="AS87" i="13"/>
  <c r="BS107" i="13"/>
  <c r="AM321" i="13"/>
  <c r="BU360" i="13"/>
  <c r="AH375" i="13"/>
  <c r="A103" i="13"/>
  <c r="P152" i="13"/>
  <c r="AM416" i="13"/>
  <c r="AV281" i="13"/>
  <c r="N236" i="13"/>
  <c r="AM251" i="13"/>
  <c r="R1" i="13"/>
  <c r="G163" i="13"/>
  <c r="X321" i="13"/>
  <c r="I340" i="13"/>
  <c r="AO464" i="13"/>
  <c r="H435" i="13"/>
  <c r="M220" i="13"/>
  <c r="Q70" i="13"/>
  <c r="U242" i="13"/>
  <c r="BL446" i="13"/>
  <c r="BD439" i="13"/>
  <c r="BT260" i="13"/>
  <c r="AQ294" i="13"/>
  <c r="AS380" i="13"/>
  <c r="BE172" i="13"/>
  <c r="R422" i="13"/>
  <c r="AI388" i="13"/>
  <c r="AR498" i="13"/>
  <c r="BJ414" i="13"/>
  <c r="V298" i="13"/>
  <c r="AJ442" i="13"/>
  <c r="AX100" i="13"/>
  <c r="V426" i="13"/>
  <c r="AX312" i="13"/>
  <c r="BP351" i="13"/>
  <c r="Q322" i="13"/>
  <c r="BC411" i="13"/>
  <c r="G315" i="13"/>
  <c r="S282" i="13"/>
  <c r="D465" i="13"/>
  <c r="R182" i="13"/>
  <c r="Y463" i="13"/>
  <c r="M320" i="13"/>
  <c r="AY226" i="13"/>
  <c r="BC147" i="13"/>
  <c r="AI484" i="13"/>
  <c r="B61" i="13"/>
  <c r="AM236" i="13"/>
  <c r="BF56" i="13"/>
  <c r="AJ259" i="13"/>
  <c r="J297" i="13"/>
  <c r="AE392" i="13"/>
  <c r="Q439" i="13"/>
  <c r="BK252" i="13"/>
  <c r="AB305" i="13"/>
  <c r="BE222" i="13"/>
  <c r="D348" i="13"/>
  <c r="Z238" i="13"/>
  <c r="BN191" i="13"/>
  <c r="BJ232" i="13"/>
  <c r="Y340" i="13"/>
  <c r="AR370" i="13"/>
  <c r="AS474" i="13"/>
  <c r="AF369" i="13"/>
  <c r="AS362" i="13"/>
  <c r="AC42" i="13"/>
  <c r="BP233" i="13"/>
  <c r="AG436" i="13"/>
  <c r="BV437" i="13"/>
  <c r="BM380" i="13"/>
  <c r="C324" i="13"/>
  <c r="BM66" i="13"/>
  <c r="AX120" i="13"/>
  <c r="AC483" i="13"/>
  <c r="B186" i="13"/>
  <c r="P4" i="13"/>
  <c r="BN387" i="13"/>
  <c r="BQ324" i="13"/>
  <c r="Z132" i="13"/>
  <c r="BN132" i="13"/>
  <c r="L200" i="13"/>
  <c r="E458" i="13"/>
  <c r="AX268" i="13"/>
  <c r="A381" i="13"/>
  <c r="BI306" i="13"/>
  <c r="BD4" i="13"/>
  <c r="E484" i="13"/>
  <c r="N152" i="13"/>
  <c r="L478" i="13"/>
  <c r="O311" i="13"/>
  <c r="W128" i="13"/>
  <c r="AE421" i="13"/>
  <c r="S22" i="13"/>
  <c r="AQ424" i="13"/>
  <c r="P181" i="13"/>
  <c r="J427" i="13"/>
  <c r="AO271" i="13"/>
  <c r="AP388" i="13"/>
  <c r="Q302" i="13"/>
  <c r="Q447" i="13"/>
  <c r="V152" i="13"/>
  <c r="AK327" i="13"/>
  <c r="AE147" i="13"/>
  <c r="BJ36" i="13"/>
  <c r="AS495" i="13"/>
  <c r="AM43" i="13"/>
  <c r="BD225" i="13"/>
  <c r="B455" i="13"/>
  <c r="G173" i="13"/>
  <c r="AK398" i="13"/>
  <c r="A501" i="13"/>
  <c r="G151" i="13"/>
  <c r="AZ292" i="13"/>
  <c r="T255" i="13"/>
  <c r="AI240" i="13"/>
  <c r="E394" i="13"/>
  <c r="U493" i="13"/>
  <c r="BL330" i="13"/>
  <c r="AK198" i="13"/>
  <c r="BV222" i="13"/>
  <c r="BJ287" i="13"/>
  <c r="BU202" i="13"/>
  <c r="P483" i="13"/>
  <c r="V278" i="13"/>
  <c r="BW368" i="13"/>
  <c r="I453" i="13"/>
  <c r="BR345" i="13"/>
  <c r="J322" i="13"/>
  <c r="BE386" i="13"/>
  <c r="V158" i="13"/>
  <c r="H470" i="13"/>
  <c r="BS172" i="13"/>
  <c r="BU495" i="13"/>
  <c r="I193" i="13"/>
  <c r="AF500" i="13"/>
  <c r="BI487" i="13"/>
  <c r="AT8" i="13"/>
  <c r="P261" i="13"/>
  <c r="AR273" i="13"/>
  <c r="AF208" i="13"/>
  <c r="AO195" i="13"/>
  <c r="C126" i="13"/>
  <c r="AS220" i="13"/>
  <c r="BK438" i="13"/>
  <c r="BF294" i="13"/>
  <c r="AI186" i="13"/>
  <c r="BS179" i="13"/>
  <c r="S494" i="13"/>
  <c r="BT307" i="13"/>
  <c r="BV460" i="13"/>
  <c r="BA65" i="13"/>
  <c r="BO116" i="13"/>
  <c r="T219" i="13"/>
  <c r="AO270" i="13"/>
  <c r="BC226" i="13"/>
  <c r="D256" i="13"/>
  <c r="AC312" i="13"/>
  <c r="AZ483" i="13"/>
  <c r="BA446" i="13"/>
  <c r="W416" i="13"/>
  <c r="BB111" i="13"/>
  <c r="BD212" i="13"/>
  <c r="AM11" i="13"/>
  <c r="AK205" i="13"/>
  <c r="AN379" i="13"/>
  <c r="BW294" i="13"/>
  <c r="AU414" i="13"/>
  <c r="J473" i="13"/>
  <c r="AF451" i="13"/>
  <c r="BN394" i="13"/>
  <c r="AW493" i="13"/>
  <c r="Q367" i="13"/>
  <c r="BL27" i="13"/>
  <c r="BK486" i="13"/>
  <c r="BD273" i="13"/>
  <c r="AX485" i="13"/>
  <c r="AY422" i="13"/>
  <c r="AQ447" i="13"/>
  <c r="G108" i="13"/>
  <c r="K358" i="13"/>
  <c r="M118" i="13"/>
  <c r="D207" i="13"/>
  <c r="BW382" i="13"/>
  <c r="AZ448" i="13"/>
  <c r="A234" i="13"/>
  <c r="N358" i="13"/>
  <c r="Y183" i="13"/>
  <c r="W271" i="13"/>
  <c r="AA439" i="13"/>
  <c r="BN266" i="13"/>
  <c r="AC139" i="13"/>
  <c r="BM438" i="13"/>
  <c r="AJ314" i="13"/>
  <c r="BM414" i="13"/>
  <c r="AH402" i="13"/>
  <c r="AW52" i="13"/>
  <c r="Z174" i="13"/>
  <c r="L338" i="13"/>
  <c r="AD299" i="13"/>
  <c r="AK401" i="13"/>
  <c r="BT387" i="13"/>
  <c r="G134" i="13"/>
  <c r="BQ28" i="13"/>
  <c r="J57" i="13"/>
  <c r="BD299" i="13"/>
  <c r="P185" i="13"/>
  <c r="N442" i="13"/>
  <c r="AX465" i="13"/>
  <c r="F372" i="13"/>
  <c r="BR320" i="13"/>
  <c r="M462" i="13"/>
  <c r="BF269" i="13"/>
  <c r="Z85" i="13"/>
  <c r="BM104" i="13"/>
  <c r="K231" i="13"/>
  <c r="M278" i="13"/>
  <c r="F16" i="13"/>
  <c r="N431" i="13"/>
  <c r="L51" i="13"/>
  <c r="BO199" i="13"/>
  <c r="B224" i="13"/>
  <c r="BJ349" i="13"/>
  <c r="V159" i="13"/>
  <c r="AW415" i="13"/>
  <c r="M121" i="13"/>
  <c r="AC73" i="13"/>
  <c r="AL146" i="13"/>
  <c r="W251" i="13"/>
  <c r="BB404" i="13"/>
  <c r="BG52" i="13"/>
  <c r="R8" i="13"/>
  <c r="L414" i="13"/>
  <c r="BQ492" i="13"/>
  <c r="AW71" i="13"/>
  <c r="Q107" i="13"/>
  <c r="BU52" i="13"/>
  <c r="U137" i="13"/>
  <c r="BK232" i="13"/>
  <c r="Q118" i="13"/>
  <c r="AF424" i="13"/>
  <c r="O235" i="13"/>
  <c r="BQ496" i="13"/>
  <c r="BL301" i="13"/>
  <c r="A300" i="13"/>
  <c r="AM378" i="13"/>
  <c r="AB72" i="13"/>
  <c r="AJ473" i="13"/>
  <c r="E362" i="13"/>
  <c r="BR213" i="13"/>
  <c r="Z419" i="13"/>
  <c r="Z293" i="13"/>
  <c r="AX384" i="13"/>
  <c r="BB175" i="13"/>
  <c r="X267" i="13"/>
  <c r="BK295" i="13"/>
  <c r="U333" i="13"/>
  <c r="BI432" i="13"/>
  <c r="AD191" i="13"/>
  <c r="BI323" i="13"/>
  <c r="BL477" i="13"/>
  <c r="AV189" i="13"/>
  <c r="Y498" i="13"/>
  <c r="AV345" i="13"/>
  <c r="AV181" i="13"/>
  <c r="BD406" i="13"/>
  <c r="AQ263" i="13"/>
  <c r="AE378" i="13"/>
  <c r="AT122" i="13"/>
  <c r="AW380" i="13"/>
  <c r="BA217" i="13"/>
  <c r="AT133" i="13"/>
  <c r="AP494" i="13"/>
  <c r="AM294" i="13"/>
  <c r="BM245" i="13"/>
  <c r="BL315" i="13"/>
  <c r="AY195" i="13"/>
  <c r="BQ385" i="13"/>
  <c r="BV499" i="13"/>
  <c r="M406" i="13"/>
  <c r="H491" i="13"/>
  <c r="AP425" i="13"/>
  <c r="AV8" i="13"/>
  <c r="AZ466" i="13"/>
  <c r="BN471" i="13"/>
  <c r="AY102" i="13"/>
  <c r="H173" i="13"/>
  <c r="AS253" i="13"/>
  <c r="AT500" i="13"/>
  <c r="AS1" i="13"/>
  <c r="AS485" i="13"/>
  <c r="X170" i="13"/>
  <c r="AW499" i="13"/>
  <c r="AX371" i="13"/>
  <c r="BR388" i="13"/>
  <c r="AO102" i="13"/>
  <c r="AN125" i="13"/>
  <c r="AR263" i="13"/>
  <c r="BP329" i="13"/>
  <c r="AB490" i="13"/>
  <c r="AA271" i="13"/>
  <c r="R109" i="13"/>
  <c r="J160" i="13"/>
  <c r="AW338" i="13"/>
  <c r="BQ15" i="13"/>
  <c r="BE429" i="13"/>
  <c r="AP68" i="13"/>
  <c r="Y405" i="13"/>
  <c r="W150" i="13"/>
  <c r="BP316" i="13"/>
  <c r="AW249" i="13"/>
  <c r="AJ334" i="13"/>
  <c r="BA22" i="13"/>
  <c r="BF178" i="13"/>
  <c r="P400" i="13"/>
  <c r="I303" i="13"/>
  <c r="BL425" i="13"/>
  <c r="BI284" i="13"/>
  <c r="L472" i="13"/>
  <c r="BG467" i="13"/>
  <c r="BO462" i="13"/>
  <c r="AL220" i="13"/>
  <c r="BP110" i="13"/>
  <c r="AG110" i="13"/>
  <c r="AS285" i="13"/>
  <c r="BT415" i="13"/>
  <c r="BV178" i="13"/>
  <c r="AR175" i="13"/>
  <c r="BK428" i="13"/>
  <c r="BM142" i="13"/>
  <c r="C452" i="13"/>
  <c r="BA141" i="13"/>
  <c r="V388" i="13"/>
  <c r="Y305" i="13"/>
  <c r="BW441" i="13"/>
  <c r="U18" i="13"/>
  <c r="AG259" i="13"/>
  <c r="BC198" i="13"/>
  <c r="BG257" i="13"/>
  <c r="U406" i="13"/>
  <c r="BW480" i="13"/>
  <c r="BU380" i="13"/>
  <c r="AO35" i="13"/>
  <c r="G165" i="13"/>
  <c r="BM357" i="13"/>
  <c r="BO224" i="13"/>
  <c r="AI306" i="13"/>
  <c r="BM498" i="13"/>
  <c r="BM186" i="13"/>
  <c r="BH298" i="13"/>
  <c r="BS6" i="13"/>
  <c r="BC70" i="13"/>
  <c r="H431" i="13"/>
  <c r="BP403" i="13"/>
  <c r="AO239" i="13"/>
  <c r="AU167" i="13"/>
  <c r="Z6" i="13"/>
  <c r="BL55" i="13"/>
  <c r="K394" i="13"/>
  <c r="BF448" i="13"/>
  <c r="AS135" i="13"/>
  <c r="BV438" i="13"/>
  <c r="AQ482" i="13"/>
  <c r="W462" i="13"/>
  <c r="BO443" i="13"/>
  <c r="AD354" i="13"/>
  <c r="H336" i="13"/>
  <c r="BB407" i="13"/>
  <c r="Q303" i="13"/>
  <c r="BS371" i="13"/>
  <c r="I483" i="13"/>
  <c r="BA246" i="13"/>
  <c r="C188" i="13"/>
  <c r="G59" i="13"/>
  <c r="AY317" i="13"/>
  <c r="BD121" i="13"/>
  <c r="AW367" i="13"/>
  <c r="AO448" i="13"/>
  <c r="BQ23" i="13"/>
  <c r="AP103" i="13"/>
  <c r="BJ189" i="13"/>
  <c r="BE171" i="13"/>
  <c r="BG12" i="13"/>
  <c r="B302" i="13"/>
  <c r="AJ285" i="13"/>
  <c r="D346" i="13"/>
  <c r="N331" i="13"/>
  <c r="M131" i="13"/>
  <c r="BU53" i="13"/>
  <c r="AE334" i="13"/>
  <c r="AF322" i="13"/>
  <c r="AP465" i="13"/>
  <c r="BS322" i="13"/>
  <c r="AD480" i="13"/>
  <c r="AP477" i="13"/>
  <c r="AR332" i="13"/>
  <c r="AE415" i="13"/>
  <c r="BJ372" i="13"/>
  <c r="BN280" i="13"/>
  <c r="BP188" i="13"/>
  <c r="AZ384" i="13"/>
  <c r="S10" i="13"/>
  <c r="C375" i="13"/>
  <c r="AC490" i="13"/>
  <c r="BQ206" i="13"/>
  <c r="D493" i="13"/>
  <c r="AM256" i="13"/>
  <c r="D172" i="13"/>
  <c r="AB136" i="13"/>
  <c r="BB436" i="13"/>
  <c r="BP5" i="13"/>
  <c r="BC199" i="13"/>
  <c r="AA287" i="13"/>
  <c r="BP467" i="13"/>
  <c r="AL314" i="13"/>
  <c r="A478" i="13"/>
  <c r="E18" i="13"/>
  <c r="BS84" i="13"/>
  <c r="AK397" i="13"/>
  <c r="AH352" i="13"/>
  <c r="AZ269" i="13"/>
  <c r="S4" i="13"/>
  <c r="BG162" i="13"/>
  <c r="BB271" i="13"/>
  <c r="AG281" i="13"/>
  <c r="F151" i="13"/>
  <c r="J301" i="13"/>
  <c r="BR2" i="13"/>
  <c r="BH307" i="13"/>
  <c r="AB494" i="13"/>
  <c r="AN440" i="13"/>
  <c r="BO465" i="13"/>
  <c r="BN240" i="13"/>
  <c r="G499" i="13"/>
  <c r="BS348" i="13"/>
  <c r="B330" i="13"/>
  <c r="J475" i="13"/>
  <c r="BS241" i="13"/>
  <c r="BJ249" i="13"/>
  <c r="BD357" i="13"/>
  <c r="AO478" i="13"/>
  <c r="R12" i="13"/>
  <c r="AC482" i="13"/>
  <c r="BN108" i="13"/>
  <c r="X316" i="13"/>
  <c r="AP226" i="13"/>
  <c r="AN207" i="13"/>
  <c r="AS147" i="13"/>
  <c r="BE194" i="13"/>
  <c r="AJ490" i="13"/>
  <c r="L173" i="13"/>
  <c r="F447" i="13"/>
  <c r="BP75" i="13"/>
  <c r="AH344" i="13"/>
  <c r="AW429" i="13"/>
  <c r="X211" i="13"/>
  <c r="AO468" i="13"/>
  <c r="F487" i="13"/>
  <c r="BU282" i="13"/>
  <c r="BL483" i="13"/>
  <c r="AY415" i="13"/>
  <c r="AO294" i="13"/>
  <c r="D12" i="13"/>
  <c r="BN255" i="13"/>
  <c r="AU234" i="13"/>
  <c r="BT448" i="13"/>
  <c r="BH461" i="13"/>
  <c r="T25" i="13"/>
  <c r="F435" i="13"/>
  <c r="BS329" i="13"/>
  <c r="K494" i="13"/>
  <c r="AW372" i="13"/>
  <c r="AF315" i="13"/>
  <c r="AV95" i="13"/>
  <c r="Z52" i="13"/>
  <c r="F384" i="13"/>
  <c r="U252" i="13"/>
  <c r="AV25" i="13"/>
  <c r="C464" i="13"/>
  <c r="BR486" i="13"/>
  <c r="E180" i="13"/>
  <c r="C125" i="13"/>
  <c r="BF308" i="13"/>
  <c r="BV40" i="13"/>
  <c r="O397" i="13"/>
  <c r="BA146" i="13"/>
  <c r="BR211" i="13"/>
  <c r="W110" i="13"/>
  <c r="AQ28" i="13"/>
  <c r="U246" i="13"/>
  <c r="AV277" i="13"/>
  <c r="AV200" i="13"/>
  <c r="AI410" i="13"/>
  <c r="F216" i="13"/>
  <c r="BV23" i="13"/>
  <c r="AC53" i="13"/>
  <c r="BB409" i="13"/>
  <c r="BU265" i="13"/>
  <c r="D297" i="13"/>
  <c r="U396" i="13"/>
  <c r="X494" i="13"/>
  <c r="BJ297" i="13"/>
  <c r="AJ403" i="13"/>
  <c r="BI242" i="13"/>
  <c r="F439" i="13"/>
  <c r="AY106" i="13"/>
  <c r="BB9" i="13"/>
  <c r="G383" i="13"/>
  <c r="AZ302" i="13"/>
  <c r="BA328" i="13"/>
  <c r="BA235" i="13"/>
  <c r="AJ356" i="13"/>
  <c r="O296" i="13"/>
  <c r="M492" i="13"/>
  <c r="BV321" i="13"/>
  <c r="AB131" i="13"/>
  <c r="F405" i="13"/>
  <c r="AV81" i="13"/>
  <c r="AF335" i="13"/>
  <c r="AT189" i="13"/>
  <c r="AS171" i="13"/>
  <c r="BT324" i="13"/>
  <c r="AM38" i="13"/>
  <c r="AE353" i="13"/>
  <c r="AO121" i="13"/>
  <c r="AY432" i="13"/>
  <c r="AO213" i="13"/>
  <c r="AB164" i="13"/>
  <c r="BW437" i="13"/>
  <c r="A240" i="13"/>
  <c r="D217" i="13"/>
  <c r="W429" i="13"/>
  <c r="BG469" i="13"/>
  <c r="BA495" i="13"/>
  <c r="X265" i="13"/>
  <c r="AC169" i="13"/>
  <c r="E267" i="13"/>
  <c r="T77" i="13"/>
  <c r="BP319" i="13"/>
  <c r="AB252" i="13"/>
  <c r="U64" i="13"/>
  <c r="AD464" i="13"/>
  <c r="AB418" i="13"/>
  <c r="S359" i="13"/>
  <c r="AK416" i="13"/>
  <c r="AI382" i="13"/>
  <c r="AQ135" i="13"/>
  <c r="BQ251" i="13"/>
  <c r="BR385" i="13"/>
  <c r="BT393" i="13"/>
  <c r="AE384" i="13"/>
  <c r="AH34" i="13"/>
  <c r="BR182" i="13"/>
  <c r="C390" i="13"/>
  <c r="D457" i="13"/>
  <c r="L460" i="13"/>
  <c r="F373" i="13"/>
  <c r="A382" i="13"/>
  <c r="AA365" i="13"/>
  <c r="L479" i="13"/>
  <c r="AP215" i="13"/>
  <c r="AY331" i="13"/>
  <c r="AI440" i="13"/>
  <c r="AF225" i="13"/>
  <c r="AG479" i="13"/>
  <c r="AC326" i="13"/>
  <c r="C170" i="13"/>
  <c r="U236" i="13"/>
  <c r="AO252" i="13"/>
  <c r="BG386" i="13"/>
  <c r="AH254" i="13"/>
  <c r="AE290" i="13"/>
  <c r="AQ491" i="13"/>
  <c r="AC333" i="13"/>
  <c r="U288" i="13"/>
  <c r="A221" i="13"/>
  <c r="AE267" i="13"/>
  <c r="AS174" i="13"/>
  <c r="BA410" i="13"/>
  <c r="B197" i="13"/>
  <c r="BR241" i="13"/>
  <c r="AJ440" i="13"/>
  <c r="BT366" i="13"/>
  <c r="BJ109" i="13"/>
  <c r="Q397" i="13"/>
  <c r="K442" i="13"/>
  <c r="H488" i="13"/>
  <c r="M425" i="13"/>
  <c r="AH39" i="13"/>
  <c r="BQ454" i="13"/>
  <c r="BQ268" i="13"/>
  <c r="BT418" i="13"/>
  <c r="BU250" i="13"/>
  <c r="N377" i="13"/>
  <c r="E493" i="13"/>
  <c r="AT220" i="13"/>
  <c r="AV498" i="13"/>
  <c r="BF151" i="13"/>
  <c r="D322" i="13"/>
  <c r="AR253" i="13"/>
  <c r="AM322" i="13"/>
  <c r="O253" i="13"/>
  <c r="BJ168" i="13"/>
  <c r="V425" i="13"/>
  <c r="AS223" i="13"/>
  <c r="BS149" i="13"/>
  <c r="F475" i="13"/>
  <c r="Z11" i="13"/>
  <c r="AS307" i="13"/>
  <c r="BR256" i="13"/>
  <c r="K289" i="13"/>
  <c r="R350" i="13"/>
  <c r="AP439" i="13"/>
  <c r="BK134" i="13"/>
  <c r="BO407" i="13"/>
  <c r="AX392" i="13"/>
  <c r="BM183" i="13"/>
  <c r="AC491" i="13"/>
  <c r="AB137" i="13"/>
  <c r="AY298" i="13"/>
  <c r="AM146" i="13"/>
  <c r="AE396" i="13"/>
  <c r="BR472" i="13"/>
  <c r="AE451" i="13"/>
  <c r="AB89" i="13"/>
  <c r="Z14" i="13"/>
  <c r="Q429" i="13"/>
  <c r="N469" i="13"/>
  <c r="C406" i="13"/>
  <c r="BF327" i="13"/>
  <c r="BR368" i="13"/>
  <c r="AV247" i="13"/>
  <c r="N327" i="13"/>
  <c r="BJ216" i="13"/>
  <c r="K49" i="13"/>
  <c r="AH165" i="13"/>
  <c r="BF376" i="13"/>
  <c r="AN347" i="13"/>
  <c r="U40" i="13"/>
  <c r="BB290" i="13"/>
  <c r="G26" i="13"/>
  <c r="E230" i="13"/>
  <c r="AN269" i="13"/>
  <c r="AV207" i="13"/>
  <c r="U454" i="13"/>
  <c r="AG222" i="13"/>
  <c r="BC230" i="13"/>
  <c r="AV487" i="13"/>
  <c r="D397" i="13"/>
  <c r="A409" i="13"/>
  <c r="V490" i="13"/>
  <c r="B32" i="13"/>
  <c r="AT413" i="13"/>
  <c r="AW477" i="13"/>
  <c r="AV186" i="13"/>
  <c r="E367" i="13"/>
  <c r="T196" i="13"/>
  <c r="AM386" i="13"/>
  <c r="AO265" i="13"/>
  <c r="BS210" i="13"/>
  <c r="BS430" i="13"/>
  <c r="AU435" i="13"/>
  <c r="BG228" i="13"/>
  <c r="BP246" i="13"/>
  <c r="N47" i="13"/>
  <c r="BU170" i="13"/>
  <c r="AC1" i="13"/>
  <c r="AZ229" i="13"/>
  <c r="AU429" i="13"/>
  <c r="AN19" i="13"/>
  <c r="BJ53" i="13"/>
  <c r="BU357" i="13"/>
  <c r="AU461" i="13"/>
  <c r="W66" i="13"/>
  <c r="AT333" i="13"/>
  <c r="BR197" i="13"/>
  <c r="G432" i="13"/>
  <c r="BA183" i="13"/>
  <c r="BS451" i="13"/>
  <c r="AC392" i="13"/>
  <c r="L292" i="13"/>
  <c r="BT301" i="13"/>
  <c r="I55" i="13"/>
  <c r="AF460" i="13"/>
  <c r="BN68" i="13"/>
  <c r="AX248" i="13"/>
  <c r="AN475" i="13"/>
  <c r="AS262" i="13"/>
  <c r="X179" i="13"/>
  <c r="BN372" i="13"/>
  <c r="AX68" i="13"/>
  <c r="BC183" i="13"/>
  <c r="BU470" i="13"/>
  <c r="BV258" i="13"/>
  <c r="BG171" i="13"/>
  <c r="BJ439" i="13"/>
  <c r="AO405" i="13"/>
  <c r="Q332" i="13"/>
  <c r="BF452" i="13"/>
  <c r="BT351" i="13"/>
  <c r="BE73" i="13"/>
  <c r="R295" i="13"/>
  <c r="AC464" i="13"/>
  <c r="BI302" i="13"/>
  <c r="BS228" i="13"/>
  <c r="BE214" i="13"/>
  <c r="Q279" i="13"/>
  <c r="BH451" i="13"/>
  <c r="BD143" i="13"/>
  <c r="BN192" i="13"/>
  <c r="BF142" i="13"/>
  <c r="N393" i="13"/>
  <c r="AM412" i="13"/>
  <c r="B204" i="13"/>
  <c r="X215" i="13"/>
  <c r="AV346" i="13"/>
  <c r="AE432" i="13"/>
  <c r="BN456" i="13"/>
  <c r="BD443" i="13"/>
  <c r="AG213" i="13"/>
  <c r="AG171" i="13"/>
  <c r="AG105" i="13"/>
  <c r="S228" i="13"/>
  <c r="O445" i="13"/>
  <c r="BV304" i="13"/>
  <c r="BP310" i="13"/>
  <c r="AO104" i="13"/>
  <c r="AC149" i="13"/>
  <c r="AW276" i="13"/>
  <c r="BF69" i="13"/>
  <c r="BU288" i="13"/>
  <c r="AQ445" i="13"/>
  <c r="BU280" i="13"/>
  <c r="W201" i="13"/>
  <c r="R486" i="13"/>
  <c r="AZ254" i="13"/>
  <c r="BG135" i="13"/>
  <c r="U483" i="13"/>
  <c r="C9" i="13"/>
  <c r="AE263" i="13"/>
  <c r="AR69" i="13"/>
  <c r="BH103" i="13"/>
  <c r="J458" i="13"/>
  <c r="BU179" i="13"/>
  <c r="AM452" i="13"/>
  <c r="AS219" i="13"/>
  <c r="AQ331" i="13"/>
  <c r="BV167" i="13"/>
  <c r="BL422" i="13"/>
  <c r="BN279" i="13"/>
  <c r="AB155" i="13"/>
  <c r="AI118" i="13"/>
  <c r="Q359" i="13"/>
  <c r="BF180" i="13"/>
  <c r="B478" i="13"/>
  <c r="AA113" i="13"/>
  <c r="BT223" i="13"/>
  <c r="BW342" i="13"/>
  <c r="AJ29" i="13"/>
  <c r="AF182" i="13"/>
  <c r="BM429" i="13"/>
  <c r="BI485" i="13"/>
  <c r="A476" i="13"/>
  <c r="AH154" i="13"/>
  <c r="BT281" i="13"/>
  <c r="X456" i="13"/>
  <c r="AO255" i="13"/>
  <c r="E474" i="13"/>
  <c r="AK347" i="13"/>
  <c r="X245" i="13"/>
  <c r="AR199" i="13"/>
  <c r="BW194" i="13"/>
  <c r="AJ74" i="13"/>
  <c r="BT2" i="13"/>
  <c r="I185" i="13"/>
  <c r="M445" i="13"/>
  <c r="AY126" i="13"/>
  <c r="AU134" i="13"/>
  <c r="AF204" i="13"/>
  <c r="U319" i="13"/>
  <c r="AT169" i="13"/>
  <c r="AB479" i="13"/>
  <c r="BD135" i="13"/>
  <c r="B401" i="13"/>
  <c r="E407" i="13"/>
  <c r="AA494" i="13"/>
  <c r="V61" i="13"/>
  <c r="A255" i="13"/>
  <c r="AG309" i="13"/>
  <c r="BQ472" i="13"/>
  <c r="BF264" i="13"/>
  <c r="W353" i="13"/>
  <c r="S486" i="13"/>
  <c r="BV426" i="13"/>
  <c r="AP426" i="13"/>
  <c r="R147" i="13"/>
  <c r="H386" i="13"/>
  <c r="I208" i="13"/>
  <c r="AB4" i="13"/>
  <c r="W358" i="13"/>
  <c r="L229" i="13"/>
  <c r="BQ154" i="13"/>
  <c r="C224" i="13"/>
  <c r="G146" i="13"/>
  <c r="AR292" i="13"/>
  <c r="K366" i="13"/>
  <c r="AB463" i="13"/>
  <c r="BC118" i="13"/>
  <c r="AP454" i="13"/>
  <c r="AN110" i="13"/>
  <c r="J480" i="13"/>
  <c r="AN6" i="13"/>
  <c r="R267" i="13"/>
  <c r="AZ386" i="13"/>
  <c r="BA429" i="13"/>
  <c r="AR155" i="13"/>
  <c r="BR75" i="13"/>
  <c r="I375" i="13"/>
  <c r="AN337" i="13"/>
  <c r="Z356" i="13"/>
  <c r="O193" i="13"/>
  <c r="BW214" i="13"/>
  <c r="BK483" i="13"/>
  <c r="BP271" i="13"/>
  <c r="BP482" i="13"/>
  <c r="BD248" i="13"/>
  <c r="R29" i="13"/>
  <c r="BQ491" i="13"/>
  <c r="BJ303" i="13"/>
  <c r="BI221" i="13"/>
  <c r="BG297" i="13"/>
  <c r="AI169" i="13"/>
  <c r="I272" i="13"/>
  <c r="BG479" i="13"/>
  <c r="BA253" i="13"/>
  <c r="K336" i="13"/>
  <c r="AW175" i="13"/>
  <c r="B324" i="13"/>
  <c r="AJ333" i="13"/>
  <c r="BW408" i="13"/>
  <c r="H362" i="13"/>
  <c r="H143" i="13"/>
  <c r="AT497" i="13"/>
  <c r="AR274" i="13"/>
  <c r="AP405" i="13"/>
  <c r="AJ419" i="13"/>
  <c r="BO71" i="13"/>
  <c r="AJ201" i="13"/>
  <c r="BG5" i="13"/>
  <c r="AF396" i="13"/>
  <c r="BR447" i="13"/>
  <c r="AN200" i="13"/>
  <c r="AV358" i="13"/>
  <c r="E404" i="13"/>
  <c r="AR333" i="13"/>
  <c r="AS65" i="13"/>
  <c r="BQ375" i="13"/>
  <c r="C212" i="13"/>
  <c r="AT264" i="13"/>
  <c r="AE257" i="13"/>
  <c r="BO181" i="13"/>
  <c r="H489" i="13"/>
  <c r="R387" i="13"/>
  <c r="P466" i="13"/>
  <c r="BH392" i="13"/>
  <c r="AT236" i="13"/>
  <c r="L426" i="13"/>
  <c r="AL169" i="13"/>
  <c r="BE395" i="13"/>
  <c r="BC234" i="13"/>
  <c r="BJ298" i="13"/>
  <c r="AV410" i="13"/>
  <c r="D142" i="13"/>
  <c r="AG419" i="13"/>
  <c r="Q120" i="13"/>
  <c r="F354" i="13"/>
  <c r="X70" i="13"/>
  <c r="AI235" i="13"/>
  <c r="AN277" i="13"/>
  <c r="J194" i="13"/>
  <c r="AZ202" i="13"/>
  <c r="Y236" i="13"/>
  <c r="BC471" i="13"/>
  <c r="AC302" i="13"/>
  <c r="AE443" i="13"/>
  <c r="A338" i="13"/>
  <c r="BR412" i="13"/>
  <c r="AR479" i="13"/>
  <c r="AH272" i="13"/>
  <c r="M389" i="13"/>
  <c r="BW366" i="13"/>
  <c r="BV347" i="13"/>
  <c r="AQ443" i="13"/>
  <c r="Q311" i="13"/>
  <c r="BA245" i="13"/>
  <c r="BL263" i="13"/>
  <c r="AM327" i="13"/>
  <c r="AJ400" i="13"/>
  <c r="BT433" i="13"/>
  <c r="AB201" i="13"/>
  <c r="AE88" i="13"/>
  <c r="AE111" i="13"/>
  <c r="Z427" i="13"/>
  <c r="AX198" i="13"/>
  <c r="BU234" i="13"/>
  <c r="E208" i="13"/>
  <c r="AJ85" i="13"/>
  <c r="H67" i="13"/>
  <c r="AB160" i="13"/>
  <c r="BU177" i="13"/>
  <c r="Z400" i="13"/>
  <c r="BE498" i="13"/>
  <c r="BW166" i="13"/>
  <c r="AB191" i="13"/>
  <c r="AB307" i="13"/>
  <c r="BL232" i="13"/>
  <c r="O388" i="13"/>
  <c r="AF387" i="13"/>
  <c r="AF212" i="13"/>
  <c r="BT110" i="13"/>
  <c r="AB169" i="13"/>
  <c r="AB483" i="13"/>
  <c r="N419" i="13"/>
  <c r="BI437" i="13"/>
  <c r="A322" i="13"/>
  <c r="BS422" i="13"/>
  <c r="AU254" i="13"/>
  <c r="BW478" i="13"/>
  <c r="AM217" i="13"/>
  <c r="BE85" i="13"/>
  <c r="AU322" i="13"/>
  <c r="AX305" i="13"/>
  <c r="AZ371" i="13"/>
  <c r="AN241" i="13"/>
  <c r="V85" i="13"/>
  <c r="BD192" i="13"/>
  <c r="BQ125" i="13"/>
  <c r="BQ192" i="13"/>
  <c r="Q363" i="13"/>
  <c r="AR81" i="13"/>
  <c r="H493" i="13"/>
  <c r="BC123" i="13"/>
  <c r="AY220" i="13"/>
  <c r="Y384" i="13"/>
  <c r="L120" i="13"/>
  <c r="D395" i="13"/>
  <c r="AH267" i="13"/>
  <c r="AZ156" i="13"/>
  <c r="L252" i="13"/>
  <c r="K188" i="13"/>
  <c r="AZ14" i="13"/>
  <c r="BI144" i="13"/>
  <c r="AR408" i="13"/>
  <c r="BH477" i="13"/>
  <c r="AD476" i="13"/>
  <c r="F415" i="13"/>
  <c r="BS470" i="13"/>
  <c r="AC387" i="13"/>
  <c r="AY231" i="13"/>
  <c r="M345" i="13"/>
  <c r="AT329" i="13"/>
  <c r="BF251" i="13"/>
  <c r="BN52" i="13"/>
  <c r="F278" i="13"/>
  <c r="BI469" i="13"/>
  <c r="BS12" i="13"/>
  <c r="AC173" i="13"/>
  <c r="BM389" i="13"/>
  <c r="C179" i="13"/>
  <c r="AE426" i="13"/>
  <c r="BL178" i="13"/>
  <c r="N413" i="13"/>
  <c r="AX480" i="13"/>
  <c r="T69" i="13"/>
  <c r="X77" i="13"/>
  <c r="BI99" i="13"/>
  <c r="L371" i="13"/>
  <c r="BA443" i="13"/>
  <c r="B261" i="13"/>
  <c r="AZ306" i="13"/>
  <c r="BN348" i="13"/>
  <c r="C441" i="13"/>
  <c r="E184" i="13"/>
  <c r="E132" i="13"/>
  <c r="BF409" i="13"/>
  <c r="BE193" i="13"/>
  <c r="BI361" i="13"/>
  <c r="AY271" i="13"/>
  <c r="F263" i="13"/>
  <c r="BQ236" i="13"/>
  <c r="Y318" i="13"/>
  <c r="AG418" i="13"/>
  <c r="AM257" i="13"/>
  <c r="AQ266" i="13"/>
  <c r="BO296" i="13"/>
  <c r="O145" i="13"/>
  <c r="BU246" i="13"/>
  <c r="AC383" i="13"/>
  <c r="BL438" i="13"/>
  <c r="AF3" i="13"/>
  <c r="AY268" i="13"/>
  <c r="E395" i="13"/>
  <c r="BI190" i="13"/>
  <c r="AL68" i="13"/>
  <c r="AE467" i="13"/>
  <c r="Q488" i="13"/>
  <c r="AR320" i="13"/>
  <c r="BJ68" i="13"/>
  <c r="BN449" i="13"/>
  <c r="BB489" i="13"/>
  <c r="BU19" i="13"/>
  <c r="H418" i="13"/>
  <c r="AC488" i="13"/>
  <c r="F19" i="13"/>
  <c r="AT234" i="13"/>
  <c r="BG344" i="13"/>
  <c r="BG266" i="13"/>
  <c r="AR422" i="13"/>
  <c r="BF482" i="13"/>
  <c r="U498" i="13"/>
  <c r="AV6" i="13"/>
  <c r="S471" i="13"/>
  <c r="AX159" i="13"/>
  <c r="BE246" i="13"/>
  <c r="BW37" i="13"/>
  <c r="BI347" i="13"/>
  <c r="BQ26" i="13"/>
  <c r="AJ324" i="13"/>
  <c r="AO280" i="13"/>
  <c r="AO460" i="13"/>
  <c r="Y344" i="13"/>
  <c r="BM52" i="13"/>
  <c r="D101" i="13"/>
  <c r="S221" i="13"/>
  <c r="BS336" i="13"/>
  <c r="AX376" i="13"/>
  <c r="AS366" i="13"/>
  <c r="E4" i="13"/>
  <c r="A91" i="13"/>
  <c r="B390" i="13"/>
  <c r="M30" i="13"/>
  <c r="BF350" i="13"/>
  <c r="AW321" i="13"/>
  <c r="A419" i="13"/>
  <c r="AR442" i="13"/>
  <c r="D416" i="13"/>
  <c r="BV340" i="13"/>
  <c r="AZ110" i="13"/>
  <c r="BN498" i="13"/>
  <c r="I301" i="13"/>
  <c r="E236" i="13"/>
  <c r="X445" i="13"/>
  <c r="D433" i="13"/>
  <c r="R270" i="13"/>
  <c r="Q12" i="13"/>
  <c r="AK312" i="13"/>
  <c r="AR415" i="13"/>
  <c r="AB434" i="13"/>
  <c r="S156" i="13"/>
  <c r="BV177" i="13"/>
  <c r="J162" i="13"/>
  <c r="S464" i="13"/>
  <c r="BA362" i="13"/>
  <c r="AT431" i="13"/>
  <c r="E177" i="13"/>
  <c r="BF396" i="13"/>
  <c r="BQ381" i="13"/>
  <c r="W419" i="13"/>
  <c r="BJ491" i="13"/>
  <c r="AQ299" i="13"/>
  <c r="G371" i="13"/>
  <c r="M254" i="13"/>
  <c r="BW484" i="13"/>
  <c r="K454" i="13"/>
  <c r="BB190" i="13"/>
  <c r="AT434" i="13"/>
  <c r="W100" i="13"/>
  <c r="BL2" i="13"/>
  <c r="AR337" i="13"/>
  <c r="M160" i="13"/>
  <c r="AR251" i="13"/>
  <c r="BW376" i="13"/>
  <c r="AX456" i="13"/>
  <c r="E463" i="13"/>
  <c r="BL405" i="13"/>
  <c r="BJ251" i="13"/>
  <c r="BP225" i="13"/>
  <c r="BD156" i="13"/>
  <c r="AU245" i="13"/>
  <c r="BW129" i="13"/>
  <c r="AY299" i="13"/>
  <c r="BI8" i="13"/>
  <c r="C392" i="13"/>
  <c r="AU200" i="13"/>
  <c r="F366" i="13"/>
  <c r="AW390" i="13"/>
  <c r="BA415" i="13"/>
  <c r="BK133" i="13"/>
  <c r="BC381" i="13"/>
  <c r="BE464" i="13"/>
  <c r="BQ3" i="13"/>
  <c r="BL21" i="13"/>
  <c r="AS228" i="13"/>
  <c r="A120" i="13"/>
  <c r="J81" i="13"/>
  <c r="AE478" i="13"/>
  <c r="N199" i="13"/>
  <c r="AQ211" i="13"/>
  <c r="AA15" i="13"/>
  <c r="H396" i="13"/>
  <c r="I34" i="13"/>
  <c r="A439" i="13"/>
  <c r="AK65" i="13"/>
  <c r="Y217" i="13"/>
  <c r="G63" i="13"/>
  <c r="AT208" i="13"/>
  <c r="AZ215" i="13"/>
  <c r="BK10" i="13"/>
  <c r="AT235" i="13"/>
  <c r="H264" i="13"/>
  <c r="AN103" i="13"/>
  <c r="BM340" i="13"/>
  <c r="BO300" i="13"/>
  <c r="Z454" i="13"/>
  <c r="M362" i="13"/>
  <c r="BR120" i="13"/>
  <c r="A59" i="13"/>
  <c r="AX275" i="13"/>
  <c r="BQ431" i="13"/>
  <c r="AD27" i="13"/>
  <c r="AW449" i="13"/>
  <c r="U491" i="13"/>
  <c r="BV283" i="13"/>
  <c r="BS146" i="13"/>
  <c r="AY112" i="13"/>
  <c r="BR290" i="13"/>
  <c r="Q413" i="13"/>
  <c r="AN223" i="13"/>
  <c r="AK283" i="13"/>
  <c r="L381" i="13"/>
  <c r="AA400" i="13"/>
  <c r="Y495" i="13"/>
  <c r="AK28" i="13"/>
  <c r="AV407" i="13"/>
  <c r="BQ76" i="13"/>
  <c r="I126" i="13"/>
  <c r="AR310" i="13"/>
  <c r="BT473" i="13"/>
  <c r="BO146" i="13"/>
  <c r="H292" i="13"/>
  <c r="AX113" i="13"/>
  <c r="AW411" i="13"/>
  <c r="I194" i="13"/>
  <c r="B366" i="13"/>
  <c r="AG477" i="13"/>
  <c r="BF201" i="13"/>
  <c r="BJ229" i="13"/>
  <c r="AX491" i="13"/>
  <c r="J373" i="13"/>
  <c r="H383" i="13"/>
  <c r="AT230" i="13"/>
  <c r="T295" i="13"/>
  <c r="AL264" i="13"/>
  <c r="I412" i="13"/>
  <c r="BD381" i="13"/>
  <c r="BS366" i="13"/>
  <c r="R360" i="13"/>
  <c r="R439" i="13"/>
  <c r="AC247" i="13"/>
  <c r="AN471" i="13"/>
  <c r="AK108" i="13"/>
  <c r="K276" i="13"/>
  <c r="BT224" i="13"/>
  <c r="BP61" i="13"/>
  <c r="AP149" i="13"/>
  <c r="Q224" i="13"/>
  <c r="Q445" i="13"/>
  <c r="AI412" i="13"/>
  <c r="AJ170" i="13"/>
  <c r="AD6" i="13"/>
  <c r="L197" i="13"/>
  <c r="AU115" i="13"/>
  <c r="AF448" i="13"/>
  <c r="AY225" i="13"/>
  <c r="G377" i="13"/>
  <c r="AI38" i="13"/>
  <c r="D423" i="13"/>
  <c r="AE272" i="13"/>
  <c r="C261" i="13"/>
  <c r="AV283" i="13"/>
  <c r="BQ485" i="13"/>
  <c r="BH113" i="13"/>
  <c r="D399" i="13"/>
  <c r="BM472" i="13"/>
  <c r="AG317" i="13"/>
  <c r="AT195" i="13"/>
  <c r="AD449" i="13"/>
  <c r="AH393" i="13"/>
  <c r="AA308" i="13"/>
  <c r="BR99" i="13"/>
  <c r="AG314" i="13"/>
  <c r="BQ307" i="13"/>
  <c r="BA156" i="13"/>
  <c r="J318" i="13"/>
  <c r="O443" i="13"/>
  <c r="N341" i="13"/>
  <c r="AQ49" i="13"/>
  <c r="D10" i="13"/>
  <c r="U1" i="13"/>
  <c r="BL118" i="13"/>
  <c r="AU384" i="13"/>
  <c r="AM490" i="13"/>
  <c r="AQ104" i="13"/>
  <c r="F85" i="13"/>
  <c r="AV438" i="13"/>
  <c r="AP443" i="13"/>
  <c r="AF5" i="13"/>
  <c r="AD209" i="13"/>
  <c r="AD15" i="13"/>
  <c r="BQ143" i="13"/>
  <c r="BN358" i="13"/>
  <c r="AF213" i="13"/>
  <c r="D321" i="13"/>
  <c r="BW218" i="13"/>
  <c r="M348" i="13"/>
  <c r="BU125" i="13"/>
  <c r="BP496" i="13"/>
  <c r="AO420" i="13"/>
  <c r="BN111" i="13"/>
  <c r="V227" i="13"/>
  <c r="BI183" i="13"/>
  <c r="AI127" i="13"/>
  <c r="BT153" i="13"/>
  <c r="B325" i="13"/>
  <c r="A471" i="13"/>
  <c r="P153" i="13"/>
  <c r="AH16" i="13"/>
  <c r="AT144" i="13"/>
  <c r="G138" i="13"/>
  <c r="E57" i="13"/>
  <c r="N190" i="13"/>
  <c r="BG338" i="13"/>
  <c r="AP423" i="13"/>
  <c r="AV174" i="13"/>
  <c r="BU464" i="13"/>
  <c r="AM476" i="13"/>
  <c r="BR63" i="13"/>
  <c r="I277" i="13"/>
  <c r="BO274" i="13"/>
  <c r="AY45" i="13"/>
  <c r="M288" i="13"/>
  <c r="Z58" i="13"/>
  <c r="AJ219" i="13"/>
  <c r="P387" i="13"/>
  <c r="C333" i="13"/>
  <c r="AB134" i="13"/>
  <c r="O457" i="13"/>
  <c r="AA118" i="13"/>
  <c r="K141" i="13"/>
  <c r="BF437" i="13"/>
  <c r="BI25" i="13"/>
  <c r="BF477" i="13"/>
  <c r="AA16" i="13"/>
  <c r="BI52" i="13"/>
  <c r="AL482" i="13"/>
  <c r="R90" i="13"/>
  <c r="S354" i="13"/>
  <c r="V272" i="13"/>
  <c r="BD7" i="13"/>
  <c r="AB496" i="13"/>
  <c r="AE56" i="13"/>
  <c r="BH409" i="13"/>
  <c r="A220" i="13"/>
  <c r="AM288" i="13"/>
  <c r="AN53" i="13"/>
  <c r="AY124" i="13"/>
  <c r="AK298" i="13"/>
  <c r="AO80" i="13"/>
  <c r="AC447" i="13"/>
  <c r="AU197" i="13"/>
  <c r="AE280" i="13"/>
  <c r="BN326" i="13"/>
  <c r="BF495" i="13"/>
  <c r="K461" i="13"/>
  <c r="P343" i="13"/>
  <c r="AI401" i="13"/>
  <c r="BH230" i="13"/>
  <c r="S443" i="13"/>
  <c r="BL144" i="13"/>
  <c r="V501" i="13"/>
  <c r="J76" i="13"/>
  <c r="AY21" i="13"/>
  <c r="BM362" i="13"/>
  <c r="BW93" i="13"/>
  <c r="AY427" i="13"/>
  <c r="BG167" i="13"/>
  <c r="AA377" i="13"/>
  <c r="BI495" i="13"/>
  <c r="AJ376" i="13"/>
  <c r="BB463" i="13"/>
  <c r="BC204" i="13"/>
  <c r="L304" i="13"/>
  <c r="I147" i="13"/>
  <c r="L160" i="13"/>
  <c r="W492" i="13"/>
  <c r="BM344" i="13"/>
  <c r="AX360" i="13"/>
  <c r="D479" i="13"/>
  <c r="AH287" i="13"/>
  <c r="AF153" i="13"/>
  <c r="BE337" i="13"/>
  <c r="AF144" i="13"/>
  <c r="AE348" i="13"/>
  <c r="AC335" i="13"/>
  <c r="BI475" i="13"/>
  <c r="L276" i="13"/>
  <c r="AS141" i="13"/>
  <c r="U321" i="13"/>
  <c r="V215" i="13"/>
  <c r="BU229" i="13"/>
  <c r="AZ94" i="13"/>
  <c r="AA298" i="13"/>
  <c r="BW407" i="13"/>
  <c r="AZ166" i="13"/>
  <c r="BO292" i="13"/>
  <c r="I428" i="13"/>
  <c r="BP203" i="13"/>
  <c r="BR327" i="13"/>
  <c r="AP119" i="13"/>
  <c r="AG91" i="13"/>
  <c r="AG346" i="13"/>
  <c r="AN143" i="13"/>
  <c r="BT322" i="13"/>
  <c r="K495" i="13"/>
  <c r="BW228" i="13"/>
  <c r="AI81" i="13"/>
  <c r="H4" i="13"/>
  <c r="BM462" i="13"/>
  <c r="BJ456" i="13"/>
  <c r="BQ479" i="13"/>
  <c r="BP269" i="13"/>
  <c r="AO69" i="13"/>
  <c r="BE383" i="13"/>
  <c r="AB474" i="13"/>
  <c r="U197" i="13"/>
  <c r="AO385" i="13"/>
  <c r="B57" i="13"/>
  <c r="BJ433" i="13"/>
  <c r="AQ440" i="13"/>
  <c r="AH350" i="13"/>
  <c r="AG169" i="13"/>
  <c r="M96" i="13"/>
  <c r="AJ250" i="13"/>
  <c r="L377" i="13"/>
  <c r="BS330" i="13"/>
  <c r="L299" i="13"/>
  <c r="BH216" i="13"/>
  <c r="BG315" i="13"/>
  <c r="BO396" i="13"/>
  <c r="AR299" i="13"/>
  <c r="AJ147" i="13"/>
  <c r="BF490" i="13"/>
  <c r="AI276" i="13"/>
  <c r="AI409" i="13"/>
  <c r="AO285" i="13"/>
  <c r="AJ169" i="13"/>
  <c r="AF317" i="13"/>
  <c r="BR264" i="13"/>
  <c r="BM468" i="13"/>
  <c r="AA161" i="13"/>
  <c r="BE315" i="13"/>
  <c r="AJ16" i="13"/>
  <c r="BV52" i="13"/>
  <c r="AI446" i="13"/>
  <c r="AM336" i="13"/>
  <c r="AV43" i="13"/>
  <c r="N29" i="13"/>
  <c r="L417" i="13"/>
  <c r="BI315" i="13"/>
  <c r="B398" i="13"/>
  <c r="BV358" i="13"/>
  <c r="AH190" i="13"/>
  <c r="AJ210" i="13"/>
  <c r="BF354" i="13"/>
  <c r="O392" i="13"/>
  <c r="BK136" i="13"/>
  <c r="AN182" i="13"/>
  <c r="BJ499" i="13"/>
  <c r="R195" i="13"/>
  <c r="AV265" i="13"/>
  <c r="AL315" i="13"/>
  <c r="V102" i="13"/>
  <c r="AP104" i="13"/>
  <c r="AI238" i="13"/>
  <c r="BN343" i="13"/>
  <c r="BT21" i="13"/>
  <c r="AV343" i="13"/>
  <c r="AE153" i="13"/>
  <c r="AK268" i="13"/>
  <c r="BU292" i="13"/>
  <c r="AH7" i="13"/>
  <c r="Y424" i="13"/>
  <c r="AQ85" i="13"/>
  <c r="AE296" i="13"/>
  <c r="AX484" i="13"/>
  <c r="Z166" i="13"/>
  <c r="AV458" i="13"/>
  <c r="AY360" i="13"/>
  <c r="AR287" i="13"/>
  <c r="BD274" i="13"/>
  <c r="BS13" i="13"/>
  <c r="AZ359" i="13"/>
  <c r="BF457" i="13"/>
  <c r="V351" i="13"/>
  <c r="B164" i="13"/>
  <c r="U166" i="13"/>
  <c r="AS175" i="13"/>
  <c r="BQ306" i="13"/>
  <c r="BP142" i="13"/>
  <c r="T249" i="13"/>
  <c r="L445" i="13"/>
  <c r="BO208" i="13"/>
  <c r="G306" i="13"/>
  <c r="V431" i="13"/>
  <c r="R189" i="13"/>
  <c r="AT72" i="13"/>
  <c r="BD108" i="13"/>
  <c r="BJ218" i="13"/>
  <c r="AV501" i="13"/>
  <c r="BO337" i="13"/>
  <c r="BW265" i="13"/>
  <c r="BT492" i="13"/>
  <c r="BG196" i="13"/>
  <c r="BR160" i="13"/>
  <c r="BI212" i="13"/>
  <c r="AO263" i="13"/>
  <c r="S440" i="13"/>
  <c r="BC349" i="13"/>
  <c r="AO497" i="13"/>
  <c r="K463" i="13"/>
  <c r="BH394" i="13"/>
  <c r="U478" i="13"/>
  <c r="Z202" i="13"/>
  <c r="BO358" i="13"/>
  <c r="AR99" i="13"/>
  <c r="AI390" i="13"/>
  <c r="M270" i="13"/>
  <c r="F152" i="13"/>
  <c r="I95" i="13"/>
  <c r="I440" i="13"/>
  <c r="Z317" i="13"/>
  <c r="AH370" i="13"/>
  <c r="B66" i="13"/>
  <c r="AW399" i="13"/>
  <c r="AS434" i="13"/>
  <c r="AR409" i="13"/>
  <c r="BG209" i="13"/>
  <c r="AD20" i="13"/>
  <c r="BD250" i="13"/>
  <c r="AG107" i="13"/>
  <c r="BE9" i="13"/>
  <c r="L442" i="13"/>
  <c r="AD364" i="13"/>
  <c r="BV381" i="13"/>
  <c r="E199" i="13"/>
  <c r="AZ498" i="13"/>
  <c r="F260" i="13"/>
  <c r="O158" i="13"/>
  <c r="AN146" i="13"/>
  <c r="D478" i="13"/>
  <c r="AZ239" i="13"/>
  <c r="AJ296" i="13"/>
  <c r="BI53" i="13"/>
  <c r="N418" i="13"/>
  <c r="BC295" i="13"/>
  <c r="Q144" i="13"/>
  <c r="AY302" i="13"/>
  <c r="AS395" i="13"/>
  <c r="BS376" i="13"/>
  <c r="AC303" i="13"/>
  <c r="AA332" i="13"/>
  <c r="BJ370" i="13"/>
  <c r="AU382" i="13"/>
  <c r="AF463" i="13"/>
  <c r="BN383" i="13"/>
  <c r="BS298" i="13"/>
  <c r="AX115" i="13"/>
  <c r="Z313" i="13"/>
  <c r="S175" i="13"/>
  <c r="X210" i="13"/>
  <c r="AU184" i="13"/>
  <c r="AQ411" i="13"/>
  <c r="BA385" i="13"/>
  <c r="AP280" i="13"/>
  <c r="BC307" i="13"/>
  <c r="AQ396" i="13"/>
  <c r="AM377" i="13"/>
  <c r="Z170" i="13"/>
  <c r="BS133" i="13"/>
  <c r="AF132" i="13"/>
  <c r="BG142" i="13"/>
  <c r="R129" i="13"/>
  <c r="Y96" i="13"/>
  <c r="AI494" i="13"/>
  <c r="AA413" i="13"/>
  <c r="M221" i="13"/>
  <c r="BI245" i="13"/>
  <c r="F255" i="13"/>
  <c r="AO313" i="13"/>
  <c r="AQ300" i="13"/>
  <c r="R351" i="13"/>
  <c r="R373" i="13"/>
  <c r="BH362" i="13"/>
  <c r="AA294" i="13"/>
  <c r="AP371" i="13"/>
  <c r="Q319" i="13"/>
  <c r="L256" i="13"/>
  <c r="D335" i="13"/>
  <c r="AF388" i="13"/>
  <c r="G248" i="13"/>
  <c r="E302" i="13"/>
  <c r="A274" i="13"/>
  <c r="BT179" i="13"/>
  <c r="L139" i="13"/>
  <c r="AI295" i="13"/>
  <c r="BM308" i="13"/>
  <c r="B258" i="13"/>
  <c r="AR444" i="13"/>
  <c r="BF101" i="13"/>
  <c r="BP128" i="13"/>
  <c r="BK102" i="13"/>
  <c r="AP182" i="13"/>
  <c r="AB475" i="13"/>
  <c r="BI65" i="13"/>
  <c r="AP450" i="13"/>
  <c r="AF470" i="13"/>
  <c r="BO255" i="13"/>
  <c r="B8" i="13"/>
  <c r="F381" i="13"/>
  <c r="BS229" i="13"/>
  <c r="D181" i="13"/>
  <c r="V9" i="13"/>
  <c r="BR207" i="13"/>
  <c r="I263" i="13"/>
  <c r="AH75" i="13"/>
  <c r="Y497" i="13"/>
  <c r="C327" i="13"/>
  <c r="S115" i="13"/>
  <c r="AG375" i="13"/>
  <c r="BE472" i="13"/>
  <c r="AS19" i="13"/>
  <c r="BA436" i="13"/>
  <c r="BP437" i="13"/>
  <c r="AF484" i="13"/>
  <c r="BH493" i="13"/>
  <c r="AL115" i="13"/>
  <c r="AW228" i="13"/>
  <c r="AT154" i="13"/>
  <c r="AG3" i="13"/>
  <c r="AP265" i="13"/>
  <c r="O42" i="13"/>
  <c r="O436" i="13"/>
  <c r="AV191" i="13"/>
  <c r="AQ479" i="13"/>
  <c r="BN103" i="13"/>
  <c r="K211" i="13"/>
  <c r="N170" i="13"/>
  <c r="D3" i="13"/>
  <c r="Q280" i="13"/>
  <c r="AE154" i="13"/>
  <c r="AR457" i="13"/>
  <c r="BM74" i="13"/>
  <c r="BU221" i="13"/>
  <c r="P361" i="13"/>
  <c r="W299" i="13"/>
  <c r="AO234" i="13"/>
  <c r="AB408" i="13"/>
  <c r="L272" i="13"/>
  <c r="BH437" i="13"/>
  <c r="O501" i="13"/>
  <c r="BB352" i="13"/>
  <c r="BE410" i="13"/>
  <c r="AS458" i="13"/>
  <c r="AM384" i="13"/>
  <c r="BH276" i="13"/>
  <c r="AQ6" i="13"/>
  <c r="H405" i="13"/>
  <c r="AG65" i="13"/>
  <c r="BB129" i="13"/>
  <c r="B48" i="13"/>
  <c r="J363" i="13"/>
  <c r="AM344" i="13"/>
  <c r="U157" i="13"/>
  <c r="A251" i="13"/>
  <c r="BI455" i="13"/>
  <c r="BN185" i="13"/>
  <c r="T142" i="13"/>
  <c r="P63" i="13"/>
  <c r="BF357" i="13"/>
  <c r="AQ446" i="13"/>
  <c r="AW136" i="13"/>
  <c r="U404" i="13"/>
  <c r="AK425" i="13"/>
  <c r="G406" i="13"/>
  <c r="BC402" i="13"/>
  <c r="AS14" i="13"/>
  <c r="AI27" i="13"/>
  <c r="BP285" i="13"/>
  <c r="R477" i="13"/>
  <c r="AX326" i="13"/>
  <c r="E214" i="13"/>
  <c r="C323" i="13"/>
  <c r="AS471" i="13"/>
  <c r="AG350" i="13"/>
  <c r="AC218" i="13"/>
  <c r="BM273" i="13"/>
  <c r="F4" i="13"/>
  <c r="BF127" i="13"/>
  <c r="BT481" i="13"/>
  <c r="AW277" i="13"/>
  <c r="A289" i="13"/>
  <c r="BK400" i="13"/>
  <c r="AX321" i="13"/>
  <c r="BP10" i="13"/>
  <c r="Z410" i="13"/>
  <c r="BS414" i="13"/>
  <c r="AK154" i="13"/>
  <c r="AK373" i="13"/>
  <c r="AW182" i="13"/>
  <c r="AS368" i="13"/>
  <c r="BF76" i="13"/>
  <c r="BG9" i="13"/>
  <c r="B340" i="13"/>
  <c r="A460" i="13"/>
  <c r="G433" i="13"/>
  <c r="K200" i="13"/>
  <c r="Q300" i="13"/>
  <c r="AD273" i="13"/>
  <c r="AI62" i="13"/>
  <c r="BG236" i="13"/>
  <c r="AI286" i="13"/>
  <c r="AU233" i="13"/>
  <c r="BE89" i="13"/>
  <c r="AM270" i="13"/>
  <c r="C466" i="13"/>
  <c r="N57" i="13"/>
  <c r="AQ413" i="13"/>
  <c r="S40" i="13"/>
  <c r="A60" i="13"/>
  <c r="BH431" i="13"/>
  <c r="AR180" i="13"/>
  <c r="AN281" i="13"/>
  <c r="AN374" i="13"/>
  <c r="AI244" i="13"/>
  <c r="BQ456" i="13"/>
  <c r="M365" i="13"/>
  <c r="AJ131" i="13"/>
  <c r="BJ250" i="13"/>
  <c r="K23" i="13"/>
  <c r="BE450" i="13"/>
  <c r="AW475" i="13"/>
  <c r="BU249" i="13"/>
  <c r="C252" i="13"/>
  <c r="BW482" i="13"/>
  <c r="AJ209" i="13"/>
  <c r="AW170" i="13"/>
  <c r="BO310" i="13"/>
  <c r="X83" i="13"/>
  <c r="BE388" i="13"/>
  <c r="Y338" i="13"/>
  <c r="D388" i="13"/>
  <c r="BU363" i="13"/>
  <c r="AJ434" i="13"/>
  <c r="AS397" i="13"/>
  <c r="Z384" i="13"/>
  <c r="H433" i="13"/>
  <c r="BJ124" i="13"/>
  <c r="L125" i="13"/>
  <c r="BA244" i="13"/>
  <c r="BS492" i="13"/>
  <c r="AH124" i="13"/>
  <c r="BW499" i="13"/>
  <c r="AX166" i="13"/>
  <c r="N320" i="13"/>
  <c r="Z3" i="13"/>
  <c r="AF477" i="13"/>
  <c r="K203" i="13"/>
  <c r="AD428" i="13"/>
  <c r="AJ396" i="13"/>
  <c r="E460" i="13"/>
  <c r="M292" i="13"/>
  <c r="Z311" i="13"/>
  <c r="BI226" i="13"/>
  <c r="H215" i="13"/>
  <c r="C414" i="13"/>
  <c r="BN357" i="13"/>
  <c r="BW153" i="13"/>
  <c r="G334" i="13"/>
  <c r="S456" i="13"/>
  <c r="AR245" i="13"/>
  <c r="O426" i="13"/>
  <c r="I445" i="13"/>
  <c r="P117" i="13"/>
  <c r="AM332" i="13"/>
  <c r="AH340" i="13"/>
  <c r="AX31" i="13"/>
  <c r="S123" i="13"/>
  <c r="C155" i="13"/>
  <c r="BS281" i="13"/>
  <c r="U212" i="13"/>
  <c r="BJ190" i="13"/>
  <c r="S355" i="13"/>
  <c r="AZ162" i="13"/>
  <c r="AI299" i="13"/>
  <c r="E63" i="13"/>
  <c r="BT219" i="13"/>
  <c r="Z425" i="13"/>
  <c r="AB435" i="13"/>
  <c r="AX327" i="13"/>
  <c r="K93" i="13"/>
  <c r="W47" i="13"/>
  <c r="AU147" i="13"/>
  <c r="AE325" i="13"/>
  <c r="D244" i="13"/>
  <c r="J374" i="13"/>
  <c r="U451" i="13"/>
  <c r="BE317" i="13"/>
  <c r="O294" i="13"/>
  <c r="BM260" i="13"/>
  <c r="BU455" i="13"/>
  <c r="X161" i="13"/>
  <c r="BP347" i="13"/>
  <c r="AG356" i="13"/>
  <c r="BP125" i="13"/>
  <c r="BF346" i="13"/>
  <c r="BC139" i="13"/>
  <c r="Z485" i="13"/>
  <c r="BG180" i="13"/>
  <c r="BB60" i="13"/>
  <c r="J144" i="13"/>
  <c r="X353" i="13"/>
  <c r="AN398" i="13"/>
  <c r="AT316" i="13"/>
  <c r="BI41" i="13"/>
  <c r="BO481" i="13"/>
  <c r="AP398" i="13"/>
  <c r="BF425" i="13"/>
  <c r="AE335" i="13"/>
  <c r="BB102" i="13"/>
  <c r="W406" i="13"/>
  <c r="L14" i="13"/>
  <c r="Z15" i="13"/>
  <c r="AS264" i="13"/>
  <c r="BH450" i="13"/>
  <c r="S15" i="13"/>
  <c r="D447" i="13"/>
  <c r="W214" i="13"/>
  <c r="AR219" i="13"/>
  <c r="Z281" i="13"/>
  <c r="S229" i="13"/>
  <c r="AX212" i="13"/>
  <c r="BH184" i="13"/>
  <c r="BT485" i="13"/>
  <c r="AT158" i="13"/>
  <c r="AT483" i="13"/>
  <c r="BH162" i="13"/>
  <c r="BR239" i="13"/>
  <c r="BF455" i="13"/>
  <c r="BI498" i="13"/>
  <c r="BQ114" i="13"/>
  <c r="BM189" i="13"/>
  <c r="E375" i="13"/>
  <c r="AP347" i="13"/>
  <c r="AY490" i="13"/>
  <c r="K405" i="13"/>
  <c r="AZ48" i="13"/>
  <c r="AJ179" i="13"/>
  <c r="AX265" i="13"/>
  <c r="BE417" i="13"/>
  <c r="I410" i="13"/>
  <c r="BF343" i="13"/>
  <c r="BG72" i="13"/>
  <c r="BP429" i="13"/>
  <c r="BU405" i="13"/>
  <c r="AS56" i="13"/>
  <c r="B399" i="13"/>
  <c r="AZ421" i="13"/>
  <c r="Q63" i="13"/>
  <c r="AB103" i="13"/>
  <c r="AX152" i="13"/>
  <c r="BF169" i="13"/>
  <c r="B248" i="13"/>
  <c r="O325" i="13"/>
  <c r="B350" i="13"/>
  <c r="AG26" i="13"/>
  <c r="B6" i="13"/>
  <c r="B142" i="13"/>
  <c r="H432" i="13"/>
  <c r="AN141" i="13"/>
  <c r="A223" i="13"/>
  <c r="BF148" i="13"/>
  <c r="AF344" i="13"/>
  <c r="A133" i="13"/>
  <c r="BR254" i="13"/>
  <c r="E112" i="13"/>
  <c r="Z453" i="13"/>
  <c r="BS134" i="13"/>
  <c r="AE416" i="13"/>
  <c r="O134" i="13"/>
  <c r="AV19" i="13"/>
  <c r="T209" i="13"/>
  <c r="BM402" i="13"/>
  <c r="G191" i="13"/>
  <c r="A163" i="13"/>
  <c r="BR440" i="13"/>
  <c r="BA136" i="13"/>
  <c r="AR250" i="13"/>
  <c r="AK293" i="13"/>
  <c r="AJ410" i="13"/>
  <c r="AZ291" i="13"/>
  <c r="BD267" i="13"/>
  <c r="BB355" i="13"/>
  <c r="A77" i="13"/>
  <c r="D294" i="13"/>
  <c r="J93" i="13"/>
  <c r="AG135" i="13"/>
  <c r="BE466" i="13"/>
  <c r="AW283" i="13"/>
  <c r="AQ11" i="13"/>
  <c r="BQ303" i="13"/>
  <c r="BR299" i="13"/>
  <c r="U445" i="13"/>
  <c r="AM444" i="13"/>
  <c r="BL136" i="13"/>
  <c r="T7" i="13"/>
  <c r="R412" i="13"/>
  <c r="Y277" i="13"/>
  <c r="D94" i="13"/>
  <c r="AA472" i="13"/>
  <c r="S450" i="13"/>
  <c r="BU450" i="13"/>
  <c r="BT344" i="13"/>
  <c r="BN24" i="13"/>
  <c r="AB122" i="13"/>
  <c r="H306" i="13"/>
  <c r="T229" i="13"/>
  <c r="AP297" i="13"/>
  <c r="BN146" i="13"/>
  <c r="BN472" i="13"/>
  <c r="BK174" i="13"/>
  <c r="AZ336" i="13"/>
  <c r="AN130" i="13"/>
  <c r="Y431" i="13"/>
  <c r="AQ199" i="13"/>
  <c r="BJ490" i="13"/>
  <c r="BE298" i="13"/>
  <c r="AJ292" i="13"/>
  <c r="O261" i="13"/>
  <c r="V241" i="13"/>
  <c r="AT384" i="13"/>
  <c r="AM389" i="13"/>
  <c r="BT414" i="13"/>
  <c r="BM446" i="13"/>
  <c r="AP207" i="13"/>
  <c r="AB55" i="13"/>
  <c r="BM254" i="13"/>
  <c r="AK62" i="13"/>
  <c r="BR237" i="13"/>
  <c r="BD275" i="13"/>
  <c r="AH177" i="13"/>
  <c r="BQ187" i="13"/>
  <c r="R455" i="13"/>
  <c r="O5" i="13"/>
  <c r="BE492" i="13"/>
  <c r="BL375" i="13"/>
  <c r="B229" i="13"/>
  <c r="BH129" i="13"/>
  <c r="G290" i="13"/>
  <c r="AF429" i="13"/>
  <c r="BN484" i="13"/>
  <c r="AE264" i="13"/>
  <c r="BJ4" i="13"/>
  <c r="AB157" i="13"/>
  <c r="AB424" i="13"/>
  <c r="S424" i="13"/>
  <c r="M156" i="13"/>
  <c r="Y35" i="13"/>
  <c r="BJ409" i="13"/>
  <c r="BG225" i="13"/>
  <c r="BQ1" i="13"/>
  <c r="AU451" i="13"/>
  <c r="AF420" i="13"/>
  <c r="AO463" i="13"/>
  <c r="B273" i="13"/>
  <c r="AK486" i="13"/>
  <c r="C213" i="13"/>
  <c r="BL437" i="13"/>
  <c r="R212" i="13"/>
  <c r="BN493" i="13"/>
  <c r="P120" i="13"/>
  <c r="AV1" i="13"/>
  <c r="S312" i="13"/>
  <c r="BJ327" i="13"/>
  <c r="O386" i="13"/>
  <c r="I451" i="13"/>
  <c r="BG343" i="13"/>
  <c r="AL76" i="13"/>
  <c r="AV130" i="13"/>
  <c r="AE385" i="13"/>
  <c r="H5" i="13"/>
  <c r="AY335" i="13"/>
  <c r="BD411" i="13"/>
  <c r="C196" i="13"/>
  <c r="Z441" i="13"/>
  <c r="BF255" i="13"/>
  <c r="BO293" i="13"/>
  <c r="I432" i="13"/>
  <c r="W168" i="13"/>
  <c r="BA307" i="13"/>
  <c r="AB342" i="13"/>
  <c r="Z153" i="13"/>
  <c r="BO2" i="13"/>
  <c r="H224" i="13"/>
  <c r="AF117" i="13"/>
  <c r="AW418" i="13"/>
  <c r="BQ388" i="13"/>
  <c r="U375" i="13"/>
  <c r="R305" i="13"/>
  <c r="BF420" i="13"/>
  <c r="S147" i="13"/>
  <c r="E339" i="13"/>
  <c r="AT124" i="13"/>
  <c r="G190" i="13"/>
  <c r="BD449" i="13"/>
  <c r="S351" i="13"/>
  <c r="AX189" i="13"/>
  <c r="M162" i="13"/>
  <c r="AF191" i="13"/>
  <c r="BV80" i="13"/>
  <c r="Q3" i="13"/>
  <c r="BO492" i="13"/>
  <c r="AZ501" i="13"/>
  <c r="AG408" i="13"/>
  <c r="U473" i="13"/>
  <c r="F400" i="13"/>
  <c r="AJ199" i="13"/>
  <c r="AN306" i="13"/>
  <c r="I265" i="13"/>
  <c r="AE488" i="13"/>
  <c r="AR362" i="13"/>
  <c r="S179" i="13"/>
  <c r="H101" i="13"/>
  <c r="I90" i="13"/>
  <c r="AC480" i="13"/>
  <c r="P139" i="13"/>
  <c r="O12" i="13"/>
  <c r="AD441" i="13"/>
  <c r="E322" i="13"/>
  <c r="AL381" i="13"/>
  <c r="BH340" i="13"/>
  <c r="A262" i="13"/>
  <c r="B352" i="13"/>
  <c r="AK479" i="13"/>
  <c r="BR105" i="13"/>
  <c r="A190" i="13"/>
  <c r="Q76" i="13"/>
  <c r="BE201" i="13"/>
  <c r="AB348" i="13"/>
  <c r="AV446" i="13"/>
  <c r="Z320" i="13"/>
  <c r="BV281" i="13"/>
  <c r="O246" i="13"/>
  <c r="Y454" i="13"/>
  <c r="BL500" i="13"/>
  <c r="Y354" i="13"/>
  <c r="BI148" i="13"/>
  <c r="BL20" i="13"/>
  <c r="BW121" i="13"/>
  <c r="F182" i="13"/>
  <c r="BQ248" i="13"/>
  <c r="R10" i="13"/>
  <c r="BD56" i="13"/>
  <c r="BR43" i="13"/>
  <c r="M494" i="13"/>
  <c r="BR210" i="13"/>
  <c r="AT162" i="13"/>
  <c r="AE407" i="13"/>
  <c r="N212" i="13"/>
  <c r="M238" i="13"/>
  <c r="BC410" i="13"/>
  <c r="AL407" i="13"/>
  <c r="BT245" i="13"/>
  <c r="BE469" i="13"/>
  <c r="BW357" i="13"/>
  <c r="BT253" i="13"/>
  <c r="AU454" i="13"/>
  <c r="A283" i="13"/>
  <c r="E279" i="13"/>
  <c r="BP193" i="13"/>
  <c r="AK139" i="13"/>
  <c r="BT280" i="13"/>
  <c r="BC195" i="13"/>
  <c r="E336" i="13"/>
  <c r="U298" i="13"/>
  <c r="AD342" i="13"/>
  <c r="Q314" i="13"/>
  <c r="BM401" i="13"/>
  <c r="AV143" i="13"/>
  <c r="AZ459" i="13"/>
  <c r="J3" i="13"/>
  <c r="AR210" i="13"/>
  <c r="AO303" i="13"/>
  <c r="AS268" i="13"/>
  <c r="Q293" i="13"/>
  <c r="F229" i="13"/>
  <c r="AJ330" i="13"/>
  <c r="AA185" i="13"/>
  <c r="AA230" i="13"/>
  <c r="C3" i="13"/>
  <c r="Z414" i="13"/>
  <c r="AW327" i="13"/>
  <c r="BP311" i="13"/>
  <c r="BA500" i="13"/>
  <c r="T8" i="13"/>
  <c r="BM210" i="13"/>
  <c r="AT247" i="13"/>
  <c r="BJ460" i="13"/>
  <c r="F471" i="13"/>
  <c r="BA21" i="13"/>
  <c r="AL475" i="13"/>
  <c r="Q51" i="13"/>
  <c r="X422" i="13"/>
  <c r="Z214" i="13"/>
  <c r="AM407" i="13"/>
  <c r="AO8" i="13"/>
  <c r="AP355" i="13"/>
  <c r="B112" i="13"/>
  <c r="F132" i="13"/>
  <c r="AR494" i="13"/>
  <c r="T137" i="13"/>
  <c r="I237" i="13"/>
  <c r="BV280" i="13"/>
  <c r="AR438" i="13"/>
  <c r="BL341" i="13"/>
  <c r="B190" i="13"/>
  <c r="AI207" i="13"/>
  <c r="A266" i="13"/>
  <c r="A374" i="13"/>
  <c r="BO486" i="13"/>
  <c r="BG188" i="13"/>
  <c r="AF298" i="13"/>
  <c r="BL134" i="13"/>
  <c r="AR372" i="13"/>
  <c r="H444" i="13"/>
  <c r="X427" i="13"/>
  <c r="BB488" i="13"/>
  <c r="BF149" i="13"/>
  <c r="AI363" i="13"/>
  <c r="X476" i="13"/>
  <c r="AE338" i="13"/>
  <c r="BP216" i="13"/>
  <c r="BT321" i="13"/>
  <c r="AU410" i="13"/>
  <c r="L362" i="13"/>
  <c r="BD261" i="13"/>
  <c r="AJ352" i="13"/>
  <c r="AD231" i="13"/>
  <c r="BM112" i="13"/>
  <c r="K320" i="13"/>
  <c r="O29" i="13"/>
  <c r="AW441" i="13"/>
  <c r="BJ469" i="13"/>
  <c r="AK33" i="13"/>
  <c r="BI379" i="13"/>
  <c r="AP334" i="13"/>
  <c r="E475" i="13"/>
  <c r="BQ209" i="13"/>
  <c r="BL89" i="13"/>
  <c r="B375" i="13"/>
  <c r="O272" i="13"/>
  <c r="B203" i="13"/>
  <c r="AB310" i="13"/>
  <c r="BK237" i="13"/>
  <c r="AU230" i="13"/>
  <c r="BR400" i="13"/>
  <c r="AA72" i="13"/>
  <c r="AT259" i="13"/>
  <c r="AB430" i="13"/>
  <c r="AO16" i="13"/>
  <c r="BA393" i="13"/>
  <c r="AP476" i="13"/>
  <c r="AC249" i="13"/>
  <c r="D376" i="13"/>
  <c r="BS103" i="13"/>
  <c r="P270" i="13"/>
  <c r="BE478" i="13"/>
  <c r="AJ10" i="13"/>
  <c r="BB270" i="13"/>
  <c r="AA220" i="13"/>
  <c r="BA341" i="13"/>
  <c r="AR111" i="13"/>
  <c r="AJ378" i="13"/>
  <c r="BT20" i="13"/>
  <c r="AV475" i="13"/>
  <c r="BA438" i="13"/>
  <c r="BB122" i="13"/>
  <c r="B1" i="13"/>
  <c r="BG244" i="13"/>
  <c r="BB204" i="13"/>
  <c r="BP326" i="13"/>
  <c r="BF451" i="13"/>
  <c r="AI13" i="13"/>
  <c r="X55" i="13"/>
  <c r="AC260" i="13"/>
  <c r="BP296" i="13"/>
  <c r="BK21" i="13"/>
  <c r="AX389" i="13"/>
  <c r="J379" i="13"/>
  <c r="D185" i="13"/>
  <c r="BC487" i="13"/>
  <c r="Z467" i="13"/>
  <c r="H350" i="13"/>
  <c r="BE235" i="13"/>
  <c r="M229" i="13"/>
  <c r="BU257" i="13"/>
  <c r="X416" i="13"/>
  <c r="AL244" i="13"/>
  <c r="BM181" i="13"/>
  <c r="AO88" i="13"/>
  <c r="BO168" i="13"/>
  <c r="R35" i="13"/>
  <c r="AH390" i="13"/>
  <c r="BR271" i="13"/>
  <c r="BW495" i="13"/>
  <c r="F222" i="13"/>
  <c r="AR138" i="13"/>
  <c r="F322" i="13"/>
  <c r="BD146" i="13"/>
  <c r="AC227" i="13"/>
  <c r="G246" i="13"/>
  <c r="T157" i="13"/>
  <c r="M126" i="13"/>
  <c r="A275" i="13"/>
  <c r="AE255" i="13"/>
  <c r="M387" i="13"/>
  <c r="BO291" i="13"/>
  <c r="BB373" i="13"/>
  <c r="H257" i="13"/>
  <c r="AJ27" i="13"/>
  <c r="AZ391" i="13"/>
  <c r="AI354" i="13"/>
  <c r="O185" i="13"/>
  <c r="J495" i="13"/>
  <c r="AF426" i="13"/>
  <c r="R95" i="13"/>
  <c r="BJ294" i="13"/>
  <c r="AG184" i="13"/>
  <c r="BD361" i="13"/>
  <c r="BE363" i="13"/>
  <c r="AN397" i="13"/>
  <c r="BC491" i="13"/>
  <c r="G228" i="13"/>
  <c r="AQ60" i="13"/>
  <c r="AP92" i="13"/>
  <c r="A394" i="13"/>
  <c r="AQ403" i="13"/>
  <c r="BD307" i="13"/>
  <c r="I392" i="13"/>
  <c r="AR357" i="13"/>
  <c r="Z168" i="13"/>
  <c r="AY487" i="13"/>
  <c r="AJ301" i="13"/>
  <c r="AB345" i="13"/>
  <c r="Q409" i="13"/>
  <c r="BC211" i="13"/>
  <c r="BL152" i="13"/>
  <c r="AV440" i="13"/>
  <c r="AT256" i="13"/>
  <c r="BA369" i="13"/>
  <c r="BF320" i="13"/>
  <c r="AA387" i="13"/>
  <c r="AK487" i="13"/>
  <c r="AQ193" i="13"/>
  <c r="E163" i="13"/>
  <c r="BP28" i="13"/>
  <c r="D328" i="13"/>
  <c r="BS368" i="13"/>
  <c r="AY433" i="13"/>
  <c r="F498" i="13"/>
  <c r="BE63" i="13"/>
  <c r="K373" i="13"/>
  <c r="B161" i="13"/>
  <c r="AM151" i="13"/>
  <c r="BM460" i="13"/>
  <c r="BK388" i="13"/>
  <c r="BT317" i="13"/>
  <c r="Z255" i="13"/>
  <c r="BQ217" i="13"/>
  <c r="AB76" i="13"/>
  <c r="G393" i="13"/>
  <c r="AS283" i="13"/>
  <c r="D392" i="13"/>
  <c r="W427" i="13"/>
  <c r="BT403" i="13"/>
  <c r="AA412" i="13"/>
  <c r="AD376" i="13"/>
  <c r="I373" i="13"/>
  <c r="I279" i="13"/>
  <c r="BJ302" i="13"/>
  <c r="K302" i="13"/>
  <c r="AK230" i="13"/>
  <c r="AF454" i="13"/>
  <c r="Y395" i="13"/>
  <c r="AS358" i="13"/>
  <c r="C220" i="13"/>
  <c r="BC9" i="13"/>
  <c r="AM430" i="13"/>
  <c r="F378" i="13"/>
  <c r="J357" i="13"/>
  <c r="AL263" i="13"/>
  <c r="BK461" i="13"/>
  <c r="E232" i="13"/>
  <c r="M54" i="13"/>
  <c r="G308" i="13"/>
  <c r="W326" i="13"/>
  <c r="G500" i="13"/>
  <c r="AC485" i="13"/>
  <c r="AE73" i="13"/>
  <c r="J201" i="13"/>
  <c r="P339" i="13"/>
  <c r="AM395" i="13"/>
  <c r="H455" i="13"/>
  <c r="BC363" i="13"/>
  <c r="AS478" i="13"/>
  <c r="AQ159" i="13"/>
  <c r="AZ196" i="13"/>
  <c r="BR383" i="13"/>
  <c r="BT194" i="13"/>
  <c r="AI260" i="13"/>
  <c r="AY402" i="13"/>
  <c r="AT481" i="13"/>
  <c r="C360" i="13"/>
  <c r="BW155" i="13"/>
  <c r="BC419" i="13"/>
  <c r="W292" i="13"/>
  <c r="J130" i="13"/>
  <c r="L385" i="13"/>
  <c r="U4" i="13"/>
  <c r="D477" i="13"/>
  <c r="F496" i="13"/>
  <c r="BQ174" i="13"/>
  <c r="BB84" i="13"/>
  <c r="BR257" i="13"/>
  <c r="F303" i="13"/>
  <c r="BQ201" i="13"/>
  <c r="AN271" i="13"/>
  <c r="AN253" i="13"/>
  <c r="N216" i="13"/>
  <c r="BL499" i="13"/>
  <c r="BJ494" i="13"/>
  <c r="AY429" i="13"/>
  <c r="AX86" i="13"/>
  <c r="AC83" i="13"/>
  <c r="BJ21" i="13"/>
  <c r="BL246" i="13"/>
  <c r="BG187" i="13"/>
  <c r="M212" i="13"/>
  <c r="BW313" i="13"/>
  <c r="Y43" i="13"/>
  <c r="BK476" i="13"/>
  <c r="BP284" i="13"/>
  <c r="AO125" i="13"/>
  <c r="BK378" i="13"/>
  <c r="AV328" i="13"/>
  <c r="AD124" i="13"/>
  <c r="BM86" i="13"/>
  <c r="E476" i="13"/>
  <c r="D192" i="13"/>
  <c r="BG316" i="13"/>
  <c r="P172" i="13"/>
  <c r="BB453" i="13"/>
  <c r="AP195" i="13"/>
  <c r="AK411" i="13"/>
  <c r="AL204" i="13"/>
  <c r="BT239" i="13"/>
  <c r="S320" i="13"/>
  <c r="AK151" i="13"/>
  <c r="BK160" i="13"/>
  <c r="BE261" i="13"/>
  <c r="AH204" i="13"/>
  <c r="AL469" i="13"/>
  <c r="AV206" i="13"/>
  <c r="BF314" i="13"/>
  <c r="BF407" i="13"/>
  <c r="BM479" i="13"/>
  <c r="AY488" i="13"/>
  <c r="G384" i="13"/>
  <c r="BL339" i="13"/>
  <c r="AD250" i="13"/>
  <c r="AI221" i="13"/>
  <c r="AD57" i="13"/>
  <c r="AT464" i="13"/>
  <c r="BE445" i="13"/>
  <c r="F164" i="13"/>
  <c r="F426" i="13"/>
  <c r="BU15" i="13"/>
  <c r="AW373" i="13"/>
  <c r="V136" i="13"/>
  <c r="BA326" i="13"/>
  <c r="AC425" i="13"/>
  <c r="AG301" i="13"/>
  <c r="L280" i="13"/>
  <c r="W130" i="13"/>
  <c r="AH3" i="13"/>
  <c r="D93" i="13"/>
  <c r="AQ171" i="13"/>
  <c r="O24" i="13"/>
  <c r="BB223" i="13"/>
  <c r="W488" i="13"/>
  <c r="BI170" i="13"/>
  <c r="AD334" i="13"/>
  <c r="R123" i="13"/>
  <c r="Q281" i="13"/>
  <c r="BV480" i="13"/>
  <c r="U100" i="13"/>
  <c r="Y446" i="13"/>
  <c r="AM383" i="13"/>
  <c r="BC117" i="13"/>
  <c r="AU389" i="13"/>
  <c r="L416" i="13"/>
  <c r="K251" i="13"/>
  <c r="A334" i="13"/>
  <c r="BF466" i="13"/>
  <c r="BT498" i="13"/>
  <c r="AK80" i="13"/>
  <c r="BJ428" i="13"/>
  <c r="H454" i="13"/>
  <c r="B496" i="13"/>
  <c r="U359" i="13"/>
  <c r="AX357" i="13"/>
  <c r="BW446" i="13"/>
  <c r="BK169" i="13"/>
  <c r="E286" i="13"/>
  <c r="AN83" i="13"/>
  <c r="AW6" i="13"/>
  <c r="BE1" i="13"/>
  <c r="BF460" i="13"/>
  <c r="Y467" i="13"/>
  <c r="BF2" i="13"/>
  <c r="AK190" i="13"/>
  <c r="BS302" i="13"/>
  <c r="AP213" i="13"/>
  <c r="AI468" i="13"/>
  <c r="AA114" i="13"/>
  <c r="BE318" i="13"/>
  <c r="AN287" i="13"/>
  <c r="X7" i="13"/>
  <c r="AQ466" i="13"/>
  <c r="AP209" i="13"/>
  <c r="AZ281" i="13"/>
  <c r="BL241" i="13"/>
  <c r="AG223" i="13"/>
  <c r="I166" i="13"/>
  <c r="AE470" i="13"/>
  <c r="BQ200" i="13"/>
  <c r="AB427" i="13"/>
  <c r="BJ447" i="13"/>
  <c r="BL36" i="13"/>
  <c r="E218" i="13"/>
  <c r="BK294" i="13"/>
  <c r="BE306" i="13"/>
  <c r="N191" i="13"/>
  <c r="R482" i="13"/>
  <c r="O337" i="13"/>
  <c r="BK354" i="13"/>
  <c r="AS318" i="13"/>
  <c r="AJ256" i="13"/>
  <c r="BW132" i="13"/>
  <c r="U401" i="13"/>
  <c r="AH253" i="13"/>
  <c r="F177" i="13"/>
  <c r="J193" i="13"/>
  <c r="AP309" i="13"/>
  <c r="AZ458" i="13"/>
  <c r="BG104" i="13"/>
  <c r="BO484" i="13"/>
  <c r="C104" i="13"/>
  <c r="BB469" i="13"/>
  <c r="AU409" i="13"/>
  <c r="BL101" i="13"/>
  <c r="AD345" i="13"/>
  <c r="BM384" i="13"/>
  <c r="AT440" i="13"/>
  <c r="AO333" i="13"/>
  <c r="BH370" i="13"/>
  <c r="W477" i="13"/>
  <c r="Z30" i="13"/>
  <c r="AY168" i="13"/>
  <c r="BC15" i="13"/>
  <c r="N240" i="13"/>
  <c r="BL142" i="13"/>
  <c r="E255" i="13"/>
  <c r="AN280" i="13"/>
  <c r="I111" i="13"/>
  <c r="AY363" i="13"/>
  <c r="AB426" i="13"/>
  <c r="BB115" i="13"/>
  <c r="AW432" i="13"/>
  <c r="O126" i="13"/>
  <c r="M419" i="13"/>
  <c r="BB470" i="13"/>
  <c r="W396" i="13"/>
  <c r="P274" i="13"/>
  <c r="F1" i="13"/>
  <c r="D494" i="13"/>
  <c r="H408" i="13"/>
  <c r="AU146" i="13"/>
  <c r="BS469" i="13"/>
  <c r="BL364" i="13"/>
  <c r="O173" i="13"/>
  <c r="BS424" i="13"/>
  <c r="I461" i="13"/>
  <c r="BC461" i="13"/>
  <c r="BD378" i="13"/>
  <c r="BH375" i="13"/>
  <c r="X68" i="13"/>
  <c r="BS367" i="13"/>
  <c r="AV361" i="13"/>
  <c r="G51" i="13"/>
  <c r="O239" i="13"/>
  <c r="BD266" i="13"/>
  <c r="Q180" i="13"/>
  <c r="H1" i="13"/>
  <c r="M36" i="13"/>
  <c r="BR227" i="13"/>
  <c r="BO370" i="13"/>
  <c r="R417" i="13"/>
  <c r="O2" i="13"/>
  <c r="BF363" i="13"/>
  <c r="BR315" i="13"/>
  <c r="S96" i="13"/>
  <c r="AR382" i="13"/>
  <c r="BQ428" i="13"/>
  <c r="I500" i="13"/>
  <c r="E240" i="13"/>
  <c r="AK500" i="13"/>
  <c r="X287" i="13"/>
  <c r="BW128" i="13"/>
  <c r="AF217" i="13"/>
  <c r="A331" i="13"/>
  <c r="AY289" i="13"/>
  <c r="BR437" i="13"/>
  <c r="BT409" i="13"/>
  <c r="AD440" i="13"/>
  <c r="I460" i="13"/>
  <c r="BG154" i="13"/>
  <c r="AQ318" i="13"/>
  <c r="BW98" i="13"/>
  <c r="O440" i="13"/>
  <c r="I499" i="13"/>
  <c r="BV384" i="13"/>
  <c r="N312" i="13"/>
  <c r="BR209" i="13"/>
  <c r="BC423" i="13"/>
  <c r="V339" i="13"/>
  <c r="AW469" i="13"/>
  <c r="R498" i="13"/>
  <c r="AN435" i="13"/>
  <c r="BO311" i="13"/>
  <c r="BK158" i="13"/>
  <c r="Z376" i="13"/>
  <c r="BI334" i="13"/>
  <c r="AA215" i="13"/>
  <c r="BG362" i="13"/>
  <c r="BF311" i="13"/>
  <c r="BI107" i="13"/>
  <c r="BP456" i="13"/>
  <c r="O211" i="13"/>
  <c r="W417" i="13"/>
  <c r="T389" i="13"/>
  <c r="BB196" i="13"/>
  <c r="BI400" i="13"/>
  <c r="R495" i="13"/>
  <c r="AM247" i="13"/>
  <c r="N277" i="13"/>
  <c r="BU417" i="13"/>
  <c r="BL94" i="13"/>
  <c r="W272" i="13"/>
  <c r="Y468" i="13"/>
  <c r="N201" i="13"/>
  <c r="BO375" i="13"/>
  <c r="AQ290" i="13"/>
  <c r="BN265" i="13"/>
  <c r="F289" i="13"/>
  <c r="C368" i="13"/>
  <c r="BR192" i="13"/>
  <c r="AV176" i="13"/>
  <c r="A155" i="13"/>
  <c r="BO395" i="13"/>
  <c r="BR229" i="13"/>
  <c r="AT185" i="13"/>
  <c r="W203" i="13"/>
  <c r="AF449" i="13"/>
  <c r="BB454" i="13"/>
  <c r="AL335" i="13"/>
  <c r="AL103" i="13"/>
  <c r="M122" i="13"/>
  <c r="AT322" i="13"/>
  <c r="K161" i="13"/>
  <c r="AQ185" i="13"/>
  <c r="V337" i="13"/>
  <c r="T259" i="13"/>
  <c r="AC316" i="13"/>
  <c r="I235" i="13"/>
  <c r="BQ293" i="13"/>
  <c r="O212" i="13"/>
  <c r="I152" i="13"/>
  <c r="AX435" i="13"/>
  <c r="AT414" i="13"/>
  <c r="AT115" i="13"/>
  <c r="H130" i="13"/>
  <c r="BT255" i="13"/>
  <c r="AR459" i="13"/>
  <c r="G193" i="13"/>
  <c r="AM331" i="13"/>
  <c r="BJ465" i="13"/>
  <c r="BV390" i="13"/>
  <c r="AW376" i="13"/>
  <c r="Y95" i="13"/>
  <c r="AI160" i="13"/>
  <c r="BA471" i="13"/>
  <c r="BN133" i="13"/>
  <c r="BE249" i="13"/>
  <c r="BF492" i="13"/>
  <c r="BB53" i="13"/>
  <c r="BK282" i="13"/>
  <c r="AC314" i="13"/>
  <c r="Y33" i="13"/>
  <c r="D162" i="13"/>
  <c r="BR332" i="13"/>
  <c r="AP475" i="13"/>
  <c r="AK322" i="13"/>
  <c r="AC474" i="13"/>
  <c r="O260" i="13"/>
  <c r="AK157" i="13"/>
  <c r="X444" i="13"/>
  <c r="BD456" i="13"/>
  <c r="AM465" i="13"/>
  <c r="BC327" i="13"/>
  <c r="Q346" i="13"/>
  <c r="J482" i="13"/>
  <c r="W5" i="13"/>
  <c r="G279" i="13"/>
  <c r="AH394" i="13"/>
  <c r="BS421" i="13"/>
  <c r="BT213" i="13"/>
  <c r="AW299" i="13"/>
  <c r="BN496" i="13"/>
  <c r="BH290" i="13"/>
  <c r="BC150" i="13"/>
  <c r="AC476" i="13"/>
  <c r="C99" i="13"/>
  <c r="BP238" i="13"/>
  <c r="BQ325" i="13"/>
  <c r="AB398" i="13"/>
  <c r="G490" i="13"/>
  <c r="AQ433" i="13"/>
  <c r="AV217" i="13"/>
  <c r="AX439" i="13"/>
  <c r="AA485" i="13"/>
  <c r="AX415" i="13"/>
  <c r="AL423" i="13"/>
  <c r="V228" i="13"/>
  <c r="BN422" i="13"/>
  <c r="AL167" i="13"/>
  <c r="F23" i="13"/>
  <c r="AE185" i="13"/>
  <c r="AH398" i="13"/>
  <c r="BP477" i="13"/>
  <c r="W246" i="13"/>
  <c r="AO419" i="13"/>
  <c r="I378" i="13"/>
  <c r="AU433" i="13"/>
  <c r="Y411" i="13"/>
  <c r="AZ398" i="13"/>
  <c r="AN266" i="13"/>
  <c r="BB457" i="13"/>
  <c r="AF20" i="13"/>
  <c r="AH184" i="13"/>
  <c r="R448" i="13"/>
  <c r="AD358" i="13"/>
  <c r="U7" i="13"/>
  <c r="BD343" i="13"/>
  <c r="BD429" i="13"/>
  <c r="BM453" i="13"/>
  <c r="AW104" i="13"/>
  <c r="BW501" i="13"/>
  <c r="BE145" i="13"/>
  <c r="BP268" i="13"/>
  <c r="O307" i="13"/>
  <c r="W304" i="13"/>
  <c r="K441" i="13"/>
  <c r="T491" i="13"/>
  <c r="AC132" i="13"/>
  <c r="AR22" i="13"/>
  <c r="I254" i="13"/>
  <c r="BC225" i="13"/>
  <c r="AD241" i="13"/>
  <c r="AI379" i="13"/>
  <c r="Q19" i="13"/>
  <c r="U309" i="13"/>
  <c r="BH303" i="13"/>
  <c r="AI105" i="13"/>
  <c r="AZ331" i="13"/>
  <c r="BM132" i="13"/>
  <c r="W421" i="13"/>
  <c r="U108" i="13"/>
  <c r="C124" i="13"/>
  <c r="AW486" i="13"/>
  <c r="BH435" i="13"/>
  <c r="BG172" i="13"/>
  <c r="Z167" i="13"/>
  <c r="AY136" i="13"/>
  <c r="AG28" i="13"/>
  <c r="BQ169" i="13"/>
  <c r="AQ284" i="13"/>
  <c r="AH217" i="13"/>
  <c r="M196" i="13"/>
  <c r="D468" i="13"/>
  <c r="F318" i="13"/>
  <c r="Q390" i="13"/>
  <c r="BJ301" i="13"/>
  <c r="H233" i="13"/>
  <c r="P197" i="13"/>
  <c r="T226" i="13"/>
  <c r="B100" i="13"/>
  <c r="BT327" i="13"/>
  <c r="BQ364" i="13"/>
  <c r="AQ78" i="13"/>
  <c r="U222" i="13"/>
  <c r="BW377" i="13"/>
  <c r="W314" i="13"/>
  <c r="R22" i="13"/>
  <c r="P81" i="13"/>
  <c r="AJ397" i="13"/>
  <c r="O92" i="13"/>
  <c r="BQ97" i="13"/>
  <c r="AZ346" i="13"/>
  <c r="F61" i="13"/>
  <c r="AA326" i="13"/>
  <c r="K308" i="13"/>
  <c r="BM397" i="13"/>
  <c r="AR407" i="13"/>
  <c r="AW361" i="13"/>
  <c r="M98" i="13"/>
  <c r="BC321" i="13"/>
  <c r="BF271" i="13"/>
  <c r="I202" i="13"/>
  <c r="AD408" i="13"/>
  <c r="BM448" i="13"/>
  <c r="BL312" i="13"/>
  <c r="BB140" i="13"/>
  <c r="AS412" i="13"/>
  <c r="F459" i="13"/>
  <c r="AU177" i="13"/>
  <c r="Z5" i="13"/>
  <c r="H125" i="13"/>
  <c r="BC430" i="13"/>
  <c r="BI174" i="13"/>
  <c r="BO430" i="13"/>
  <c r="AF345" i="13"/>
  <c r="BP291" i="13"/>
  <c r="BJ393" i="13"/>
  <c r="R471" i="13"/>
  <c r="G272" i="13"/>
  <c r="BB35" i="13"/>
  <c r="BD431" i="13"/>
  <c r="B451" i="13"/>
  <c r="K418" i="13"/>
  <c r="AC187" i="13"/>
  <c r="AQ498" i="13"/>
  <c r="AD7" i="13"/>
  <c r="AQ295" i="13"/>
  <c r="BN271" i="13"/>
  <c r="B473" i="13"/>
  <c r="BC10" i="13"/>
  <c r="AD378" i="13"/>
  <c r="AM421" i="13"/>
  <c r="BO263" i="13"/>
  <c r="AE394" i="13"/>
  <c r="AR279" i="13"/>
  <c r="AA28" i="13"/>
  <c r="BG7" i="13"/>
  <c r="G216" i="13"/>
  <c r="J317" i="13"/>
  <c r="BD380" i="13"/>
  <c r="T409" i="13"/>
  <c r="AF366" i="13"/>
  <c r="O466" i="13"/>
  <c r="G501" i="13"/>
  <c r="S210" i="13"/>
  <c r="G112" i="13"/>
  <c r="BH482" i="13"/>
  <c r="AX146" i="13"/>
  <c r="AA320" i="13"/>
  <c r="W72" i="13"/>
  <c r="AI234" i="13"/>
  <c r="BT343" i="13"/>
  <c r="W434" i="13"/>
  <c r="BO429" i="13"/>
  <c r="N269" i="13"/>
  <c r="AL32" i="13"/>
  <c r="BB259" i="13"/>
  <c r="BK194" i="13"/>
  <c r="AU327" i="13"/>
  <c r="BA113" i="13"/>
  <c r="AM100" i="13"/>
  <c r="AA126" i="13"/>
  <c r="B426" i="13"/>
  <c r="BM490" i="13"/>
  <c r="BD436" i="13"/>
  <c r="AO7" i="13"/>
  <c r="V473" i="13"/>
  <c r="BD438" i="13"/>
  <c r="BU263" i="13"/>
  <c r="BG369" i="13"/>
  <c r="BM392" i="13"/>
  <c r="E389" i="13"/>
  <c r="R372" i="13"/>
  <c r="T140" i="13"/>
  <c r="AO340" i="13"/>
  <c r="O338" i="13"/>
  <c r="AT469" i="13"/>
  <c r="O472" i="13"/>
  <c r="BC84" i="13"/>
  <c r="BB299" i="13"/>
  <c r="AZ364" i="13"/>
  <c r="BH170" i="13"/>
  <c r="AT400" i="13"/>
  <c r="BN37" i="13"/>
  <c r="BL227" i="13"/>
  <c r="Z198" i="13"/>
  <c r="AF350" i="13"/>
  <c r="BF124" i="13"/>
  <c r="AZ87" i="13"/>
  <c r="AF159" i="13"/>
  <c r="J352" i="13"/>
  <c r="D405" i="13"/>
  <c r="BN354" i="13"/>
  <c r="AO400" i="13"/>
  <c r="AT290" i="13"/>
  <c r="X1" i="13"/>
  <c r="AZ113" i="13"/>
  <c r="AY275" i="13"/>
  <c r="J298" i="13"/>
  <c r="Z380" i="13"/>
  <c r="AJ443" i="13"/>
  <c r="AU44" i="13"/>
  <c r="BJ73" i="13"/>
  <c r="BU389" i="13"/>
  <c r="Q466" i="13"/>
  <c r="BV476" i="13"/>
  <c r="X126" i="13"/>
  <c r="BW6" i="13"/>
  <c r="A443" i="13"/>
  <c r="BH177" i="13"/>
  <c r="Y458" i="13"/>
  <c r="F383" i="13"/>
  <c r="AT138" i="13"/>
  <c r="BO381" i="13"/>
  <c r="BK481" i="13"/>
  <c r="C459" i="13"/>
  <c r="Y390" i="13"/>
  <c r="P465" i="13"/>
  <c r="BD117" i="13"/>
  <c r="X474" i="13"/>
  <c r="AW186" i="13"/>
  <c r="E424" i="13"/>
  <c r="BU346" i="13"/>
  <c r="D122" i="13"/>
  <c r="AB283" i="13"/>
  <c r="BN214" i="13"/>
  <c r="BO450" i="13"/>
  <c r="T119" i="13"/>
  <c r="D419" i="13"/>
  <c r="BO345" i="13"/>
  <c r="BD5" i="13"/>
  <c r="BA431" i="13"/>
  <c r="G476" i="13"/>
  <c r="AH343" i="13"/>
  <c r="AY391" i="13"/>
  <c r="BF281" i="13"/>
  <c r="K126" i="13"/>
  <c r="BJ472" i="13"/>
  <c r="K26" i="13"/>
  <c r="D484" i="13"/>
  <c r="AU354" i="13"/>
  <c r="AK199" i="13"/>
  <c r="BP349" i="13"/>
  <c r="Z393" i="13"/>
  <c r="AQ397" i="13"/>
  <c r="BQ391" i="13"/>
  <c r="S65" i="13"/>
  <c r="BC362" i="13"/>
  <c r="BI399" i="13"/>
  <c r="B250" i="13"/>
  <c r="BV482" i="13"/>
  <c r="BU135" i="13"/>
  <c r="AT261" i="13"/>
  <c r="AN417" i="13"/>
  <c r="AF260" i="13"/>
  <c r="AG81" i="13"/>
  <c r="AV232" i="13"/>
  <c r="BO393" i="13"/>
  <c r="AJ351" i="13"/>
  <c r="AZ249" i="13"/>
  <c r="BI113" i="13"/>
  <c r="BS271" i="13"/>
  <c r="AA93" i="13"/>
  <c r="AS294" i="13"/>
  <c r="A418" i="13"/>
  <c r="R51" i="13"/>
  <c r="AK201" i="13"/>
  <c r="AU260" i="13"/>
  <c r="V267" i="13"/>
  <c r="BC82" i="13"/>
  <c r="AO296" i="13"/>
  <c r="J61" i="13"/>
  <c r="X73" i="13"/>
  <c r="C400" i="13"/>
  <c r="K434" i="13"/>
  <c r="BD95" i="13"/>
  <c r="W474" i="13"/>
  <c r="S238" i="13"/>
  <c r="K390" i="13"/>
  <c r="H91" i="13"/>
  <c r="AL9" i="13"/>
  <c r="W219" i="13"/>
  <c r="AB378" i="13"/>
  <c r="H358" i="13"/>
  <c r="AA313" i="13"/>
  <c r="D54" i="13"/>
  <c r="BN427" i="13"/>
  <c r="AO301" i="13"/>
  <c r="BN315" i="13"/>
  <c r="BO119" i="13"/>
  <c r="AE151" i="13"/>
  <c r="AY118" i="13"/>
  <c r="BT346" i="13"/>
  <c r="U21" i="13"/>
  <c r="BC247" i="13"/>
  <c r="R368" i="13"/>
  <c r="BU197" i="13"/>
  <c r="AJ84" i="13"/>
  <c r="AS161" i="13"/>
  <c r="BN221" i="13"/>
  <c r="BF397" i="13"/>
  <c r="N306" i="13"/>
  <c r="BC414" i="13"/>
  <c r="BR311" i="13"/>
  <c r="BV217" i="13"/>
  <c r="G56" i="13"/>
  <c r="T105" i="13"/>
  <c r="N27" i="13"/>
  <c r="BB474" i="13"/>
  <c r="AH306" i="13"/>
  <c r="A53" i="13"/>
  <c r="AE437" i="13"/>
  <c r="M125" i="13"/>
  <c r="AR435" i="13"/>
  <c r="AM232" i="13"/>
  <c r="BD81" i="13"/>
  <c r="BK202" i="13"/>
  <c r="AI197" i="13"/>
  <c r="BA301" i="13"/>
  <c r="C501" i="13"/>
  <c r="BG348" i="13"/>
  <c r="H115" i="13"/>
  <c r="BR222" i="13"/>
  <c r="BU351" i="13"/>
  <c r="AG234" i="13"/>
  <c r="BS359" i="13"/>
  <c r="AH353" i="13"/>
  <c r="AU474" i="13"/>
  <c r="M185" i="13"/>
  <c r="W470" i="13"/>
  <c r="U237" i="13"/>
  <c r="BL151" i="13"/>
  <c r="O496" i="13"/>
  <c r="AF400" i="13"/>
  <c r="BS15" i="13"/>
  <c r="AP266" i="13"/>
  <c r="D42" i="13"/>
  <c r="AN79" i="13"/>
  <c r="BD430" i="13"/>
  <c r="AC472" i="13"/>
  <c r="K290" i="13"/>
  <c r="BO351" i="13"/>
  <c r="AQ4" i="13"/>
  <c r="AX343" i="13"/>
  <c r="O198" i="13"/>
  <c r="AZ208" i="13"/>
  <c r="BD251" i="13"/>
  <c r="G365" i="13"/>
  <c r="P324" i="13"/>
  <c r="AE365" i="13"/>
  <c r="O499" i="13"/>
  <c r="AC291" i="13"/>
  <c r="BE95" i="13"/>
  <c r="O419" i="13"/>
  <c r="X175" i="13"/>
  <c r="AP235" i="13"/>
  <c r="W148" i="13"/>
  <c r="AV117" i="13"/>
  <c r="AR328" i="13"/>
  <c r="R41" i="13"/>
  <c r="U373" i="13"/>
  <c r="O196" i="13"/>
  <c r="BW489" i="13"/>
  <c r="AJ11" i="13"/>
  <c r="AD445" i="13"/>
  <c r="J232" i="13"/>
  <c r="N475" i="13"/>
  <c r="BF194" i="13"/>
  <c r="BF279" i="13"/>
  <c r="AY238" i="13"/>
  <c r="AR380" i="13"/>
  <c r="E396" i="13"/>
  <c r="AL277" i="13"/>
  <c r="BR459" i="13"/>
  <c r="BW345" i="13"/>
  <c r="AM108" i="13"/>
  <c r="AS146" i="13"/>
  <c r="AI289" i="13"/>
  <c r="E293" i="13"/>
  <c r="W341" i="13"/>
  <c r="AN7" i="13"/>
  <c r="BI143" i="13"/>
  <c r="C272" i="13"/>
  <c r="Z271" i="13"/>
  <c r="AJ32" i="13"/>
  <c r="BB236" i="13"/>
  <c r="AN233" i="13"/>
  <c r="BL29" i="13"/>
  <c r="BS205" i="13"/>
  <c r="D464" i="13"/>
  <c r="AL490" i="13"/>
  <c r="H311" i="13"/>
  <c r="BS499" i="13"/>
  <c r="BK384" i="13"/>
  <c r="BO107" i="13"/>
  <c r="O389" i="13"/>
  <c r="AU7" i="13"/>
  <c r="BI51" i="13"/>
  <c r="I369" i="13"/>
  <c r="H279" i="13"/>
  <c r="AT197" i="13"/>
  <c r="BW97" i="13"/>
  <c r="AY91" i="13"/>
  <c r="BC469" i="13"/>
  <c r="K75" i="13"/>
  <c r="AB319" i="13"/>
  <c r="AE363" i="13"/>
  <c r="BN321" i="13"/>
  <c r="AF395" i="13"/>
  <c r="BG379" i="13"/>
  <c r="T448" i="13"/>
  <c r="BH260" i="13"/>
  <c r="BV120" i="13"/>
  <c r="BW52" i="13"/>
  <c r="S168" i="13"/>
  <c r="T1" i="13"/>
  <c r="AM405" i="13"/>
  <c r="S255" i="13"/>
  <c r="AL455" i="13"/>
  <c r="G235" i="13"/>
  <c r="AO383" i="13"/>
  <c r="BO136" i="13"/>
  <c r="C434" i="13"/>
  <c r="K223" i="13"/>
  <c r="M179" i="13"/>
  <c r="AX354" i="13"/>
  <c r="W118" i="13"/>
  <c r="AX141" i="13"/>
  <c r="AW180" i="13"/>
  <c r="BC490" i="13"/>
  <c r="AM195" i="13"/>
  <c r="G331" i="13"/>
  <c r="X404" i="13"/>
  <c r="BT251" i="13"/>
  <c r="AH359" i="13"/>
  <c r="AQ250" i="13"/>
  <c r="BV329" i="13"/>
  <c r="BI286" i="13"/>
  <c r="U369" i="13"/>
  <c r="BP261" i="13"/>
  <c r="BD444" i="13"/>
  <c r="BH161" i="13"/>
  <c r="H288" i="13"/>
  <c r="BI465" i="13"/>
  <c r="Y71" i="13"/>
  <c r="J361" i="13"/>
  <c r="BO164" i="13"/>
  <c r="BC405" i="13"/>
  <c r="W473" i="13"/>
  <c r="AZ251" i="13"/>
  <c r="BW239" i="13"/>
  <c r="AT474" i="13"/>
  <c r="E256" i="13"/>
  <c r="N453" i="13"/>
  <c r="B493" i="13"/>
  <c r="H352" i="13"/>
  <c r="AT363" i="13"/>
  <c r="AF339" i="13"/>
  <c r="J464" i="13"/>
  <c r="AY316" i="13"/>
  <c r="AI426" i="13"/>
  <c r="AO172" i="13"/>
  <c r="BS86" i="13"/>
  <c r="J11" i="13"/>
  <c r="AZ216" i="13"/>
  <c r="G397" i="13"/>
  <c r="C476" i="13"/>
  <c r="AJ433" i="13"/>
  <c r="R493" i="13"/>
  <c r="AQ393" i="13"/>
  <c r="U395" i="13"/>
  <c r="BQ151" i="13"/>
  <c r="AV11" i="13"/>
  <c r="AD5" i="13"/>
  <c r="AF348" i="13"/>
  <c r="U231" i="13"/>
  <c r="V177" i="13"/>
  <c r="G349" i="13"/>
  <c r="AD298" i="13"/>
  <c r="G167" i="13"/>
  <c r="A498" i="13"/>
  <c r="BI322" i="13"/>
  <c r="AT20" i="13"/>
  <c r="K28" i="13"/>
  <c r="BU271" i="13"/>
  <c r="AK74" i="13"/>
  <c r="AK91" i="13"/>
  <c r="U382" i="13"/>
  <c r="R296" i="13"/>
  <c r="L376" i="13"/>
  <c r="Z464" i="13"/>
  <c r="AY303" i="13"/>
  <c r="AH361" i="13"/>
  <c r="A453" i="13"/>
  <c r="AT114" i="13"/>
  <c r="BI234" i="13"/>
  <c r="K343" i="13"/>
  <c r="Z483" i="13"/>
  <c r="Z442" i="13"/>
  <c r="A268" i="13"/>
  <c r="AT339" i="13"/>
  <c r="AE492" i="13"/>
  <c r="BE366" i="13"/>
  <c r="BO324" i="13"/>
  <c r="BH363" i="13"/>
  <c r="BC281" i="13"/>
  <c r="R456" i="13"/>
  <c r="O497" i="13"/>
  <c r="L188" i="13"/>
  <c r="BA388" i="13"/>
  <c r="Q467" i="13"/>
  <c r="AB249" i="13"/>
  <c r="C299" i="13"/>
  <c r="AY353" i="13"/>
  <c r="K404" i="13"/>
  <c r="AD174" i="13"/>
  <c r="A49" i="13"/>
  <c r="BA447" i="13"/>
  <c r="BT369" i="13"/>
  <c r="A441" i="13"/>
  <c r="AO217" i="13"/>
  <c r="AZ217" i="13"/>
  <c r="BB339" i="13"/>
  <c r="BR441" i="13"/>
  <c r="B443" i="13"/>
  <c r="AU57" i="13"/>
  <c r="AE356" i="13"/>
  <c r="X168" i="13"/>
  <c r="G422" i="13"/>
  <c r="U388" i="13"/>
  <c r="AK430" i="13"/>
  <c r="BV2" i="13"/>
  <c r="BD496" i="13"/>
  <c r="E335" i="13"/>
  <c r="M447" i="13"/>
  <c r="BQ497" i="13"/>
  <c r="I463" i="13"/>
  <c r="U469" i="13"/>
  <c r="BO237" i="13"/>
  <c r="AW31" i="13"/>
  <c r="BV458" i="13"/>
  <c r="P323" i="13"/>
  <c r="S468" i="13"/>
  <c r="M313" i="13"/>
  <c r="AV447" i="13"/>
  <c r="AJ139" i="13"/>
  <c r="K349" i="13"/>
  <c r="AM244" i="13"/>
  <c r="AK90" i="13"/>
  <c r="AP94" i="13"/>
  <c r="AB148" i="13"/>
  <c r="Q243" i="13"/>
  <c r="K154" i="13"/>
  <c r="N89" i="13"/>
  <c r="BV254" i="13"/>
  <c r="AG231" i="13"/>
  <c r="AP153" i="13"/>
  <c r="AX273" i="13"/>
  <c r="O370" i="13"/>
  <c r="AE380" i="13"/>
  <c r="AE355" i="13"/>
  <c r="R125" i="13"/>
  <c r="BS306" i="13"/>
  <c r="BB188" i="13"/>
  <c r="BA259" i="13"/>
  <c r="BQ91" i="13"/>
  <c r="F251" i="13"/>
  <c r="N98" i="13"/>
  <c r="AA223" i="13"/>
  <c r="P221" i="13"/>
  <c r="AL232" i="13"/>
  <c r="BK126" i="13"/>
  <c r="AE404" i="13"/>
  <c r="AA322" i="13"/>
  <c r="BA482" i="13"/>
  <c r="BI227" i="13"/>
  <c r="H181" i="13"/>
  <c r="P151" i="13"/>
  <c r="AM282" i="13"/>
  <c r="X88" i="13"/>
  <c r="AO335" i="13"/>
  <c r="BW2" i="13"/>
  <c r="V133" i="13"/>
  <c r="AC137" i="13"/>
  <c r="AI265" i="13"/>
  <c r="AT296" i="13"/>
  <c r="I4" i="13"/>
  <c r="AL145" i="13"/>
  <c r="AU394" i="13"/>
  <c r="J412" i="13"/>
  <c r="L87" i="13"/>
  <c r="A364" i="13"/>
  <c r="AX412" i="13"/>
  <c r="C338" i="13"/>
  <c r="E355" i="13"/>
  <c r="AJ49" i="13"/>
  <c r="S501" i="13"/>
  <c r="AB5" i="13"/>
  <c r="AM96" i="13"/>
  <c r="N193" i="13"/>
  <c r="BN489" i="13"/>
  <c r="D218" i="13"/>
  <c r="W389" i="13"/>
  <c r="BS360" i="13"/>
  <c r="M207" i="13"/>
  <c r="AO308" i="13"/>
  <c r="R328" i="13"/>
  <c r="AV364" i="13"/>
  <c r="Q87" i="13"/>
  <c r="D73" i="13"/>
  <c r="AL166" i="13"/>
  <c r="AD70" i="13"/>
  <c r="BO438" i="13"/>
  <c r="BD160" i="13"/>
  <c r="BH183" i="13"/>
  <c r="BN123" i="13"/>
  <c r="K14" i="13"/>
  <c r="AO150" i="13"/>
  <c r="AO319" i="13"/>
  <c r="BW144" i="13"/>
  <c r="C342" i="13"/>
  <c r="Q2" i="13"/>
  <c r="X259" i="13"/>
  <c r="AO371" i="13"/>
  <c r="AQ407" i="13"/>
  <c r="AP98" i="13"/>
  <c r="AS138" i="13"/>
  <c r="BK455" i="13"/>
  <c r="AE114" i="13"/>
  <c r="AY477" i="13"/>
  <c r="G135" i="13"/>
  <c r="AR198" i="13"/>
  <c r="T407" i="13"/>
  <c r="AU102" i="13"/>
  <c r="P136" i="13"/>
  <c r="AX285" i="13"/>
  <c r="AN98" i="13"/>
  <c r="M332" i="13"/>
  <c r="AU424" i="13"/>
  <c r="AR216" i="13"/>
  <c r="M371" i="13"/>
  <c r="AL185" i="13"/>
  <c r="AR501" i="13"/>
  <c r="W213" i="13"/>
  <c r="BS181" i="13"/>
  <c r="D193" i="13"/>
  <c r="D166" i="13"/>
  <c r="BW12" i="13"/>
  <c r="AP5" i="13"/>
  <c r="Z283" i="13"/>
  <c r="AU367" i="13"/>
  <c r="AH170" i="13"/>
  <c r="P380" i="13"/>
  <c r="AT473" i="13"/>
  <c r="AH456" i="13"/>
  <c r="F300" i="13"/>
  <c r="AP310" i="13"/>
  <c r="U127" i="13"/>
  <c r="AZ288" i="13"/>
  <c r="O99" i="13"/>
  <c r="AY135" i="13"/>
  <c r="AM142" i="13"/>
  <c r="AG485" i="13"/>
  <c r="AH358" i="13"/>
  <c r="C294" i="13"/>
  <c r="M178" i="13"/>
  <c r="AP114" i="13"/>
  <c r="AE9" i="13"/>
  <c r="L50" i="13"/>
  <c r="F265" i="13"/>
  <c r="AF280" i="13"/>
  <c r="BJ380" i="13"/>
  <c r="BE19" i="13"/>
  <c r="AK8" i="13"/>
  <c r="BH483" i="13"/>
  <c r="E20" i="13"/>
  <c r="AS118" i="13"/>
  <c r="BB78" i="13"/>
  <c r="N430" i="13"/>
  <c r="AE278" i="13"/>
  <c r="BE301" i="13"/>
  <c r="I133" i="13"/>
  <c r="K335" i="13"/>
  <c r="K107" i="13"/>
  <c r="R464" i="13"/>
  <c r="BT39" i="13"/>
  <c r="E353" i="13"/>
  <c r="AM101" i="13"/>
  <c r="Q337" i="13"/>
  <c r="BC98" i="13"/>
  <c r="AN142" i="13"/>
  <c r="J470" i="13"/>
  <c r="BO102" i="13"/>
  <c r="N38" i="13"/>
  <c r="BB326" i="13"/>
  <c r="F64" i="13"/>
  <c r="AO149" i="13"/>
  <c r="BE21" i="13"/>
  <c r="X110" i="13"/>
  <c r="BA497" i="13"/>
  <c r="AR301" i="13"/>
  <c r="G100" i="13"/>
  <c r="K29" i="13"/>
  <c r="D147" i="13"/>
  <c r="BW250" i="13"/>
  <c r="BW172" i="13"/>
  <c r="BA303" i="13"/>
  <c r="BS320" i="13"/>
  <c r="AR455" i="13"/>
  <c r="AM145" i="13"/>
  <c r="W176" i="13"/>
  <c r="S60" i="13"/>
  <c r="Q166" i="13"/>
  <c r="AX117" i="13"/>
  <c r="BJ323" i="13"/>
  <c r="AN54" i="13"/>
  <c r="AN272" i="13"/>
  <c r="X299" i="13"/>
  <c r="Y342" i="13"/>
  <c r="BO156" i="13"/>
  <c r="BT263" i="13"/>
  <c r="A110" i="13"/>
  <c r="P293" i="13"/>
  <c r="AM64" i="13"/>
  <c r="BA421" i="13"/>
  <c r="H500" i="13"/>
  <c r="M379" i="13"/>
  <c r="BC368" i="13"/>
  <c r="S116" i="13"/>
  <c r="BD92" i="13"/>
  <c r="BR89" i="13"/>
  <c r="E392" i="13"/>
  <c r="J226" i="13"/>
  <c r="M434" i="13"/>
  <c r="BH315" i="13"/>
  <c r="AY320" i="13"/>
  <c r="F311" i="13"/>
  <c r="AJ232" i="13"/>
  <c r="K380" i="13"/>
  <c r="AN106" i="13"/>
  <c r="AJ5" i="13"/>
  <c r="AF403" i="13"/>
  <c r="S249" i="13"/>
  <c r="C49" i="13"/>
  <c r="AC336" i="13"/>
  <c r="AU446" i="13"/>
  <c r="BN16" i="13"/>
  <c r="BG29" i="13"/>
  <c r="BF232" i="13"/>
  <c r="M449" i="13"/>
  <c r="BS356" i="13"/>
  <c r="BK350" i="13"/>
  <c r="BU90" i="13"/>
  <c r="T387" i="13"/>
  <c r="E134" i="13"/>
  <c r="Y363" i="13"/>
  <c r="AI315" i="13"/>
  <c r="AY386" i="13"/>
  <c r="C312" i="13"/>
  <c r="AN229" i="13"/>
  <c r="BM179" i="13"/>
  <c r="E192" i="13"/>
  <c r="N311" i="13"/>
  <c r="AA19" i="13"/>
  <c r="O6" i="13"/>
  <c r="BV66" i="13"/>
  <c r="BK246" i="13"/>
  <c r="BK387" i="13"/>
  <c r="AX173" i="13"/>
  <c r="Y110" i="13"/>
  <c r="G110" i="13"/>
  <c r="AD384" i="13"/>
  <c r="AU434" i="13"/>
  <c r="BL273" i="13"/>
  <c r="BP272" i="13"/>
  <c r="AQ320" i="13"/>
  <c r="V230" i="13"/>
  <c r="AT343" i="13"/>
  <c r="R290" i="13"/>
  <c r="D480" i="13"/>
  <c r="BA339" i="13"/>
  <c r="AF283" i="13"/>
  <c r="BM398" i="13"/>
  <c r="AY241" i="13"/>
  <c r="BU96" i="13"/>
  <c r="BP332" i="13"/>
  <c r="H200" i="13"/>
  <c r="BT364" i="13"/>
  <c r="F486" i="13"/>
  <c r="AB321" i="13"/>
  <c r="BK196" i="13"/>
  <c r="BH423" i="13"/>
  <c r="C426" i="13"/>
  <c r="BN162" i="13"/>
  <c r="AH302" i="13"/>
  <c r="BI160" i="13"/>
  <c r="BH391" i="13"/>
  <c r="BH401" i="13"/>
  <c r="H397" i="13"/>
  <c r="AY350" i="13"/>
  <c r="BD311" i="13"/>
  <c r="AX13" i="13"/>
  <c r="X180" i="13"/>
  <c r="BL113" i="13"/>
  <c r="BG199" i="13"/>
  <c r="AE464" i="13"/>
  <c r="L475" i="13"/>
  <c r="BP107" i="13"/>
  <c r="AZ21" i="13"/>
  <c r="E140" i="13"/>
  <c r="BS494" i="13"/>
  <c r="AX243" i="13"/>
  <c r="BT496" i="13"/>
  <c r="AL230" i="13"/>
  <c r="AB271" i="13"/>
  <c r="BV436" i="13"/>
  <c r="BW492" i="13"/>
  <c r="AZ499" i="13"/>
  <c r="AP3" i="13"/>
  <c r="BC441" i="13"/>
  <c r="BC447" i="13"/>
  <c r="AF23" i="13"/>
  <c r="AE449" i="13"/>
  <c r="AQ267" i="13"/>
  <c r="M174" i="13"/>
  <c r="AM295" i="13"/>
  <c r="BN176" i="13"/>
  <c r="AW401" i="13"/>
  <c r="Z237" i="13"/>
  <c r="Y265" i="13"/>
  <c r="W200" i="13"/>
  <c r="AY177" i="13"/>
  <c r="AW349" i="13"/>
  <c r="BQ147" i="13"/>
  <c r="AZ31" i="13"/>
  <c r="K272" i="13"/>
  <c r="G102" i="13"/>
  <c r="W501" i="13"/>
  <c r="BP315" i="13"/>
  <c r="AO483" i="13"/>
  <c r="G364" i="13"/>
  <c r="AQ367" i="13"/>
  <c r="W425" i="13"/>
  <c r="P370" i="13"/>
  <c r="AK241" i="13"/>
  <c r="K74" i="13"/>
  <c r="G358" i="13"/>
  <c r="AH335" i="13"/>
  <c r="AJ380" i="13"/>
  <c r="R73" i="13"/>
  <c r="F427" i="13"/>
  <c r="AZ418" i="13"/>
  <c r="BC240" i="13"/>
  <c r="H138" i="13"/>
  <c r="AU38" i="13"/>
  <c r="AR404" i="13"/>
  <c r="BR401" i="13"/>
  <c r="BB377" i="13"/>
  <c r="BC359" i="13"/>
  <c r="J268" i="13"/>
  <c r="AJ453" i="13"/>
  <c r="BF205" i="13"/>
  <c r="BS130" i="13"/>
  <c r="BR497" i="13"/>
  <c r="N131" i="13"/>
  <c r="AT137" i="13"/>
  <c r="U344" i="13"/>
  <c r="BD394" i="13"/>
  <c r="BB449" i="13"/>
  <c r="AV459" i="13"/>
  <c r="BJ277" i="13"/>
  <c r="AR153" i="13"/>
  <c r="AX329" i="13"/>
  <c r="O248" i="13"/>
  <c r="BT308" i="13"/>
  <c r="AE493" i="13"/>
  <c r="AU242" i="13"/>
  <c r="AZ296" i="13"/>
  <c r="AW132" i="13"/>
  <c r="P232" i="13"/>
  <c r="V127" i="13"/>
  <c r="AZ245" i="13"/>
  <c r="AY27" i="13"/>
  <c r="AE401" i="13"/>
  <c r="AA495" i="13"/>
  <c r="BF162" i="13"/>
  <c r="F87" i="13"/>
  <c r="Q206" i="13"/>
  <c r="AE359" i="13"/>
  <c r="BJ381" i="13"/>
  <c r="AI78" i="13"/>
  <c r="AA312" i="13"/>
  <c r="AX348" i="13"/>
  <c r="BH265" i="13"/>
  <c r="BS350" i="13"/>
  <c r="BN145" i="13"/>
  <c r="AK238" i="13"/>
  <c r="AD460" i="13"/>
  <c r="AL259" i="13"/>
  <c r="M147" i="13"/>
  <c r="R222" i="13"/>
  <c r="C393" i="13"/>
  <c r="C76" i="13"/>
  <c r="C171" i="13"/>
  <c r="BL431" i="13"/>
  <c r="AD438" i="13"/>
  <c r="D91" i="13"/>
  <c r="AO257" i="13"/>
  <c r="BN311" i="13"/>
  <c r="BJ397" i="13"/>
  <c r="BU317" i="13"/>
  <c r="BI479" i="13"/>
  <c r="AP138" i="13"/>
  <c r="L226" i="13"/>
  <c r="AB438" i="13"/>
  <c r="T432" i="13"/>
  <c r="AK403" i="13"/>
  <c r="X451" i="13"/>
  <c r="AF177" i="13"/>
  <c r="AH87" i="13"/>
  <c r="P243" i="13"/>
  <c r="F69" i="13"/>
  <c r="BI413" i="13"/>
  <c r="BS438" i="13"/>
  <c r="X423" i="13"/>
  <c r="AW419" i="13"/>
  <c r="BW221" i="13"/>
  <c r="B148" i="13"/>
  <c r="M359" i="13"/>
  <c r="BI345" i="13"/>
  <c r="BS473" i="13"/>
  <c r="U433" i="13"/>
  <c r="BL444" i="13"/>
  <c r="AW264" i="13"/>
  <c r="AF165" i="13"/>
  <c r="AR414" i="13"/>
  <c r="BC194" i="13"/>
  <c r="BL426" i="13"/>
  <c r="M498" i="13"/>
  <c r="BP484" i="13"/>
  <c r="Q316" i="13"/>
  <c r="AK125" i="13"/>
  <c r="K201" i="13"/>
  <c r="AH250" i="13"/>
  <c r="AR397" i="13"/>
  <c r="AW356" i="13"/>
  <c r="AD457" i="13"/>
  <c r="AG372" i="13"/>
  <c r="BW424" i="13"/>
  <c r="BC290" i="13"/>
  <c r="AD389" i="13"/>
  <c r="AA369" i="13"/>
  <c r="BW486" i="13"/>
  <c r="AW7" i="13"/>
  <c r="AR205" i="13"/>
  <c r="BM171" i="13"/>
  <c r="H189" i="13"/>
  <c r="BO402" i="13"/>
  <c r="AT391" i="13"/>
  <c r="I270" i="13"/>
  <c r="L359" i="13"/>
  <c r="AU275" i="13"/>
  <c r="AJ319" i="13"/>
  <c r="BS442" i="13"/>
  <c r="BI441" i="13"/>
  <c r="BN461" i="13"/>
  <c r="J142" i="13"/>
  <c r="AT147" i="13"/>
  <c r="L315" i="13"/>
  <c r="BS478" i="13"/>
  <c r="AW476" i="13"/>
  <c r="BL332" i="13"/>
  <c r="U120" i="13"/>
  <c r="P337" i="13"/>
  <c r="BH377" i="13"/>
  <c r="U461" i="13"/>
  <c r="V378" i="13"/>
  <c r="S35" i="13"/>
  <c r="BJ269" i="13"/>
  <c r="A170" i="13"/>
  <c r="BK497" i="13"/>
  <c r="AL130" i="13"/>
  <c r="AK463" i="13"/>
  <c r="D391" i="13"/>
  <c r="H468" i="13"/>
  <c r="AB282" i="13"/>
  <c r="Z1" i="13"/>
  <c r="BO385" i="13"/>
  <c r="AS256" i="13"/>
  <c r="BJ421" i="13"/>
  <c r="Y184" i="13"/>
  <c r="X477" i="13"/>
  <c r="K432" i="13"/>
  <c r="AN497" i="13"/>
  <c r="BU219" i="13"/>
  <c r="V10" i="13"/>
  <c r="BT334" i="13"/>
  <c r="Y490" i="13"/>
  <c r="S161" i="13"/>
  <c r="H79" i="13"/>
  <c r="U199" i="13"/>
  <c r="BH254" i="13"/>
  <c r="AZ422" i="13"/>
  <c r="BR152" i="13"/>
  <c r="BE353" i="13"/>
  <c r="N439" i="13"/>
  <c r="L156" i="13"/>
  <c r="AI6" i="13"/>
  <c r="H434" i="13"/>
  <c r="AS308" i="13"/>
  <c r="AE19" i="13"/>
  <c r="F380" i="13"/>
  <c r="O41" i="13"/>
  <c r="Q20" i="13"/>
  <c r="BW467" i="13"/>
  <c r="AZ392" i="13"/>
  <c r="AI302" i="13"/>
  <c r="H281" i="13"/>
  <c r="BK478" i="13"/>
  <c r="BD389" i="13"/>
  <c r="AF243" i="13"/>
  <c r="Y465" i="13"/>
  <c r="AX473" i="13"/>
  <c r="AG252" i="13"/>
  <c r="AO221" i="13"/>
  <c r="AA205" i="13"/>
  <c r="AW202" i="13"/>
  <c r="BJ478" i="13"/>
  <c r="AW2" i="13"/>
  <c r="D491" i="13"/>
  <c r="Q67" i="13"/>
  <c r="AR356" i="13"/>
  <c r="AO475" i="13"/>
  <c r="BB199" i="13"/>
  <c r="BS199" i="13"/>
  <c r="O10" i="13"/>
  <c r="AR379" i="13"/>
  <c r="W243" i="13"/>
  <c r="AG253" i="13"/>
  <c r="D205" i="13"/>
  <c r="BS285" i="13"/>
  <c r="M20" i="13"/>
  <c r="AX364" i="13"/>
  <c r="A83" i="13"/>
  <c r="I417" i="13"/>
  <c r="BO264" i="13"/>
  <c r="BD375" i="13"/>
  <c r="AX424" i="13"/>
  <c r="K192" i="13"/>
  <c r="Z474" i="13"/>
  <c r="AG451" i="13"/>
  <c r="AS446" i="13"/>
  <c r="BT279" i="13"/>
  <c r="AN460" i="13"/>
  <c r="G136" i="13"/>
  <c r="BN258" i="13"/>
  <c r="Y4" i="13"/>
  <c r="AV284" i="13"/>
  <c r="G201" i="13"/>
  <c r="AN126" i="13"/>
  <c r="X405" i="13"/>
  <c r="BF493" i="13"/>
  <c r="D66" i="13"/>
  <c r="R18" i="13"/>
  <c r="E237" i="13"/>
  <c r="AR58" i="13"/>
  <c r="W449" i="13"/>
  <c r="BK206" i="13"/>
  <c r="T356" i="13"/>
  <c r="AF261" i="13"/>
  <c r="AT286" i="13"/>
  <c r="S17" i="13"/>
  <c r="BL226" i="13"/>
  <c r="BK70" i="13"/>
  <c r="J188" i="13"/>
  <c r="I119" i="13"/>
  <c r="BQ12" i="13"/>
  <c r="N104" i="13"/>
  <c r="AA338" i="13"/>
  <c r="P300" i="13"/>
  <c r="P420" i="13"/>
  <c r="AX197" i="13"/>
  <c r="K52" i="13"/>
  <c r="D7" i="13"/>
  <c r="BW188" i="13"/>
  <c r="AT307" i="13"/>
  <c r="AY498" i="13"/>
  <c r="AY69" i="13"/>
  <c r="Q317" i="13"/>
  <c r="A349" i="13"/>
  <c r="BQ191" i="13"/>
  <c r="BF295" i="13"/>
  <c r="AK296" i="13"/>
  <c r="BM325" i="13"/>
  <c r="K377" i="13"/>
  <c r="AD483" i="13"/>
  <c r="BR136" i="13"/>
  <c r="BB414" i="13"/>
  <c r="Q138" i="13"/>
  <c r="BB205" i="13"/>
  <c r="AD150" i="13"/>
  <c r="R100" i="13"/>
  <c r="J161" i="13"/>
  <c r="BV327" i="13"/>
  <c r="AS347" i="13"/>
  <c r="X72" i="13"/>
  <c r="BL367" i="13"/>
  <c r="AK128" i="13"/>
  <c r="AV273" i="13"/>
  <c r="BI142" i="13"/>
  <c r="B25" i="13"/>
  <c r="W252" i="13"/>
  <c r="AF417" i="13"/>
  <c r="E388" i="13"/>
  <c r="BW340" i="13"/>
  <c r="K417" i="13"/>
  <c r="S73" i="13"/>
  <c r="AI174" i="13"/>
  <c r="AN320" i="13"/>
  <c r="AX88" i="13"/>
  <c r="AE149" i="13"/>
  <c r="G137" i="13"/>
  <c r="AO12" i="13"/>
  <c r="BN454" i="13"/>
  <c r="AC296" i="13"/>
  <c r="U316" i="13"/>
  <c r="D330" i="13"/>
  <c r="BH176" i="13"/>
  <c r="BE158" i="13"/>
  <c r="BN294" i="13"/>
  <c r="C228" i="13"/>
  <c r="BE308" i="13"/>
  <c r="BI187" i="13"/>
  <c r="BI340" i="13"/>
  <c r="BG366" i="13"/>
  <c r="AH6" i="13"/>
  <c r="U453" i="13"/>
  <c r="E165" i="13"/>
  <c r="Y267" i="13"/>
  <c r="D367" i="13"/>
  <c r="Z303" i="13"/>
  <c r="Q28" i="13"/>
  <c r="BO378" i="13"/>
  <c r="BU458" i="13"/>
  <c r="P425" i="13"/>
  <c r="G231" i="13"/>
  <c r="BU275" i="13"/>
  <c r="Z479" i="13"/>
  <c r="AB468" i="13"/>
  <c r="BK337" i="13"/>
  <c r="W36" i="13"/>
  <c r="AV360" i="13"/>
  <c r="P192" i="13"/>
  <c r="N474" i="13"/>
  <c r="C364" i="13"/>
  <c r="BO61" i="13"/>
  <c r="BK179" i="13"/>
  <c r="AR316" i="13"/>
  <c r="AO206" i="13"/>
  <c r="Z411" i="13"/>
  <c r="B56" i="13"/>
  <c r="AW209" i="13"/>
  <c r="BP221" i="13"/>
  <c r="AU311" i="13"/>
  <c r="AH222" i="13"/>
  <c r="S391" i="13"/>
  <c r="E471" i="13"/>
  <c r="R67" i="13"/>
  <c r="BK366" i="13"/>
  <c r="BW242" i="13"/>
  <c r="BG357" i="13"/>
  <c r="W342" i="13"/>
  <c r="AU301" i="13"/>
  <c r="K123" i="13"/>
  <c r="BR6" i="13"/>
  <c r="BQ226" i="13"/>
  <c r="BO357" i="13"/>
  <c r="AK101" i="13"/>
  <c r="BQ58" i="13"/>
  <c r="J451" i="13"/>
  <c r="BE165" i="13"/>
  <c r="BC219" i="13"/>
  <c r="AF377" i="13"/>
  <c r="D449" i="13"/>
  <c r="BL400" i="13"/>
  <c r="BI384" i="13"/>
  <c r="BV22" i="13"/>
  <c r="D234" i="13"/>
  <c r="BO93" i="13"/>
  <c r="AW398" i="13"/>
  <c r="Y250" i="13"/>
  <c r="L288" i="13"/>
  <c r="AH348" i="13"/>
  <c r="P461" i="13"/>
  <c r="AT1" i="13"/>
  <c r="AA465" i="13"/>
  <c r="BE347" i="13"/>
  <c r="BD36" i="13"/>
  <c r="F100" i="13"/>
  <c r="BN144" i="13"/>
  <c r="BU38" i="13"/>
  <c r="H314" i="13"/>
  <c r="AB407" i="13"/>
  <c r="BW463" i="13"/>
  <c r="V94" i="13"/>
  <c r="BI1" i="13"/>
  <c r="BP306" i="13"/>
  <c r="D251" i="13"/>
  <c r="BS433" i="13"/>
  <c r="M400" i="13"/>
  <c r="BV494" i="13"/>
  <c r="AV147" i="13"/>
  <c r="BJ437" i="13"/>
  <c r="BU329" i="13"/>
  <c r="AV135" i="13"/>
  <c r="BO84" i="13"/>
  <c r="AK437" i="13"/>
  <c r="C292" i="13"/>
  <c r="AD363" i="13"/>
  <c r="J253" i="13"/>
  <c r="AM356" i="13"/>
  <c r="AO32" i="13"/>
  <c r="T117" i="13"/>
  <c r="BP211" i="13"/>
  <c r="AS488" i="13"/>
  <c r="AV466" i="13"/>
  <c r="L118" i="13"/>
  <c r="AO235" i="13"/>
  <c r="B291" i="13"/>
  <c r="AR378" i="13"/>
  <c r="BA353" i="13"/>
  <c r="AC159" i="13"/>
  <c r="AS210" i="13"/>
  <c r="W323" i="13"/>
  <c r="AR163" i="13"/>
  <c r="G408" i="13"/>
  <c r="BI365" i="13"/>
  <c r="D273" i="13"/>
  <c r="BS174" i="13"/>
  <c r="AG144" i="13"/>
  <c r="AP345" i="13"/>
  <c r="BP452" i="13"/>
  <c r="S497" i="13"/>
  <c r="BH406" i="13"/>
  <c r="AT348" i="13"/>
  <c r="AH105" i="13"/>
  <c r="G333" i="13"/>
  <c r="BO408" i="13"/>
  <c r="AW64" i="13"/>
  <c r="AB330" i="13"/>
  <c r="AP470" i="13"/>
  <c r="P189" i="13"/>
  <c r="T494" i="13"/>
  <c r="R47" i="13"/>
  <c r="AN95" i="13"/>
  <c r="BV172" i="13"/>
  <c r="AG406" i="13"/>
  <c r="A152" i="13"/>
  <c r="T393" i="13"/>
  <c r="AN170" i="13"/>
  <c r="Z354" i="13"/>
  <c r="AH453" i="13"/>
  <c r="I121" i="13"/>
  <c r="AF188" i="13"/>
  <c r="AA247" i="13"/>
  <c r="AC34" i="13"/>
  <c r="BB88" i="13"/>
  <c r="AS9" i="13"/>
  <c r="AZ230" i="13"/>
  <c r="G421" i="13"/>
  <c r="BM291" i="13"/>
  <c r="P284" i="13"/>
  <c r="K253" i="13"/>
  <c r="BM126" i="13"/>
  <c r="BT471" i="13"/>
  <c r="S243" i="13"/>
  <c r="AX409" i="13"/>
  <c r="V493" i="13"/>
  <c r="AK49" i="13"/>
  <c r="S299" i="13"/>
  <c r="AI257" i="13"/>
  <c r="BD23" i="13"/>
  <c r="BH475" i="13"/>
  <c r="BP397" i="13"/>
  <c r="G145" i="13"/>
  <c r="BG242" i="13"/>
  <c r="AJ244" i="13"/>
  <c r="AK464" i="13"/>
  <c r="G326" i="13"/>
  <c r="BQ425" i="13"/>
  <c r="AJ263" i="13"/>
  <c r="BI391" i="13"/>
  <c r="AB421" i="13"/>
  <c r="P288" i="13"/>
  <c r="BE107" i="13"/>
  <c r="I478" i="13"/>
  <c r="P489" i="13"/>
  <c r="L269" i="13"/>
  <c r="L81" i="13"/>
  <c r="AB1" i="13"/>
  <c r="W12" i="13"/>
  <c r="AZ441" i="13"/>
  <c r="R366" i="13"/>
  <c r="BC339" i="13"/>
  <c r="AO354" i="13"/>
  <c r="BF337" i="13"/>
  <c r="R434" i="13"/>
  <c r="BB133" i="13"/>
  <c r="B476" i="13"/>
  <c r="AU137" i="13"/>
  <c r="BL327" i="13"/>
  <c r="AG149" i="13"/>
  <c r="AZ189" i="13"/>
  <c r="AH493" i="13"/>
  <c r="AP344" i="13"/>
  <c r="AM450" i="13"/>
  <c r="AZ259" i="13"/>
  <c r="T293" i="13"/>
  <c r="AL219" i="13"/>
  <c r="BS380" i="13"/>
  <c r="AX162" i="13"/>
  <c r="AL390" i="13"/>
  <c r="BL164" i="13"/>
  <c r="BF321" i="13"/>
  <c r="AO91" i="13"/>
  <c r="AB235" i="13"/>
  <c r="BP324" i="13"/>
  <c r="AS448" i="13"/>
  <c r="O450" i="13"/>
  <c r="BU94" i="13"/>
  <c r="AV71" i="13"/>
  <c r="AB311" i="13"/>
  <c r="Q361" i="13"/>
  <c r="R75" i="13"/>
  <c r="BR458" i="13"/>
  <c r="AV29" i="13"/>
  <c r="I362" i="13"/>
  <c r="BN136" i="13"/>
  <c r="AJ8" i="13"/>
  <c r="BH210" i="13"/>
  <c r="X186" i="13"/>
  <c r="R127" i="13"/>
  <c r="BG402" i="13"/>
  <c r="AI249" i="13"/>
  <c r="S349" i="13"/>
  <c r="AO445" i="13"/>
  <c r="BA271" i="13"/>
  <c r="BW251" i="13"/>
  <c r="AS303" i="13"/>
  <c r="N321" i="13"/>
  <c r="BO154" i="13"/>
  <c r="AJ273" i="13"/>
  <c r="BQ499" i="13"/>
  <c r="AI370" i="13"/>
  <c r="AY223" i="13"/>
  <c r="H347" i="13"/>
  <c r="Y422" i="13"/>
  <c r="AJ243" i="13"/>
  <c r="Q141" i="13"/>
  <c r="AQ242" i="13"/>
  <c r="X247" i="13"/>
  <c r="AT188" i="13"/>
  <c r="G287" i="13"/>
  <c r="AZ461" i="13"/>
  <c r="M500" i="13"/>
  <c r="S367" i="13"/>
  <c r="AV98" i="13"/>
  <c r="BW450" i="13"/>
  <c r="A398" i="13"/>
  <c r="H355" i="13"/>
  <c r="BM80" i="13"/>
  <c r="AH191" i="13"/>
  <c r="AQ291" i="13"/>
  <c r="C142" i="13"/>
  <c r="AI444" i="13"/>
  <c r="AJ364" i="13"/>
  <c r="J225" i="13"/>
  <c r="AP498" i="13"/>
  <c r="Y152" i="13"/>
  <c r="S307" i="13"/>
  <c r="Y175" i="13"/>
  <c r="AI259" i="13"/>
  <c r="L13" i="13"/>
  <c r="AW245" i="13"/>
  <c r="F463" i="13"/>
  <c r="AJ119" i="13"/>
  <c r="T37" i="13"/>
  <c r="V283" i="13"/>
  <c r="AD21" i="13"/>
  <c r="J355" i="13"/>
  <c r="AI357" i="13"/>
  <c r="AO71" i="13"/>
  <c r="U200" i="13"/>
  <c r="AW292" i="13"/>
  <c r="AX29" i="13"/>
  <c r="AS8" i="13"/>
  <c r="N361" i="13"/>
  <c r="BV158" i="13"/>
  <c r="BL287" i="13"/>
  <c r="BI279" i="13"/>
  <c r="AR217" i="13"/>
  <c r="U370" i="13"/>
  <c r="AH384" i="13"/>
  <c r="G311" i="13"/>
  <c r="V410" i="13"/>
  <c r="D156" i="13"/>
  <c r="V471" i="13"/>
  <c r="AP435" i="13"/>
  <c r="BK333" i="13"/>
  <c r="V52" i="13"/>
  <c r="R294" i="13"/>
  <c r="AF437" i="13"/>
  <c r="AF442" i="13"/>
  <c r="BP41" i="13"/>
  <c r="AE161" i="13"/>
  <c r="BF351" i="13"/>
  <c r="AM302" i="13"/>
  <c r="BF387" i="13"/>
  <c r="BN293" i="13"/>
  <c r="BM303" i="13"/>
  <c r="AJ474" i="13"/>
  <c r="AL387" i="13"/>
  <c r="F442" i="13"/>
  <c r="C385" i="13"/>
  <c r="BF274" i="13"/>
  <c r="AQ57" i="13"/>
  <c r="T333" i="13"/>
  <c r="BA114" i="13"/>
  <c r="BB12" i="13"/>
  <c r="D75" i="13"/>
  <c r="BT174" i="13"/>
  <c r="U98" i="13"/>
  <c r="BK391" i="13"/>
  <c r="BB460" i="13"/>
  <c r="AD237" i="13"/>
  <c r="AS423" i="13"/>
  <c r="BW266" i="13"/>
  <c r="AS389" i="13"/>
  <c r="BM290" i="13"/>
  <c r="AA425" i="13"/>
  <c r="AV131" i="13"/>
  <c r="Y413" i="13"/>
  <c r="M138" i="13"/>
  <c r="BI443" i="13"/>
  <c r="G168" i="13"/>
  <c r="BQ152" i="13"/>
  <c r="Q492" i="13"/>
  <c r="BE443" i="13"/>
  <c r="BI121" i="13"/>
  <c r="S329" i="13"/>
  <c r="BP184" i="13"/>
  <c r="AR249" i="13"/>
  <c r="BV305" i="13"/>
  <c r="M13" i="13"/>
  <c r="Y177" i="13"/>
  <c r="AN351" i="13"/>
  <c r="T134" i="13"/>
  <c r="F3" i="13"/>
  <c r="AV437" i="13"/>
  <c r="AV356" i="13"/>
  <c r="AD240" i="13"/>
  <c r="AP281" i="13"/>
  <c r="BM458" i="13"/>
  <c r="U431" i="13"/>
  <c r="P224" i="13"/>
  <c r="BA165" i="13"/>
  <c r="BD500" i="13"/>
  <c r="BS456" i="13"/>
  <c r="BF103" i="13"/>
  <c r="Y314" i="13"/>
  <c r="V206" i="13"/>
  <c r="AP314" i="13"/>
  <c r="A230" i="13"/>
  <c r="AO23" i="13"/>
  <c r="AV394" i="13"/>
  <c r="E368" i="13"/>
  <c r="L446" i="13"/>
  <c r="S364" i="13"/>
  <c r="I468" i="13"/>
  <c r="AP184" i="13"/>
  <c r="H95" i="13"/>
  <c r="I402" i="13"/>
  <c r="AL440" i="13"/>
  <c r="AT45" i="13"/>
  <c r="BS221" i="13"/>
  <c r="F492" i="13"/>
  <c r="A400" i="13"/>
  <c r="BM286" i="13"/>
  <c r="BR323" i="13"/>
  <c r="T344" i="13"/>
  <c r="BW295" i="13"/>
  <c r="AC351" i="13"/>
  <c r="N144" i="13"/>
  <c r="AC397" i="13"/>
  <c r="E30" i="13"/>
  <c r="AX220" i="13"/>
  <c r="F209" i="13"/>
  <c r="BC158" i="13"/>
  <c r="U367" i="13"/>
  <c r="BV398" i="13"/>
  <c r="AK30" i="13"/>
  <c r="H348" i="13"/>
  <c r="T31" i="13"/>
  <c r="BU305" i="13"/>
  <c r="AA9" i="13"/>
  <c r="BE415" i="13"/>
  <c r="Y299" i="13"/>
  <c r="AI376" i="13"/>
  <c r="J443" i="13"/>
  <c r="AC435" i="13"/>
  <c r="AZ348" i="13"/>
  <c r="AI129" i="13"/>
  <c r="AF427" i="13"/>
  <c r="R243" i="13"/>
  <c r="BH179" i="13"/>
  <c r="BT501" i="13"/>
  <c r="AX138" i="13"/>
  <c r="AO182" i="13"/>
  <c r="E488" i="13"/>
  <c r="K288" i="13"/>
  <c r="N33" i="13"/>
  <c r="S268" i="13"/>
  <c r="BE393" i="13"/>
  <c r="E386" i="13"/>
  <c r="Z284" i="13"/>
  <c r="BI39" i="13"/>
  <c r="BU449" i="13"/>
  <c r="AV388" i="13"/>
  <c r="AT249" i="13"/>
  <c r="BR316" i="13"/>
  <c r="U239" i="13"/>
  <c r="AG354" i="13"/>
  <c r="AX181" i="13"/>
  <c r="BJ3" i="13"/>
  <c r="BT305" i="13"/>
  <c r="BG67" i="13"/>
  <c r="BN327" i="13"/>
  <c r="AU228" i="13"/>
  <c r="AX112" i="13"/>
  <c r="BG96" i="13"/>
  <c r="U313" i="13"/>
  <c r="AM163" i="13"/>
  <c r="AH289" i="13"/>
  <c r="T481" i="13"/>
  <c r="AV309" i="13"/>
  <c r="V68" i="13"/>
  <c r="BF335" i="13"/>
  <c r="BC438" i="13"/>
  <c r="C352" i="13"/>
  <c r="AN338" i="13"/>
  <c r="P452" i="13"/>
  <c r="AO209" i="13"/>
  <c r="AN364" i="13"/>
  <c r="BA74" i="13"/>
  <c r="A74" i="13"/>
  <c r="BN459" i="13"/>
  <c r="X65" i="13"/>
  <c r="BJ324" i="13"/>
  <c r="BE372" i="13"/>
  <c r="M475" i="13"/>
  <c r="AW447" i="13"/>
  <c r="AW56" i="13"/>
  <c r="BW232" i="13"/>
  <c r="AY379" i="13"/>
  <c r="BH146" i="13"/>
  <c r="AG102" i="13"/>
  <c r="BQ358" i="13"/>
  <c r="BG438" i="13"/>
  <c r="Z279" i="13"/>
  <c r="AI145" i="13"/>
  <c r="M385" i="13"/>
  <c r="BP300" i="13"/>
  <c r="R437" i="13"/>
  <c r="Q152" i="13"/>
  <c r="F105" i="13"/>
  <c r="AK13" i="13"/>
  <c r="AV489" i="13"/>
  <c r="AP399" i="13"/>
  <c r="BC293" i="13"/>
  <c r="X488" i="13"/>
  <c r="M375" i="13"/>
  <c r="BJ276" i="13"/>
  <c r="AA363" i="13"/>
  <c r="AR364" i="13"/>
  <c r="AB316" i="13"/>
  <c r="BO267" i="13"/>
  <c r="AM76" i="13"/>
  <c r="BB256" i="13"/>
  <c r="AJ178" i="13"/>
  <c r="Y80" i="13"/>
  <c r="U434" i="13"/>
  <c r="AC384" i="13"/>
  <c r="BB411" i="13"/>
  <c r="AG12" i="13"/>
  <c r="AS280" i="13"/>
  <c r="S343" i="13"/>
  <c r="C231" i="13"/>
  <c r="T184" i="13"/>
  <c r="BB497" i="13"/>
  <c r="AM231" i="13"/>
  <c r="AQ390" i="13"/>
  <c r="AV285" i="13"/>
  <c r="V480" i="13"/>
  <c r="AO158" i="13"/>
  <c r="O422" i="13"/>
  <c r="BO472" i="13"/>
  <c r="BM396" i="13"/>
  <c r="A29" i="13"/>
  <c r="S217" i="13"/>
  <c r="W179" i="13"/>
  <c r="BE84" i="13"/>
  <c r="AV338" i="13"/>
  <c r="BL326" i="13"/>
  <c r="BO290" i="13"/>
  <c r="BK475" i="13"/>
  <c r="BC382" i="13"/>
  <c r="BH264" i="13"/>
  <c r="BF97" i="13"/>
  <c r="BP409" i="13"/>
  <c r="AZ265" i="13"/>
  <c r="R224" i="13"/>
  <c r="AE428" i="13"/>
  <c r="P16" i="13"/>
  <c r="BD113" i="13"/>
  <c r="J184" i="13"/>
  <c r="AT80" i="13"/>
  <c r="L421" i="13"/>
  <c r="AZ177" i="13"/>
  <c r="W407" i="13"/>
  <c r="BH459" i="13"/>
  <c r="F119" i="13"/>
  <c r="AE424" i="13"/>
  <c r="G491" i="13"/>
  <c r="BE197" i="13"/>
  <c r="AV492" i="13"/>
  <c r="BI283" i="13"/>
  <c r="BH12" i="13"/>
  <c r="BC404" i="13"/>
  <c r="I345" i="13"/>
  <c r="AR105" i="13"/>
  <c r="AI332" i="13"/>
  <c r="AP356" i="13"/>
  <c r="AN28" i="13"/>
  <c r="BC186" i="13"/>
  <c r="D396" i="13"/>
  <c r="U458" i="13"/>
  <c r="AE190" i="13"/>
  <c r="BC24" i="13"/>
  <c r="BV96" i="13"/>
  <c r="BN100" i="13"/>
  <c r="BL357" i="13"/>
  <c r="BI293" i="13"/>
  <c r="BC179" i="13"/>
  <c r="C366" i="13"/>
  <c r="T313" i="13"/>
  <c r="K334" i="13"/>
  <c r="Q465" i="13"/>
  <c r="K207" i="13"/>
  <c r="AL229" i="13"/>
  <c r="A176" i="13"/>
  <c r="BL466" i="13"/>
  <c r="AW140" i="13"/>
  <c r="P416" i="13"/>
  <c r="E262" i="13"/>
  <c r="AD236" i="13"/>
  <c r="AU358" i="13"/>
  <c r="W463" i="13"/>
  <c r="BR16" i="13"/>
  <c r="BI342" i="13"/>
  <c r="E411" i="13"/>
  <c r="BW28" i="13"/>
  <c r="V188" i="13"/>
  <c r="AV499" i="13"/>
  <c r="W25" i="13"/>
  <c r="O360" i="13"/>
  <c r="AL181" i="13"/>
  <c r="AL207" i="13"/>
  <c r="AM267" i="13"/>
  <c r="T58" i="13"/>
  <c r="A306" i="13"/>
  <c r="AD314" i="13"/>
  <c r="P460" i="13"/>
  <c r="BU88" i="13"/>
  <c r="G390" i="13"/>
  <c r="AP482" i="13"/>
  <c r="AT288" i="13"/>
  <c r="AS265" i="13"/>
  <c r="Q147" i="13"/>
  <c r="BM148" i="13"/>
  <c r="AW133" i="13"/>
  <c r="R119" i="13"/>
  <c r="BS49" i="13"/>
  <c r="AU388" i="13"/>
  <c r="A302" i="13"/>
  <c r="AM26" i="13"/>
  <c r="AI75" i="13"/>
  <c r="BV185" i="13"/>
  <c r="X304" i="13"/>
  <c r="BP1" i="13"/>
  <c r="D86" i="13"/>
  <c r="D467" i="13"/>
  <c r="L255" i="13"/>
  <c r="AB50" i="13"/>
  <c r="M249" i="13"/>
  <c r="Y409" i="13"/>
  <c r="F225" i="13"/>
  <c r="AC170" i="13"/>
  <c r="BK303" i="13"/>
  <c r="AU159" i="13"/>
  <c r="X230" i="13"/>
  <c r="F26" i="13"/>
  <c r="AS222" i="13"/>
  <c r="Q175" i="13"/>
  <c r="AG490" i="13"/>
  <c r="E297" i="13"/>
  <c r="R497" i="13"/>
  <c r="BE52" i="13"/>
  <c r="BI218" i="13"/>
  <c r="AI11" i="13"/>
  <c r="BF114" i="13"/>
  <c r="Q446" i="13"/>
  <c r="AS334" i="13"/>
  <c r="L78" i="13"/>
  <c r="BW66" i="13"/>
  <c r="BU332" i="13"/>
  <c r="M144" i="13"/>
  <c r="AW232" i="13"/>
  <c r="AZ334" i="13"/>
  <c r="BO483" i="13"/>
  <c r="I479" i="13"/>
  <c r="E233" i="13"/>
  <c r="AL349" i="13"/>
  <c r="BC365" i="13"/>
  <c r="A314" i="13"/>
  <c r="BI273" i="13"/>
  <c r="O11" i="13"/>
  <c r="K212" i="13"/>
  <c r="AF195" i="13"/>
  <c r="BO103" i="13"/>
  <c r="BJ377" i="13"/>
  <c r="BG339" i="13"/>
  <c r="BB455" i="13"/>
  <c r="N203" i="13"/>
  <c r="L291" i="13"/>
  <c r="Y164" i="13"/>
  <c r="AV471" i="13"/>
  <c r="P304" i="13"/>
  <c r="AD218" i="13"/>
  <c r="N155" i="13"/>
  <c r="H222" i="13"/>
  <c r="BE196" i="13"/>
  <c r="D315" i="13"/>
  <c r="AY472" i="13"/>
  <c r="AA8" i="13"/>
  <c r="X199" i="13"/>
  <c r="AW68" i="13"/>
  <c r="AS463" i="13"/>
  <c r="AL401" i="13"/>
  <c r="AQ146" i="13"/>
  <c r="BO418" i="13"/>
  <c r="AK331" i="13"/>
  <c r="BD278" i="13"/>
  <c r="AG493" i="13"/>
  <c r="AQ465" i="13"/>
  <c r="BV257" i="13"/>
  <c r="U343" i="13"/>
  <c r="W333" i="13"/>
  <c r="V218" i="13"/>
  <c r="AM491" i="13"/>
  <c r="N124" i="13"/>
  <c r="AY489" i="13"/>
  <c r="BN156" i="13"/>
  <c r="Y478" i="13"/>
  <c r="I420" i="13"/>
  <c r="Q484" i="13"/>
  <c r="J227" i="13"/>
  <c r="BC501" i="13"/>
  <c r="C417" i="13"/>
  <c r="AP142" i="13"/>
  <c r="BJ108" i="13"/>
  <c r="R230" i="13"/>
  <c r="BH447" i="13"/>
  <c r="BJ103" i="13"/>
  <c r="O13" i="13"/>
  <c r="Z309" i="13"/>
  <c r="AY107" i="13"/>
  <c r="P42" i="13"/>
  <c r="AJ482" i="13"/>
  <c r="A301" i="13"/>
  <c r="AZ213" i="13"/>
  <c r="AZ323" i="13"/>
  <c r="BT94" i="13"/>
  <c r="BO246" i="13"/>
  <c r="BM211" i="13"/>
  <c r="K478" i="13"/>
  <c r="K360" i="13"/>
  <c r="AL129" i="13"/>
  <c r="X406" i="13"/>
  <c r="W375" i="13"/>
  <c r="W137" i="13"/>
  <c r="AO157" i="13"/>
  <c r="B45" i="13"/>
  <c r="AR368" i="13"/>
  <c r="AK262" i="13"/>
  <c r="BB415" i="13"/>
  <c r="AQ352" i="13"/>
  <c r="AT458" i="13"/>
  <c r="BE155" i="13"/>
  <c r="AN225" i="13"/>
  <c r="BS152" i="13"/>
  <c r="G227" i="13"/>
  <c r="R399" i="13"/>
  <c r="BK227" i="13"/>
  <c r="B456" i="13"/>
  <c r="M428" i="13"/>
  <c r="BC421" i="13"/>
  <c r="N127" i="13"/>
  <c r="S490" i="13"/>
  <c r="BK113" i="13"/>
  <c r="W392" i="13"/>
  <c r="AR307" i="13"/>
  <c r="G442" i="13"/>
  <c r="AL266" i="13"/>
  <c r="BE437" i="13"/>
  <c r="BE343" i="13"/>
  <c r="AZ400" i="13"/>
  <c r="R252" i="13"/>
  <c r="BT148" i="13"/>
  <c r="AD329" i="13"/>
  <c r="AW466" i="13"/>
  <c r="R145" i="13"/>
  <c r="BS9" i="13"/>
  <c r="AF146" i="13"/>
  <c r="BV487" i="13"/>
  <c r="B313" i="13"/>
  <c r="AS461" i="13"/>
  <c r="B386" i="13"/>
  <c r="AH279" i="13"/>
  <c r="BJ482" i="13"/>
  <c r="BT298" i="13"/>
  <c r="AP359" i="13"/>
  <c r="R97" i="13"/>
  <c r="AZ423" i="13"/>
  <c r="Q142" i="13"/>
  <c r="J166" i="13"/>
  <c r="AP378" i="13"/>
  <c r="AI394" i="13"/>
  <c r="AK270" i="13"/>
  <c r="AV295" i="13"/>
  <c r="G452" i="13"/>
  <c r="BM258" i="13"/>
  <c r="AP194" i="13"/>
  <c r="BU331" i="13"/>
  <c r="AR439" i="13"/>
  <c r="BC407" i="13"/>
  <c r="S382" i="13"/>
  <c r="BW341" i="13"/>
  <c r="N355" i="13"/>
  <c r="H121" i="13"/>
  <c r="AK255" i="13"/>
  <c r="B436" i="13"/>
  <c r="AA275" i="13"/>
  <c r="BT314" i="13"/>
  <c r="AH120" i="13"/>
  <c r="AK338" i="13"/>
  <c r="BG472" i="13"/>
  <c r="T375" i="13"/>
  <c r="BL387" i="13"/>
  <c r="U350" i="13"/>
  <c r="N351" i="13"/>
  <c r="BB195" i="13"/>
  <c r="AY409" i="13"/>
  <c r="C314" i="13"/>
  <c r="AS431" i="13"/>
  <c r="AI402" i="13"/>
  <c r="AK133" i="13"/>
  <c r="AZ320" i="13"/>
  <c r="E149" i="13"/>
  <c r="AG226" i="13"/>
  <c r="AW239" i="13"/>
  <c r="N151" i="13"/>
  <c r="B485" i="13"/>
  <c r="BT391" i="13"/>
  <c r="BT405" i="13"/>
  <c r="BK469" i="13"/>
  <c r="K117" i="13"/>
  <c r="BF468" i="13"/>
  <c r="R416" i="13"/>
  <c r="BV85" i="13"/>
  <c r="BF179" i="13"/>
  <c r="AH451" i="13"/>
  <c r="T240" i="13"/>
  <c r="AH264" i="13"/>
  <c r="BU423" i="13"/>
  <c r="BA234" i="13"/>
  <c r="BH104" i="13"/>
  <c r="AI180" i="13"/>
  <c r="V128" i="13"/>
  <c r="X352" i="13"/>
  <c r="B206" i="13"/>
  <c r="AV158" i="13"/>
  <c r="Q406" i="13"/>
  <c r="AA133" i="13"/>
  <c r="BP333" i="13"/>
  <c r="H389" i="13"/>
  <c r="AX399" i="13"/>
  <c r="BU453" i="13"/>
  <c r="L98" i="13"/>
  <c r="X462" i="13"/>
  <c r="AG116" i="13"/>
  <c r="BP73" i="13"/>
  <c r="AF296" i="13"/>
  <c r="AJ367" i="13"/>
  <c r="BA336" i="13"/>
  <c r="AM199" i="13"/>
  <c r="BP480" i="13"/>
  <c r="L181" i="13"/>
  <c r="BN314" i="13"/>
  <c r="F188" i="13"/>
  <c r="BA322" i="13"/>
  <c r="AK341" i="13"/>
  <c r="BI155" i="13"/>
  <c r="BN392" i="13"/>
  <c r="BJ415" i="13"/>
  <c r="A3" i="13"/>
  <c r="AK358" i="13"/>
  <c r="AU285" i="13"/>
  <c r="BL6" i="13"/>
  <c r="X338" i="13"/>
  <c r="AB414" i="13"/>
  <c r="AU259" i="13"/>
  <c r="N492" i="13"/>
  <c r="AN228" i="13"/>
  <c r="U254" i="13"/>
  <c r="AN301" i="13"/>
  <c r="S145" i="13"/>
  <c r="BS137" i="13"/>
  <c r="AF447" i="13"/>
  <c r="BF199" i="13"/>
  <c r="AE244" i="13"/>
  <c r="J432" i="13"/>
  <c r="BN27" i="13"/>
  <c r="BF431" i="13"/>
  <c r="BR324" i="13"/>
  <c r="AI316" i="13"/>
  <c r="AB377" i="13"/>
  <c r="N326" i="13"/>
  <c r="BQ481" i="13"/>
  <c r="AT460" i="13"/>
  <c r="AK143" i="13"/>
  <c r="AS424" i="13"/>
  <c r="BO38" i="13"/>
  <c r="Z258" i="13"/>
  <c r="J405" i="13"/>
  <c r="AL290" i="13"/>
  <c r="AD343" i="13"/>
  <c r="Z480" i="13"/>
  <c r="BI446" i="13"/>
  <c r="B477" i="13"/>
  <c r="AW403" i="13"/>
  <c r="Y426" i="13"/>
  <c r="AW100" i="13"/>
  <c r="BS440" i="13"/>
  <c r="AK276" i="13"/>
  <c r="BQ402" i="13"/>
  <c r="BP476" i="13"/>
  <c r="D356" i="13"/>
  <c r="AE293" i="13"/>
  <c r="V265" i="13"/>
  <c r="O290" i="13"/>
  <c r="BG255" i="13"/>
  <c r="BJ462" i="13"/>
  <c r="E143" i="13"/>
  <c r="AY254" i="13"/>
  <c r="BO495" i="13"/>
  <c r="T188" i="13"/>
  <c r="S338" i="13"/>
  <c r="AP412" i="13"/>
  <c r="AM262" i="13"/>
  <c r="AD293" i="13"/>
  <c r="AD132" i="13"/>
  <c r="AZ485" i="13"/>
  <c r="AH383" i="13"/>
  <c r="X117" i="13"/>
  <c r="W178" i="13"/>
  <c r="BJ137" i="13"/>
  <c r="F436" i="13"/>
  <c r="W3" i="13"/>
  <c r="AZ143" i="13"/>
  <c r="AC461" i="13"/>
  <c r="AR487" i="13"/>
  <c r="L390" i="13"/>
  <c r="BE362" i="13"/>
  <c r="BK349" i="13"/>
  <c r="AU444" i="13"/>
  <c r="E15" i="13"/>
  <c r="BW229" i="13"/>
  <c r="Q246" i="13"/>
  <c r="BA92" i="13"/>
  <c r="U405" i="13"/>
  <c r="BR56" i="13"/>
  <c r="BQ463" i="13"/>
  <c r="AN188" i="13"/>
  <c r="L1" i="13"/>
  <c r="BI496" i="13"/>
  <c r="BR378" i="13"/>
  <c r="K421" i="13"/>
  <c r="X172" i="13"/>
  <c r="BC417" i="13"/>
  <c r="BD400" i="13"/>
  <c r="BD407" i="13"/>
  <c r="B385" i="13"/>
  <c r="D183" i="13"/>
  <c r="H477" i="13"/>
  <c r="BQ333" i="13"/>
  <c r="BN23" i="13"/>
  <c r="G423" i="13"/>
  <c r="AP267" i="13"/>
  <c r="R292" i="13"/>
  <c r="AC19" i="13"/>
  <c r="AL1" i="13"/>
  <c r="AF170" i="13"/>
  <c r="BP283" i="13"/>
  <c r="AY215" i="13"/>
  <c r="C493" i="13"/>
  <c r="BF449" i="13"/>
  <c r="AD326" i="13"/>
  <c r="BP379" i="13"/>
  <c r="R151" i="13"/>
  <c r="W151" i="13"/>
  <c r="AM15" i="13"/>
  <c r="E127" i="13"/>
  <c r="AX270" i="13"/>
  <c r="AS401" i="13"/>
  <c r="AH298" i="13"/>
  <c r="AM453" i="13"/>
  <c r="L281" i="13"/>
  <c r="AX209" i="13"/>
  <c r="BH168" i="13"/>
  <c r="BO187" i="13"/>
  <c r="F332" i="13"/>
  <c r="Q13" i="13"/>
  <c r="AV298" i="13"/>
  <c r="BL491" i="13"/>
  <c r="BK364" i="13"/>
  <c r="AK171" i="13"/>
  <c r="AK148" i="13"/>
  <c r="BB247" i="13"/>
  <c r="AE3" i="13"/>
  <c r="AF380" i="13"/>
  <c r="AP246" i="13"/>
  <c r="BE284" i="13"/>
  <c r="Z69" i="13"/>
  <c r="AS297" i="13"/>
  <c r="Q205" i="13"/>
  <c r="E179" i="13"/>
  <c r="BT147" i="13"/>
  <c r="AL271" i="13"/>
  <c r="BG193" i="13"/>
  <c r="I348" i="13"/>
  <c r="U409" i="13"/>
  <c r="K278" i="13"/>
  <c r="AQ249" i="13"/>
  <c r="BD374" i="13"/>
  <c r="N373" i="13"/>
  <c r="P188" i="13"/>
  <c r="BH324" i="13"/>
  <c r="H277" i="13"/>
  <c r="AW75" i="13"/>
  <c r="T285" i="13"/>
  <c r="BI243" i="13"/>
  <c r="A172" i="13"/>
  <c r="S262" i="13"/>
  <c r="AW123" i="13"/>
  <c r="AL485" i="13"/>
  <c r="AF143" i="13"/>
  <c r="S264" i="13"/>
  <c r="BP149" i="13"/>
  <c r="AV307" i="13"/>
  <c r="T264" i="13"/>
  <c r="AY43" i="13"/>
  <c r="BW248" i="13"/>
  <c r="AN415" i="13"/>
  <c r="AT283" i="13"/>
  <c r="I335" i="13"/>
  <c r="AX460" i="13"/>
  <c r="BW171" i="13"/>
  <c r="BR319" i="13"/>
  <c r="BJ206" i="13"/>
  <c r="BC442" i="13"/>
  <c r="G60" i="13"/>
  <c r="Y349" i="13"/>
  <c r="BD239" i="13"/>
  <c r="AB380" i="13"/>
  <c r="AX284" i="13"/>
  <c r="AY341" i="13"/>
  <c r="BP262" i="13"/>
  <c r="AS426" i="13"/>
  <c r="AT166" i="13"/>
  <c r="AC345" i="13"/>
  <c r="AW336" i="13"/>
  <c r="AT432" i="13"/>
  <c r="BL382" i="13"/>
  <c r="BI4" i="13"/>
  <c r="AG197" i="13"/>
  <c r="AX294" i="13"/>
  <c r="BW488" i="13"/>
  <c r="BW288" i="13"/>
  <c r="BU435" i="13"/>
  <c r="X393" i="13"/>
  <c r="S25" i="13"/>
  <c r="I424" i="13"/>
  <c r="BW331" i="13"/>
  <c r="L332" i="13"/>
  <c r="P429" i="13"/>
  <c r="AM436" i="13"/>
  <c r="AT466" i="13"/>
  <c r="AV9" i="13"/>
  <c r="AW351" i="13"/>
  <c r="BR137" i="13"/>
  <c r="AU266" i="13"/>
  <c r="BF61" i="13"/>
  <c r="AT16" i="13"/>
  <c r="BV168" i="13"/>
  <c r="C356" i="13"/>
  <c r="BO216" i="13"/>
  <c r="AW354" i="13"/>
  <c r="A137" i="13"/>
  <c r="B179" i="13"/>
  <c r="AZ344" i="13"/>
  <c r="AF270" i="13"/>
  <c r="AM249" i="13"/>
  <c r="R313" i="13"/>
  <c r="BM352" i="13"/>
  <c r="N16" i="13"/>
  <c r="Y100" i="13"/>
  <c r="N266" i="13"/>
  <c r="BP42" i="13"/>
  <c r="AP462" i="13"/>
  <c r="BN424" i="13"/>
  <c r="C82" i="13"/>
  <c r="W335" i="13"/>
  <c r="F175" i="13"/>
  <c r="BE18" i="13"/>
  <c r="B106" i="13"/>
  <c r="AA499" i="13"/>
  <c r="Q170" i="13"/>
  <c r="BD498" i="13"/>
  <c r="BP175" i="13"/>
  <c r="AK370" i="13"/>
  <c r="BU258" i="13"/>
  <c r="R349" i="13"/>
  <c r="BM469" i="13"/>
  <c r="W354" i="13"/>
  <c r="AI367" i="13"/>
  <c r="AY326" i="13"/>
  <c r="L340" i="13"/>
  <c r="AC2" i="13"/>
  <c r="AG447" i="13"/>
  <c r="AN363" i="13"/>
  <c r="BV392" i="13"/>
  <c r="AJ191" i="13"/>
  <c r="B180" i="13"/>
  <c r="AP258" i="13"/>
  <c r="X333" i="13"/>
  <c r="BO145" i="13"/>
  <c r="AO120" i="13"/>
  <c r="AF198" i="13"/>
  <c r="BW471" i="13"/>
  <c r="Z172" i="13"/>
  <c r="AU289" i="13"/>
  <c r="BS213" i="13"/>
  <c r="AA213" i="13"/>
  <c r="AU268" i="13"/>
  <c r="BL282" i="13"/>
  <c r="K460" i="13"/>
  <c r="AY183" i="13"/>
  <c r="BL430" i="13"/>
  <c r="AW422" i="13"/>
  <c r="AQ142" i="13"/>
  <c r="E319" i="13"/>
  <c r="BD348" i="13"/>
  <c r="BD285" i="13"/>
  <c r="BM418" i="13"/>
  <c r="AU136" i="13"/>
  <c r="AX234" i="13"/>
  <c r="R356" i="13"/>
  <c r="AT425" i="13"/>
  <c r="BA170" i="13"/>
  <c r="BW147" i="13"/>
  <c r="AS164" i="13"/>
  <c r="I209" i="13"/>
  <c r="BJ288" i="13"/>
  <c r="AE283" i="13"/>
  <c r="BQ409" i="13"/>
  <c r="BG429" i="13"/>
  <c r="AL30" i="13"/>
  <c r="K437" i="13"/>
  <c r="E246" i="13"/>
  <c r="BH13" i="13"/>
  <c r="AV230" i="13"/>
  <c r="Q238" i="13"/>
  <c r="BW198" i="13"/>
  <c r="AP320" i="13"/>
  <c r="W184" i="13"/>
  <c r="O416" i="13"/>
  <c r="C53" i="13"/>
  <c r="O28" i="13"/>
  <c r="AM489" i="13"/>
  <c r="U147" i="13"/>
  <c r="V252" i="13"/>
  <c r="BR248" i="13"/>
  <c r="AA328" i="13"/>
  <c r="U219" i="13"/>
  <c r="AE276" i="13"/>
  <c r="K282" i="13"/>
  <c r="M56" i="13"/>
  <c r="AM125" i="13"/>
  <c r="AF411" i="13"/>
  <c r="AA405" i="13"/>
  <c r="Z308" i="13"/>
  <c r="BV432" i="13"/>
  <c r="AL442" i="13"/>
  <c r="Q453" i="13"/>
  <c r="Y442" i="13"/>
  <c r="AB262" i="13"/>
  <c r="BU169" i="13"/>
  <c r="S398" i="13"/>
  <c r="AQ373" i="13"/>
  <c r="K471" i="13"/>
  <c r="AR218" i="13"/>
  <c r="W397" i="13"/>
  <c r="AE181" i="13"/>
  <c r="V3" i="13"/>
  <c r="AK371" i="13"/>
  <c r="AE208" i="13"/>
  <c r="BQ356" i="13"/>
  <c r="X417" i="13"/>
  <c r="J167" i="13"/>
  <c r="K429" i="13"/>
  <c r="BV83" i="13"/>
  <c r="BD358" i="13"/>
  <c r="BF183" i="13"/>
  <c r="BL264" i="13"/>
  <c r="AL421" i="13"/>
  <c r="N177" i="13"/>
  <c r="AG434" i="13"/>
  <c r="K396" i="13"/>
  <c r="BP307" i="13"/>
  <c r="L298" i="13"/>
  <c r="BB214" i="13"/>
  <c r="T345" i="13"/>
  <c r="BB229" i="13"/>
  <c r="BC412" i="13"/>
  <c r="AG310" i="13"/>
  <c r="AJ280" i="13"/>
  <c r="BL277" i="13"/>
  <c r="AN333" i="13"/>
  <c r="AR225" i="13"/>
  <c r="AS113" i="13"/>
  <c r="BK357" i="13"/>
  <c r="BE253" i="13"/>
  <c r="AP437" i="13"/>
  <c r="BK258" i="13"/>
  <c r="AD439" i="13"/>
  <c r="B465" i="13"/>
  <c r="AU299" i="13"/>
  <c r="AL100" i="13"/>
  <c r="BC435" i="13"/>
  <c r="BD341" i="13"/>
  <c r="AQ278" i="13"/>
  <c r="D4" i="13"/>
  <c r="P97" i="13"/>
  <c r="AX390" i="13"/>
  <c r="BW196" i="13"/>
  <c r="AN482" i="13"/>
  <c r="BD134" i="13"/>
  <c r="BL451" i="13"/>
  <c r="BA496" i="13"/>
  <c r="G253" i="13"/>
  <c r="AH304" i="13"/>
  <c r="K485" i="13"/>
  <c r="R317" i="13"/>
  <c r="BI389" i="13"/>
  <c r="K474" i="13"/>
  <c r="BM131" i="13"/>
  <c r="BA222" i="13"/>
  <c r="Y462" i="13"/>
  <c r="O410" i="13"/>
  <c r="AE461" i="13"/>
  <c r="J140" i="13"/>
  <c r="AU215" i="13"/>
  <c r="F470" i="13"/>
  <c r="G131" i="13"/>
  <c r="N410" i="13"/>
  <c r="BG418" i="13"/>
  <c r="X327" i="13"/>
  <c r="AT450" i="13"/>
  <c r="X356" i="13"/>
  <c r="Z245" i="13"/>
  <c r="BG412" i="13"/>
  <c r="BV433" i="13"/>
  <c r="I454" i="13"/>
  <c r="AF311" i="13"/>
  <c r="O368" i="13"/>
  <c r="S380" i="13"/>
  <c r="Y360" i="13"/>
  <c r="AI7" i="13"/>
  <c r="I308" i="13"/>
  <c r="BG158" i="13"/>
  <c r="P199" i="13"/>
  <c r="T235" i="13"/>
  <c r="AA124" i="13"/>
  <c r="BB184" i="13"/>
  <c r="X469" i="13"/>
  <c r="BD473" i="13"/>
  <c r="AS311" i="13"/>
  <c r="AB289" i="13"/>
  <c r="AZ419" i="13"/>
  <c r="I391" i="13"/>
  <c r="BI382" i="13"/>
  <c r="BL490" i="13"/>
  <c r="BQ63" i="13"/>
  <c r="BW24" i="13"/>
  <c r="BK310" i="13"/>
  <c r="BL331" i="13"/>
  <c r="B234" i="13"/>
  <c r="W275" i="13"/>
  <c r="E498" i="13"/>
  <c r="AH234" i="13"/>
  <c r="AW236" i="13"/>
  <c r="A84" i="13"/>
  <c r="BA389" i="13"/>
  <c r="AB209" i="13"/>
  <c r="BG310" i="13"/>
  <c r="BT128" i="13"/>
  <c r="BM409" i="13"/>
  <c r="BE286" i="13"/>
  <c r="AZ18" i="13"/>
  <c r="E98" i="13"/>
  <c r="BW100" i="13"/>
  <c r="AI32" i="13"/>
  <c r="AM346" i="13"/>
  <c r="G166" i="13"/>
  <c r="Z437" i="13"/>
  <c r="R304" i="13"/>
  <c r="K171" i="13"/>
  <c r="AI417" i="13"/>
  <c r="AE289" i="13"/>
  <c r="BG285" i="13"/>
  <c r="Q495" i="13"/>
  <c r="AX500" i="13"/>
  <c r="AO93" i="13"/>
  <c r="AB74" i="13"/>
  <c r="J215" i="13"/>
  <c r="J456" i="13"/>
  <c r="BV483" i="13"/>
  <c r="BK141" i="13"/>
  <c r="AL247" i="13"/>
  <c r="BF498" i="13"/>
  <c r="BH120" i="13"/>
  <c r="T398" i="13"/>
  <c r="L86" i="13"/>
  <c r="AY462" i="13"/>
  <c r="O298" i="13"/>
  <c r="BI128" i="13"/>
  <c r="AX430" i="13"/>
  <c r="AH324" i="13"/>
  <c r="M356" i="13"/>
  <c r="AA376" i="13"/>
  <c r="AK284" i="13"/>
  <c r="J266" i="13"/>
  <c r="V491" i="13"/>
  <c r="AU352" i="13"/>
  <c r="AB199" i="13"/>
  <c r="BU366" i="13"/>
  <c r="BU201" i="13"/>
  <c r="J254" i="13"/>
  <c r="BQ339" i="13"/>
  <c r="BD446" i="13"/>
  <c r="AF452" i="13"/>
  <c r="BJ495" i="13"/>
  <c r="D284" i="13"/>
  <c r="BJ157" i="13"/>
  <c r="BK137" i="13"/>
  <c r="F243" i="13"/>
  <c r="AC240" i="13"/>
  <c r="R419" i="13"/>
  <c r="K254" i="13"/>
  <c r="L283" i="13"/>
  <c r="C239" i="13"/>
  <c r="AK68" i="13"/>
  <c r="E231" i="13"/>
  <c r="AP170" i="13"/>
  <c r="AR490" i="13"/>
  <c r="AO388" i="13"/>
  <c r="BS164" i="13"/>
  <c r="AM176" i="13"/>
  <c r="O441" i="13"/>
  <c r="L18" i="13"/>
  <c r="AI41" i="13"/>
  <c r="T321" i="13"/>
  <c r="BI378" i="13"/>
  <c r="X361" i="13"/>
  <c r="AV419" i="13"/>
  <c r="M163" i="13"/>
  <c r="X461" i="13"/>
  <c r="AZ231" i="13"/>
  <c r="AF116" i="13"/>
  <c r="M279" i="13"/>
  <c r="BI412" i="13"/>
  <c r="M432" i="13"/>
  <c r="BO18" i="13"/>
  <c r="C290" i="13"/>
  <c r="C295" i="13"/>
  <c r="AV292" i="13"/>
  <c r="N210" i="13"/>
  <c r="AY491" i="13"/>
  <c r="J327" i="13"/>
  <c r="AF135" i="13"/>
  <c r="BK236" i="13"/>
  <c r="BU290" i="13"/>
  <c r="BJ161" i="13"/>
  <c r="AA243" i="13"/>
  <c r="AC119" i="13"/>
  <c r="BH251" i="13"/>
  <c r="AV167" i="13"/>
  <c r="BI327" i="13"/>
  <c r="K382" i="13"/>
  <c r="I291" i="13"/>
  <c r="AE471" i="13"/>
  <c r="AG260" i="13"/>
  <c r="BI57" i="13"/>
  <c r="X155" i="13"/>
  <c r="BJ22" i="13"/>
  <c r="BM329" i="13"/>
  <c r="F404" i="13"/>
  <c r="BU196" i="13"/>
  <c r="BA270" i="13"/>
  <c r="BJ489" i="13"/>
  <c r="AG420" i="13"/>
  <c r="AI310" i="13"/>
  <c r="H276" i="13"/>
  <c r="BQ289" i="13"/>
  <c r="BR398" i="13"/>
  <c r="BW325" i="13"/>
  <c r="G493" i="13"/>
  <c r="AR258" i="13"/>
  <c r="BM14" i="13"/>
  <c r="AC438" i="13"/>
  <c r="BB197" i="13"/>
  <c r="Y286" i="13"/>
  <c r="BK335" i="13"/>
  <c r="BW149" i="13"/>
  <c r="AY308" i="13"/>
  <c r="AQ157" i="13"/>
  <c r="B333" i="13"/>
  <c r="BJ492" i="13"/>
  <c r="AF43" i="13"/>
  <c r="AI206" i="13"/>
  <c r="Y364" i="13"/>
  <c r="O129" i="13"/>
  <c r="BS333" i="13"/>
  <c r="J321" i="13"/>
  <c r="AC285" i="13"/>
  <c r="AZ155" i="13"/>
  <c r="AH13" i="13"/>
  <c r="AA359" i="13"/>
  <c r="AV149" i="13"/>
  <c r="BA194" i="13"/>
  <c r="AD122" i="13"/>
  <c r="X466" i="13"/>
  <c r="BV421" i="13"/>
  <c r="E401" i="13"/>
  <c r="AN244" i="13"/>
  <c r="W57" i="13"/>
  <c r="Q265" i="13"/>
  <c r="AH249" i="13"/>
  <c r="M277" i="13"/>
  <c r="BC353" i="13"/>
  <c r="BI468" i="13"/>
  <c r="T498" i="13"/>
  <c r="BC55" i="13"/>
  <c r="BK345" i="13"/>
  <c r="AU340" i="13"/>
  <c r="BG333" i="13"/>
  <c r="BE399" i="13"/>
  <c r="BF491" i="13"/>
  <c r="BU165" i="13"/>
  <c r="U443" i="13"/>
  <c r="C383" i="13"/>
  <c r="AP109" i="13"/>
  <c r="H425" i="13"/>
  <c r="F331" i="13"/>
  <c r="BJ47" i="13"/>
  <c r="G375" i="13"/>
  <c r="W286" i="13"/>
  <c r="BU223" i="13"/>
  <c r="AM5" i="13"/>
  <c r="T316" i="13"/>
  <c r="AP395" i="13"/>
  <c r="AN356" i="13"/>
  <c r="AM307" i="13"/>
  <c r="BS171" i="13"/>
  <c r="B232" i="13"/>
  <c r="BK94" i="13"/>
  <c r="AP7" i="13"/>
  <c r="BA304" i="13"/>
  <c r="AJ275" i="13"/>
  <c r="Y251" i="13"/>
  <c r="W112" i="13"/>
  <c r="BE256" i="13"/>
  <c r="R319" i="13"/>
  <c r="M104" i="13"/>
  <c r="V362" i="13"/>
  <c r="D382" i="13"/>
  <c r="AM183" i="13"/>
  <c r="BN406" i="13"/>
  <c r="A380" i="13"/>
  <c r="Y332" i="13"/>
  <c r="AK449" i="13"/>
  <c r="AW485" i="13"/>
  <c r="AR240" i="13"/>
  <c r="N414" i="13"/>
  <c r="AG480" i="13"/>
  <c r="BD373" i="13"/>
  <c r="BB417" i="13"/>
  <c r="AO368" i="13"/>
  <c r="AG388" i="13"/>
  <c r="AZ375" i="13"/>
  <c r="L46" i="13"/>
  <c r="BB305" i="13"/>
  <c r="AW195" i="13"/>
  <c r="X18" i="13"/>
  <c r="BA254" i="13"/>
  <c r="AU320" i="13"/>
  <c r="AC370" i="13"/>
  <c r="AJ204" i="13"/>
  <c r="P7" i="13"/>
  <c r="AR241" i="13"/>
  <c r="BE3" i="13"/>
  <c r="BN367" i="13"/>
  <c r="H376" i="13"/>
  <c r="E491" i="13"/>
  <c r="AB25" i="13"/>
  <c r="B424" i="13"/>
  <c r="N241" i="13"/>
  <c r="Z447" i="13"/>
  <c r="P235" i="13"/>
  <c r="BM333" i="13"/>
  <c r="BU395" i="13"/>
  <c r="BS340" i="13"/>
  <c r="BJ116" i="13"/>
  <c r="Y335" i="13"/>
  <c r="BO386" i="13"/>
  <c r="AU488" i="13"/>
  <c r="AU296" i="13"/>
  <c r="BV349" i="13"/>
  <c r="BA451" i="13"/>
  <c r="AV310" i="13"/>
  <c r="AF324" i="13"/>
  <c r="BQ72" i="13"/>
  <c r="X373" i="13"/>
  <c r="BR484" i="13"/>
  <c r="AE350" i="13"/>
  <c r="AF12" i="13"/>
  <c r="BO294" i="13"/>
  <c r="BU254" i="13"/>
  <c r="I178" i="13"/>
  <c r="AW268" i="13"/>
  <c r="D387" i="13"/>
  <c r="AG232" i="13"/>
  <c r="AO467" i="13"/>
  <c r="BT350" i="13"/>
  <c r="M378" i="13"/>
  <c r="AZ341" i="13"/>
  <c r="AC157" i="13"/>
  <c r="U427" i="13"/>
  <c r="AV493" i="13"/>
  <c r="AG214" i="13"/>
  <c r="AX177" i="13"/>
  <c r="D46" i="13"/>
  <c r="BL471" i="13"/>
  <c r="BS96" i="13"/>
  <c r="BD457" i="13"/>
  <c r="B167" i="13"/>
  <c r="AS259" i="13"/>
  <c r="C349" i="13"/>
  <c r="BU310" i="13"/>
  <c r="AF469" i="13"/>
  <c r="BD367" i="13"/>
  <c r="BM144" i="13"/>
  <c r="BO437" i="13"/>
  <c r="BV123" i="13"/>
  <c r="BP492" i="13"/>
  <c r="H465" i="13"/>
  <c r="T190" i="13"/>
  <c r="AQ244" i="13"/>
  <c r="BV485" i="13"/>
  <c r="AX267" i="13"/>
  <c r="BN59" i="13"/>
  <c r="BE320" i="13"/>
  <c r="AF266" i="13"/>
  <c r="AL147" i="13"/>
  <c r="AW423" i="13"/>
  <c r="AC161" i="13"/>
  <c r="AL334" i="13"/>
  <c r="AS182" i="13"/>
  <c r="AQ150" i="13"/>
  <c r="AB360" i="13"/>
  <c r="S427" i="13"/>
  <c r="AQ330" i="13"/>
  <c r="BO261" i="13"/>
  <c r="Y408" i="13"/>
  <c r="AT318" i="13"/>
  <c r="A201" i="13"/>
  <c r="BK173" i="13"/>
  <c r="BE103" i="13"/>
  <c r="BD259" i="13"/>
  <c r="AZ86" i="13"/>
  <c r="A449" i="13"/>
  <c r="F472" i="13"/>
  <c r="AU486" i="13"/>
  <c r="BQ171" i="13"/>
  <c r="AL403" i="13"/>
  <c r="AG415" i="13"/>
  <c r="BQ455" i="13"/>
  <c r="Y249" i="13"/>
  <c r="AM154" i="13"/>
  <c r="G133" i="13"/>
  <c r="I213" i="13"/>
  <c r="AN169" i="13"/>
  <c r="BK394" i="13"/>
  <c r="AL29" i="13"/>
  <c r="C422" i="13"/>
  <c r="AG413" i="13"/>
  <c r="AQ344" i="13"/>
  <c r="AT337" i="13"/>
  <c r="AD471" i="13"/>
  <c r="AQ315" i="13"/>
  <c r="A343" i="13"/>
  <c r="BJ365" i="13"/>
  <c r="AA250" i="13"/>
  <c r="AJ1" i="13"/>
  <c r="AH406" i="13"/>
  <c r="BU489" i="13"/>
  <c r="AR200" i="13"/>
  <c r="AQ439" i="13"/>
  <c r="AU443" i="13"/>
  <c r="G254" i="13"/>
  <c r="AU290" i="13"/>
  <c r="AA370" i="13"/>
  <c r="D373" i="13"/>
  <c r="AV107" i="13"/>
  <c r="F476" i="13"/>
  <c r="N179" i="13"/>
  <c r="AK289" i="13"/>
  <c r="Y448" i="13"/>
  <c r="T363" i="13"/>
  <c r="AC214" i="13"/>
  <c r="K484" i="13"/>
  <c r="AA272" i="13"/>
  <c r="BN475" i="13"/>
  <c r="O231" i="13"/>
  <c r="E470" i="13"/>
  <c r="O408" i="13"/>
  <c r="V317" i="13"/>
  <c r="AR369" i="13"/>
  <c r="BP87" i="13"/>
  <c r="BG275" i="13"/>
  <c r="BL454" i="13"/>
  <c r="AG275" i="13"/>
  <c r="BL340" i="13"/>
  <c r="E427" i="13"/>
  <c r="C94" i="13"/>
  <c r="BD168" i="13"/>
  <c r="AS310" i="13"/>
  <c r="AJ183" i="13"/>
  <c r="AP368" i="13"/>
  <c r="BJ167" i="13"/>
  <c r="BA450" i="13"/>
  <c r="BG417" i="13"/>
  <c r="BN137" i="13"/>
  <c r="BJ179" i="13"/>
  <c r="AJ51" i="13"/>
  <c r="BA200" i="13"/>
  <c r="AC323" i="13"/>
  <c r="BU285" i="13"/>
  <c r="BJ246" i="13"/>
  <c r="C477" i="13"/>
  <c r="Z270" i="13"/>
  <c r="BL463" i="13"/>
  <c r="N171" i="13"/>
  <c r="AI404" i="13"/>
  <c r="AF79" i="13"/>
  <c r="Y440" i="13"/>
  <c r="BB273" i="13"/>
  <c r="AH440" i="13"/>
  <c r="AR164" i="13"/>
  <c r="BT421" i="13"/>
  <c r="Z324" i="13"/>
  <c r="AD196" i="13"/>
  <c r="BP213" i="13"/>
  <c r="AX337" i="13"/>
  <c r="BM282" i="13"/>
  <c r="N87" i="13"/>
  <c r="BT452" i="13"/>
  <c r="AV495" i="13"/>
  <c r="AN289" i="13"/>
  <c r="AO5" i="13"/>
  <c r="BV330" i="13"/>
  <c r="BI230" i="13"/>
  <c r="AJ18" i="13"/>
  <c r="AM24" i="13"/>
  <c r="BG93" i="13"/>
  <c r="AA487" i="13"/>
  <c r="BG460" i="13"/>
  <c r="BJ170" i="13"/>
  <c r="AA393" i="13"/>
  <c r="BA122" i="13"/>
  <c r="AO166" i="13"/>
  <c r="AR215" i="13"/>
  <c r="E306" i="13"/>
  <c r="AC243" i="13"/>
  <c r="X218" i="13"/>
  <c r="BG267" i="13"/>
  <c r="AS453" i="13"/>
  <c r="BO251" i="13"/>
  <c r="E174" i="13"/>
  <c r="BF380" i="13"/>
  <c r="BU359" i="13"/>
  <c r="U320" i="13"/>
  <c r="BC340" i="13"/>
  <c r="Z71" i="13"/>
  <c r="Z491" i="13"/>
  <c r="BO273" i="13"/>
  <c r="V314" i="13"/>
  <c r="W145" i="13"/>
  <c r="AX403" i="13"/>
  <c r="K247" i="13"/>
  <c r="AF398" i="13"/>
  <c r="BJ292" i="13"/>
  <c r="AC8" i="13"/>
  <c r="J157" i="13"/>
  <c r="Y76" i="13"/>
  <c r="BQ379" i="13"/>
  <c r="AQ346" i="13"/>
  <c r="AR236" i="13"/>
  <c r="AF130" i="13"/>
  <c r="AT215" i="13"/>
  <c r="AM413" i="13"/>
  <c r="AB220" i="13"/>
  <c r="AW189" i="13"/>
  <c r="AO476" i="13"/>
  <c r="AS92" i="13"/>
  <c r="Y386" i="13"/>
  <c r="AY366" i="13"/>
  <c r="F254" i="13"/>
  <c r="B132" i="13"/>
  <c r="BT288" i="13"/>
  <c r="BJ5" i="13"/>
  <c r="BV314" i="13"/>
  <c r="J190" i="13"/>
  <c r="AO266" i="13"/>
  <c r="BV471" i="13"/>
  <c r="AU422" i="13"/>
  <c r="AI144" i="13"/>
  <c r="S232" i="13"/>
  <c r="AE240" i="13"/>
  <c r="S200" i="13"/>
  <c r="AX108" i="13"/>
  <c r="AI80" i="13"/>
  <c r="T433" i="13"/>
  <c r="AL17" i="13"/>
  <c r="E241" i="13"/>
  <c r="Z178" i="13"/>
  <c r="BO333" i="13"/>
  <c r="W312" i="13"/>
  <c r="BT185" i="13"/>
  <c r="AX97" i="13"/>
  <c r="AU471" i="13"/>
  <c r="C322" i="13"/>
  <c r="BV411" i="13"/>
  <c r="AD67" i="13"/>
  <c r="AK221" i="13"/>
  <c r="AJ411" i="13"/>
  <c r="C396" i="13"/>
  <c r="BE293" i="13"/>
  <c r="O301" i="13"/>
  <c r="BH332" i="13"/>
  <c r="X375" i="13"/>
  <c r="Z140" i="13"/>
  <c r="K90" i="13"/>
  <c r="BQ178" i="13"/>
  <c r="AL441" i="13"/>
  <c r="AA460" i="13"/>
  <c r="BA477" i="13"/>
  <c r="B395" i="13"/>
  <c r="BU442" i="13"/>
  <c r="W169" i="13"/>
  <c r="BT356" i="13"/>
  <c r="C440" i="13"/>
  <c r="BA427" i="13"/>
  <c r="BJ410" i="13"/>
  <c r="AD497" i="13"/>
  <c r="I327" i="13"/>
  <c r="BP140" i="13"/>
  <c r="E13" i="13"/>
  <c r="BH369" i="13"/>
  <c r="X340" i="13"/>
  <c r="AA259" i="13"/>
  <c r="BS354" i="13"/>
  <c r="AF459" i="13"/>
  <c r="BA182" i="13"/>
  <c r="S223" i="13"/>
  <c r="AR188" i="13"/>
  <c r="BB177" i="13"/>
  <c r="AK378" i="13"/>
  <c r="E59" i="13"/>
  <c r="M146" i="13"/>
  <c r="BR145" i="13"/>
  <c r="BE495" i="13"/>
  <c r="D287" i="13"/>
  <c r="BP69" i="13"/>
  <c r="BJ497" i="13"/>
  <c r="I188" i="13"/>
  <c r="BN161" i="13"/>
  <c r="B126" i="13"/>
  <c r="BV245" i="13"/>
  <c r="F282" i="13"/>
  <c r="BC448" i="13"/>
  <c r="AM200" i="13"/>
  <c r="AL215" i="13"/>
  <c r="AD274" i="13"/>
  <c r="AO353" i="13"/>
  <c r="AR211" i="13"/>
  <c r="BS420" i="13"/>
  <c r="AH480" i="13"/>
  <c r="AL191" i="13"/>
  <c r="D450" i="13"/>
  <c r="BF278" i="13"/>
  <c r="J199" i="13"/>
  <c r="AZ362" i="13"/>
  <c r="W248" i="13"/>
  <c r="BO141" i="13"/>
  <c r="BG6" i="13"/>
  <c r="BV425" i="13"/>
  <c r="BB481" i="13"/>
  <c r="N344" i="13"/>
  <c r="AI322" i="13"/>
  <c r="R232" i="13"/>
  <c r="L415" i="13"/>
  <c r="BN175" i="13"/>
  <c r="AR168" i="13"/>
  <c r="Y218" i="13"/>
  <c r="BF341" i="13"/>
  <c r="X468" i="13"/>
  <c r="BU214" i="13"/>
  <c r="BD353" i="13"/>
  <c r="E182" i="13"/>
  <c r="BP245" i="13"/>
  <c r="BP378" i="13"/>
  <c r="AO484" i="13"/>
  <c r="AU176" i="13"/>
  <c r="BD219" i="13"/>
  <c r="AE411" i="13"/>
  <c r="BH119" i="13"/>
  <c r="BT434" i="13"/>
  <c r="Y248" i="13"/>
  <c r="N383" i="13"/>
  <c r="BS291" i="13"/>
  <c r="Z486" i="13"/>
  <c r="AB149" i="13"/>
  <c r="BO356" i="13"/>
  <c r="AN325" i="13"/>
  <c r="J377" i="13"/>
  <c r="AR431" i="13"/>
  <c r="AP430" i="13"/>
  <c r="AF416" i="13"/>
  <c r="U276" i="13"/>
  <c r="L166" i="13"/>
  <c r="BO12" i="13"/>
  <c r="BM10" i="13"/>
  <c r="Z278" i="13"/>
  <c r="AO14" i="13"/>
  <c r="AF314" i="13"/>
  <c r="AV308" i="13"/>
  <c r="BI307" i="13"/>
  <c r="AS169" i="13"/>
  <c r="BD365" i="13"/>
  <c r="K402" i="13"/>
  <c r="BJ453" i="13"/>
  <c r="A312" i="13"/>
  <c r="V343" i="13"/>
  <c r="BW269" i="13"/>
  <c r="BF207" i="13"/>
  <c r="H178" i="13"/>
  <c r="BK482" i="13"/>
  <c r="K244" i="13"/>
  <c r="W455" i="13"/>
  <c r="BC355" i="13"/>
  <c r="V364" i="13"/>
  <c r="AO59" i="13"/>
  <c r="BV213" i="13"/>
  <c r="AI242" i="13"/>
  <c r="G480" i="13"/>
  <c r="L424" i="13"/>
  <c r="AN122" i="13"/>
  <c r="AU202" i="13"/>
  <c r="BV428" i="13"/>
  <c r="N411" i="13"/>
  <c r="BW477" i="13"/>
  <c r="BP481" i="13"/>
  <c r="AU452" i="13"/>
  <c r="AN70" i="13"/>
  <c r="BI176" i="13"/>
  <c r="BK477" i="13"/>
  <c r="B267" i="13"/>
  <c r="V5" i="13"/>
  <c r="E270" i="13"/>
  <c r="BW474" i="13"/>
  <c r="K255" i="13"/>
  <c r="AW53" i="13"/>
  <c r="AI253" i="13"/>
  <c r="AT416" i="13"/>
  <c r="U299" i="13"/>
  <c r="AJ455" i="13"/>
  <c r="AG337" i="13"/>
  <c r="AE485" i="13"/>
  <c r="BL480" i="13"/>
  <c r="BS208" i="13"/>
  <c r="BE221" i="13"/>
  <c r="E278" i="13"/>
  <c r="AY110" i="13"/>
  <c r="C288" i="13"/>
  <c r="K368" i="13"/>
  <c r="AQ438" i="13"/>
  <c r="V12" i="13"/>
  <c r="BN307" i="13"/>
  <c r="BL344" i="13"/>
  <c r="BR392" i="13"/>
  <c r="AD305" i="13"/>
  <c r="BN337" i="13"/>
  <c r="BQ240" i="13"/>
  <c r="O462" i="13"/>
  <c r="AX450" i="13"/>
  <c r="G483" i="13"/>
  <c r="C129" i="13"/>
  <c r="BW85" i="13"/>
  <c r="AD399" i="13"/>
  <c r="BP454" i="13"/>
  <c r="BN342" i="13"/>
  <c r="AA467" i="13"/>
  <c r="AT406" i="13"/>
  <c r="X208" i="13"/>
  <c r="C184" i="13"/>
  <c r="AJ429" i="13"/>
  <c r="S203" i="13"/>
  <c r="AQ137" i="13"/>
  <c r="AJ303" i="13"/>
  <c r="AD227" i="13"/>
  <c r="BN375" i="13"/>
  <c r="AN298" i="13"/>
  <c r="BP167" i="13"/>
  <c r="H239" i="13"/>
  <c r="BJ219" i="13"/>
  <c r="Y501" i="13"/>
  <c r="E365" i="13"/>
  <c r="C429" i="13"/>
  <c r="AG332" i="13"/>
  <c r="AA469" i="13"/>
  <c r="I191" i="13"/>
  <c r="V211" i="13"/>
  <c r="C454" i="13"/>
  <c r="BG132" i="13"/>
  <c r="O384" i="13"/>
  <c r="X447" i="13"/>
  <c r="AR325" i="13"/>
  <c r="BB429" i="13"/>
  <c r="BW409" i="13"/>
  <c r="BL260" i="13"/>
  <c r="Z184" i="13"/>
  <c r="BU272" i="13"/>
  <c r="AV77" i="13"/>
  <c r="BJ342" i="13"/>
  <c r="G280" i="13"/>
  <c r="AA374" i="13"/>
  <c r="BP236" i="13"/>
  <c r="G222" i="13"/>
  <c r="BQ394" i="13"/>
  <c r="BD14" i="13"/>
  <c r="AC244" i="13"/>
  <c r="BB408" i="13"/>
  <c r="AP488" i="13"/>
  <c r="P309" i="13"/>
  <c r="F208" i="13"/>
  <c r="P72" i="13"/>
  <c r="BD243" i="13"/>
  <c r="BP200" i="13"/>
  <c r="BR217" i="13"/>
  <c r="V350" i="13"/>
  <c r="S428" i="13"/>
  <c r="O428" i="13"/>
  <c r="BU467" i="13"/>
  <c r="BT4" i="13"/>
  <c r="AH42" i="13"/>
  <c r="AJ23" i="13"/>
  <c r="T410" i="13"/>
  <c r="BU393" i="13"/>
  <c r="D79" i="13"/>
  <c r="AW12" i="13"/>
  <c r="Y127" i="13"/>
  <c r="AO316" i="13"/>
  <c r="BT422" i="13"/>
  <c r="AJ230" i="13"/>
  <c r="O500" i="13"/>
  <c r="Y233" i="13"/>
  <c r="AC410" i="13"/>
  <c r="C226" i="13"/>
  <c r="BD345" i="13"/>
  <c r="I174" i="13"/>
  <c r="BE378" i="13"/>
  <c r="AP305" i="13"/>
  <c r="T436" i="13"/>
  <c r="F290" i="13"/>
  <c r="AM138" i="13"/>
  <c r="AD16" i="13"/>
  <c r="AZ453" i="13"/>
  <c r="BJ473" i="13"/>
  <c r="BO307" i="13"/>
  <c r="AP199" i="13"/>
  <c r="BF223" i="13"/>
  <c r="M418" i="13"/>
  <c r="AR146" i="13"/>
  <c r="D412" i="13"/>
  <c r="AQ379" i="13"/>
  <c r="AE414" i="13"/>
  <c r="BD397" i="13"/>
  <c r="AY79" i="13"/>
  <c r="BS85" i="13"/>
  <c r="A320" i="13"/>
  <c r="X9" i="13"/>
  <c r="AE101" i="13"/>
  <c r="AF410" i="13"/>
  <c r="V494" i="13"/>
  <c r="AK195" i="13"/>
  <c r="AL486" i="13"/>
  <c r="D84" i="13"/>
  <c r="AK451" i="13"/>
  <c r="BV42" i="13"/>
  <c r="E450" i="13"/>
  <c r="P306" i="13"/>
  <c r="AG243" i="13"/>
  <c r="R481" i="13"/>
  <c r="BF133" i="13"/>
  <c r="AF215" i="13"/>
  <c r="D312" i="13"/>
  <c r="G200" i="13"/>
  <c r="V259" i="13"/>
  <c r="BJ321" i="13"/>
  <c r="AW322" i="13"/>
  <c r="AO430" i="13"/>
  <c r="AU196" i="13"/>
  <c r="BT447" i="13"/>
  <c r="AS409" i="13"/>
  <c r="O373" i="13"/>
  <c r="B356" i="13"/>
  <c r="BE385" i="13"/>
  <c r="BS365" i="13"/>
  <c r="AH167" i="13"/>
  <c r="BO165" i="13"/>
  <c r="AQ41" i="13"/>
  <c r="AV454" i="13"/>
  <c r="BO17" i="13"/>
  <c r="BQ9" i="13"/>
  <c r="C134" i="13"/>
  <c r="AX388" i="13"/>
  <c r="AU229" i="13"/>
  <c r="BQ357" i="13"/>
  <c r="AQ201" i="13"/>
  <c r="BD363" i="13"/>
  <c r="BM423" i="13"/>
  <c r="BL38" i="13"/>
  <c r="AH465" i="13"/>
  <c r="N458" i="13"/>
  <c r="BD279" i="13"/>
  <c r="H9" i="13"/>
  <c r="A157" i="13"/>
  <c r="AF196" i="13"/>
  <c r="BB395" i="13"/>
  <c r="BO209" i="13"/>
  <c r="BM15" i="13"/>
  <c r="AS217" i="13"/>
  <c r="L490" i="13"/>
  <c r="BA89" i="13"/>
  <c r="BN410" i="13"/>
  <c r="AK438" i="13"/>
  <c r="E308" i="13"/>
  <c r="BG355" i="13"/>
  <c r="M381" i="13"/>
  <c r="BC495" i="13"/>
  <c r="AA299" i="13"/>
  <c r="X241" i="13"/>
  <c r="BV395" i="13"/>
  <c r="Q499" i="13"/>
  <c r="AA421" i="13"/>
  <c r="BB306" i="13"/>
  <c r="AT170" i="13"/>
  <c r="BI403" i="13"/>
  <c r="T284" i="13"/>
  <c r="W379" i="13"/>
  <c r="BR202" i="13"/>
  <c r="K486" i="13"/>
  <c r="BO488" i="13"/>
  <c r="BW174" i="13"/>
  <c r="F136" i="13"/>
  <c r="AJ461" i="13"/>
  <c r="BQ498" i="13"/>
  <c r="AZ139" i="13"/>
  <c r="K193" i="13"/>
  <c r="AH433" i="13"/>
  <c r="BH97" i="13"/>
  <c r="AI10" i="13"/>
  <c r="AE431" i="13"/>
  <c r="AA227" i="13"/>
  <c r="AG66" i="13"/>
  <c r="B463" i="13"/>
  <c r="BI424" i="13"/>
  <c r="O433" i="13"/>
  <c r="BO355" i="13"/>
  <c r="AB403" i="13"/>
  <c r="O79" i="13"/>
  <c r="BB73" i="13"/>
  <c r="AH290" i="13"/>
  <c r="I447" i="13"/>
  <c r="BH397" i="13"/>
  <c r="K416" i="13"/>
  <c r="BL385" i="13"/>
  <c r="O393" i="13"/>
  <c r="BK495" i="13"/>
  <c r="X453" i="13"/>
  <c r="AH137" i="13"/>
  <c r="J407" i="13"/>
  <c r="BK212" i="13"/>
  <c r="P214" i="13"/>
  <c r="AY447" i="13"/>
  <c r="BC371" i="13"/>
  <c r="AL72" i="13"/>
  <c r="Q129" i="13"/>
  <c r="BE380" i="13"/>
  <c r="BA499" i="13"/>
  <c r="T463" i="13"/>
  <c r="K229" i="13"/>
  <c r="AB110" i="13"/>
  <c r="F401" i="13"/>
  <c r="A492" i="13"/>
  <c r="A5" i="13"/>
  <c r="AH25" i="13"/>
  <c r="P130" i="13"/>
  <c r="BS358" i="13"/>
  <c r="AT357" i="13"/>
  <c r="O446" i="13"/>
  <c r="B462" i="13"/>
  <c r="BT337" i="13"/>
  <c r="AV248" i="13"/>
  <c r="R382" i="13"/>
  <c r="AS277" i="13"/>
  <c r="AM119" i="13"/>
  <c r="AJ290" i="13"/>
  <c r="BQ434" i="13"/>
  <c r="BB170" i="13"/>
  <c r="Q366" i="13"/>
  <c r="BV455" i="13"/>
  <c r="P20" i="13"/>
  <c r="X326" i="13"/>
  <c r="Y3" i="13"/>
  <c r="P299" i="13"/>
  <c r="X278" i="13"/>
  <c r="AR343" i="13"/>
  <c r="BG382" i="13"/>
  <c r="AY446" i="13"/>
  <c r="AV399" i="13"/>
  <c r="Y53" i="13"/>
  <c r="BR335" i="13"/>
  <c r="AL162" i="13"/>
  <c r="I352" i="13"/>
  <c r="BW203" i="13"/>
  <c r="AZ353" i="13"/>
  <c r="G495" i="13"/>
  <c r="V418" i="13"/>
  <c r="Z13" i="13"/>
  <c r="AA394" i="13"/>
  <c r="BC285" i="13"/>
  <c r="AT373" i="13"/>
  <c r="AK156" i="13"/>
  <c r="BF430" i="13"/>
  <c r="AB312" i="13"/>
  <c r="BH153" i="13"/>
  <c r="AV344" i="13"/>
  <c r="B389" i="13"/>
  <c r="M169" i="13"/>
  <c r="BC73" i="13"/>
  <c r="AX139" i="13"/>
  <c r="Y316" i="13"/>
  <c r="M339" i="13"/>
  <c r="E166" i="13"/>
  <c r="AA212" i="13"/>
  <c r="D365" i="13"/>
  <c r="BU484" i="13"/>
  <c r="BO240" i="13"/>
  <c r="BA61" i="13"/>
  <c r="J168" i="13"/>
  <c r="BC460" i="13"/>
  <c r="BK414" i="13"/>
  <c r="AR4" i="13"/>
  <c r="AO169" i="13"/>
  <c r="BO315" i="13"/>
  <c r="AX203" i="13"/>
  <c r="BL272" i="13"/>
  <c r="C232" i="13"/>
  <c r="BD471" i="13"/>
  <c r="BL362" i="13"/>
  <c r="AK203" i="13"/>
  <c r="A281" i="13"/>
  <c r="BQ440" i="13"/>
  <c r="AE362" i="13"/>
  <c r="P24" i="13"/>
  <c r="AL448" i="13"/>
  <c r="I113" i="13"/>
  <c r="A403" i="13"/>
  <c r="BL501" i="13"/>
  <c r="AK366" i="13"/>
  <c r="Y170" i="13"/>
  <c r="M363" i="13"/>
  <c r="BF234" i="13"/>
  <c r="AS398" i="13"/>
  <c r="D368" i="13"/>
  <c r="X10" i="13"/>
  <c r="AP254" i="13"/>
  <c r="AE360" i="13"/>
  <c r="AQ388" i="13"/>
  <c r="T201" i="13"/>
  <c r="BP367" i="13"/>
  <c r="C453" i="13"/>
  <c r="BN400" i="13"/>
  <c r="AF423" i="13"/>
  <c r="BP398" i="13"/>
  <c r="Z321" i="13"/>
  <c r="AU17" i="13"/>
  <c r="AN270" i="13"/>
  <c r="AI377" i="13"/>
  <c r="BK272" i="13"/>
  <c r="BC222" i="13"/>
  <c r="AB304" i="13"/>
  <c r="AW457" i="13"/>
  <c r="BV234" i="13"/>
  <c r="S451" i="13"/>
  <c r="BO100" i="13"/>
  <c r="S285" i="13"/>
  <c r="AY500" i="13"/>
  <c r="C289" i="13"/>
  <c r="BF340" i="13"/>
  <c r="BG398" i="13"/>
  <c r="N235" i="13"/>
  <c r="AX395" i="13"/>
  <c r="AH155" i="13"/>
  <c r="H295" i="13"/>
  <c r="AH291" i="13"/>
  <c r="G366" i="13"/>
  <c r="S457" i="13"/>
  <c r="F339" i="13"/>
  <c r="W400" i="13"/>
  <c r="BB344" i="13"/>
  <c r="AS289" i="13"/>
  <c r="AO459" i="13"/>
  <c r="AR489" i="13"/>
  <c r="BC218" i="13"/>
  <c r="K170" i="13"/>
  <c r="AZ449" i="13"/>
  <c r="BV412" i="13"/>
  <c r="AV242" i="13"/>
  <c r="BS91" i="13"/>
  <c r="AZ232" i="13"/>
  <c r="G175" i="13"/>
  <c r="AE390" i="13"/>
  <c r="AF289" i="13"/>
  <c r="AT308" i="13"/>
  <c r="F432" i="13"/>
  <c r="AP418" i="13"/>
  <c r="Z377" i="13"/>
  <c r="I457" i="13"/>
  <c r="K252" i="13"/>
  <c r="AN255" i="13"/>
  <c r="BG11" i="13"/>
  <c r="AQ436" i="13"/>
  <c r="D14" i="13"/>
  <c r="D325" i="13"/>
  <c r="BU278" i="13"/>
  <c r="AN419" i="13"/>
  <c r="F419" i="13"/>
  <c r="B378" i="13"/>
  <c r="AO278" i="13"/>
  <c r="BA177" i="13"/>
  <c r="BH380" i="13"/>
  <c r="BT173" i="13"/>
  <c r="BA374" i="13"/>
  <c r="BE389" i="13"/>
  <c r="BR151" i="13"/>
  <c r="BJ235" i="13"/>
  <c r="BG83" i="13"/>
  <c r="G38" i="13"/>
  <c r="H248" i="13"/>
  <c r="U49" i="13"/>
  <c r="BA173" i="13"/>
  <c r="BF229" i="13"/>
  <c r="C334" i="13"/>
  <c r="R302" i="13"/>
  <c r="AT227" i="13"/>
  <c r="AM222" i="13"/>
  <c r="AR460" i="13"/>
  <c r="G379" i="13"/>
  <c r="P9" i="13"/>
  <c r="J382" i="13"/>
  <c r="BI166" i="13"/>
  <c r="O121" i="13"/>
  <c r="BS458" i="13"/>
  <c r="G299" i="13"/>
  <c r="J183" i="13"/>
  <c r="D420" i="13"/>
  <c r="BU386" i="13"/>
  <c r="P431" i="13"/>
  <c r="BM482" i="13"/>
  <c r="N402" i="13"/>
  <c r="BJ436" i="13"/>
  <c r="B259" i="13"/>
  <c r="P396" i="13"/>
  <c r="AD139" i="13"/>
  <c r="BJ237" i="13"/>
  <c r="G122" i="13"/>
  <c r="Y169" i="13"/>
  <c r="AE145" i="13"/>
  <c r="BB198" i="13"/>
  <c r="AM500" i="13"/>
  <c r="K234" i="13"/>
  <c r="W144" i="13"/>
  <c r="AW384" i="13"/>
  <c r="AO1" i="13"/>
  <c r="X86" i="13"/>
  <c r="AU428" i="13"/>
  <c r="O485" i="13"/>
  <c r="I200" i="13"/>
  <c r="N313" i="13"/>
  <c r="BM203" i="13"/>
  <c r="AM182" i="13"/>
  <c r="AN248" i="13"/>
  <c r="AH368" i="13"/>
  <c r="AB328" i="13"/>
  <c r="BC193" i="13"/>
  <c r="BT323" i="13"/>
  <c r="AP271" i="13"/>
  <c r="BR422" i="13"/>
  <c r="BM263" i="13"/>
  <c r="AM16" i="13"/>
  <c r="Y421" i="13"/>
  <c r="C23" i="13"/>
  <c r="BB2" i="13"/>
  <c r="E399" i="13"/>
  <c r="AL425" i="13"/>
  <c r="Z330" i="13"/>
  <c r="AY425" i="13"/>
  <c r="AT175" i="13"/>
  <c r="M175" i="13"/>
  <c r="AE6" i="13"/>
  <c r="R84" i="13"/>
  <c r="I160" i="13"/>
  <c r="AZ235" i="13"/>
  <c r="BU421" i="13"/>
  <c r="AX222" i="13"/>
  <c r="U397" i="13"/>
  <c r="B365" i="13"/>
  <c r="H110" i="13"/>
  <c r="BL247" i="13"/>
  <c r="BT465" i="13"/>
  <c r="BK265" i="13"/>
  <c r="AI110" i="13"/>
  <c r="AF468" i="13"/>
  <c r="L170" i="13"/>
  <c r="A98" i="13"/>
  <c r="BL328" i="13"/>
  <c r="AF13" i="13"/>
  <c r="AR10" i="13"/>
  <c r="BH494" i="13"/>
  <c r="BG489" i="13"/>
  <c r="AB500" i="13"/>
  <c r="AQ12" i="13"/>
  <c r="T465" i="13"/>
  <c r="AN258" i="13"/>
  <c r="AU328" i="13"/>
  <c r="AE465" i="13"/>
  <c r="AR497" i="13"/>
  <c r="BR33" i="13"/>
  <c r="BO3" i="13"/>
  <c r="AZ327" i="13"/>
  <c r="AC398" i="13"/>
  <c r="BG4" i="13"/>
  <c r="AN33" i="13"/>
  <c r="AI101" i="13"/>
  <c r="J417" i="13"/>
  <c r="BP88" i="13"/>
  <c r="BT269" i="13"/>
  <c r="Z18" i="13"/>
  <c r="BS405" i="13"/>
  <c r="L498" i="13"/>
  <c r="BM312" i="13"/>
  <c r="X366" i="13"/>
  <c r="BA138" i="13"/>
  <c r="C96" i="13"/>
  <c r="O186" i="13"/>
  <c r="AZ300" i="13"/>
  <c r="AK466" i="13"/>
  <c r="W489" i="13"/>
  <c r="AX373" i="13"/>
  <c r="BR426" i="13"/>
  <c r="BG408" i="13"/>
  <c r="AY272" i="13"/>
  <c r="BV162" i="13"/>
  <c r="AY11" i="13"/>
  <c r="BR144" i="13"/>
  <c r="BE319" i="13"/>
  <c r="Y172" i="13"/>
  <c r="E435" i="13"/>
  <c r="BQ238" i="13"/>
  <c r="AB79" i="13"/>
  <c r="AF385" i="13"/>
  <c r="BA327" i="13"/>
  <c r="BS123" i="13"/>
  <c r="AV455" i="13"/>
  <c r="V484" i="13"/>
  <c r="AT120" i="13"/>
  <c r="A257" i="13"/>
  <c r="BB451" i="13"/>
  <c r="M412" i="13"/>
  <c r="V476" i="13"/>
  <c r="X473" i="13"/>
  <c r="Y78" i="13"/>
  <c r="C363" i="13"/>
  <c r="AO402" i="13"/>
  <c r="AD271" i="13"/>
  <c r="AR428" i="13"/>
  <c r="B423" i="13"/>
  <c r="BB398" i="13"/>
  <c r="BV333" i="13"/>
  <c r="AI282" i="13"/>
  <c r="M214" i="13"/>
  <c r="BS183" i="13"/>
  <c r="AI172" i="13"/>
  <c r="AU306" i="13"/>
  <c r="AV184" i="13"/>
  <c r="BV194" i="13"/>
  <c r="AR289" i="13"/>
  <c r="BV206" i="13"/>
  <c r="BP335" i="13"/>
  <c r="AW278" i="13"/>
  <c r="AT26" i="13"/>
  <c r="AD400" i="13"/>
  <c r="AT243" i="13"/>
  <c r="AW269" i="13"/>
  <c r="N309" i="13"/>
  <c r="BR479" i="13"/>
  <c r="AG355" i="13"/>
  <c r="BK65" i="13"/>
  <c r="BM297" i="13"/>
  <c r="BQ344" i="13"/>
  <c r="AR194" i="13"/>
  <c r="BE357" i="13"/>
  <c r="N459" i="13"/>
  <c r="BP204" i="13"/>
  <c r="X360" i="13"/>
  <c r="J409" i="13"/>
  <c r="AG411" i="13"/>
  <c r="BA121" i="13"/>
  <c r="BC493" i="13"/>
  <c r="BC213" i="13"/>
  <c r="P222" i="13"/>
  <c r="BM478" i="13"/>
  <c r="AV465" i="13"/>
  <c r="T186" i="13"/>
  <c r="AJ398" i="13"/>
  <c r="AK442" i="13"/>
  <c r="P419" i="13"/>
  <c r="Y225" i="13"/>
  <c r="M222" i="13"/>
  <c r="BQ345" i="13"/>
  <c r="AS227" i="13"/>
  <c r="BU496" i="13"/>
  <c r="X181" i="13"/>
  <c r="D409" i="13"/>
  <c r="BH368" i="13"/>
  <c r="M223" i="13"/>
  <c r="AW10" i="13"/>
  <c r="AC273" i="13"/>
  <c r="B431" i="13"/>
  <c r="BW412" i="13"/>
  <c r="BW104" i="13"/>
  <c r="AF258" i="13"/>
  <c r="AH464" i="13"/>
  <c r="AW370" i="13"/>
  <c r="BD309" i="13"/>
  <c r="BC389" i="13"/>
  <c r="AE379" i="13"/>
  <c r="I145" i="13"/>
  <c r="AA422" i="13"/>
  <c r="BQ228" i="13"/>
  <c r="AB317" i="13"/>
  <c r="BE430" i="13"/>
  <c r="C80" i="13"/>
  <c r="AK368" i="13"/>
  <c r="O148" i="13"/>
  <c r="AL78" i="13"/>
  <c r="T212" i="13"/>
  <c r="AS290" i="13"/>
  <c r="BB292" i="13"/>
  <c r="BF393" i="13"/>
  <c r="D285" i="13"/>
  <c r="E58" i="13"/>
  <c r="Y262" i="13"/>
  <c r="BC263" i="13"/>
  <c r="AZ431" i="13"/>
  <c r="AU240" i="13"/>
  <c r="BP478" i="13"/>
  <c r="F237" i="13"/>
  <c r="AU153" i="13"/>
  <c r="BM149" i="13"/>
  <c r="BE294" i="13"/>
  <c r="AL375" i="13"/>
  <c r="AA483" i="13"/>
  <c r="V170" i="13"/>
  <c r="G376" i="13"/>
  <c r="AN238" i="13"/>
  <c r="I409" i="13"/>
  <c r="AL65" i="13"/>
  <c r="BI354" i="13"/>
  <c r="AN348" i="13"/>
  <c r="J448" i="13"/>
  <c r="BS196" i="13"/>
  <c r="BW217" i="13"/>
  <c r="AS154" i="13"/>
  <c r="BI462" i="13"/>
  <c r="AR271" i="13"/>
  <c r="BH212" i="13"/>
  <c r="B287" i="13"/>
  <c r="BD241" i="13"/>
  <c r="S489" i="13"/>
  <c r="BP309" i="13"/>
  <c r="BH224" i="13"/>
  <c r="AL99" i="13"/>
  <c r="AV276" i="13"/>
  <c r="AH112" i="13"/>
  <c r="Q487" i="13"/>
  <c r="BK312" i="13"/>
  <c r="BR212" i="13"/>
  <c r="V122" i="13"/>
  <c r="AD222" i="13"/>
  <c r="J172" i="13"/>
  <c r="P331" i="13"/>
  <c r="K143" i="13"/>
  <c r="AS382" i="13"/>
  <c r="AU450" i="13"/>
  <c r="AK211" i="13"/>
  <c r="AU70" i="13"/>
  <c r="B5" i="13"/>
  <c r="AH434" i="13"/>
  <c r="D427" i="13"/>
  <c r="AB286" i="13"/>
  <c r="AV405" i="13"/>
  <c r="AY5" i="13"/>
  <c r="M37" i="13"/>
  <c r="BR130" i="13"/>
  <c r="Y328" i="13"/>
  <c r="AB284" i="13"/>
  <c r="Y366" i="13"/>
  <c r="L221" i="13"/>
  <c r="BP312" i="13"/>
  <c r="T204" i="13"/>
  <c r="BA154" i="13"/>
  <c r="L190" i="13"/>
  <c r="P455" i="13"/>
  <c r="BD169" i="13"/>
  <c r="U467" i="13"/>
  <c r="E243" i="13"/>
  <c r="C348" i="13"/>
  <c r="BL320" i="13"/>
  <c r="W285" i="13"/>
  <c r="AC399" i="13"/>
  <c r="AS229" i="13"/>
  <c r="BE136" i="13"/>
  <c r="E239" i="13"/>
  <c r="AR482" i="13"/>
  <c r="J205" i="13"/>
  <c r="H406" i="13"/>
  <c r="BU307" i="13"/>
  <c r="BL478" i="13"/>
  <c r="BR429" i="13"/>
  <c r="BM184" i="13"/>
  <c r="R375" i="13"/>
  <c r="AA464" i="13"/>
  <c r="V384" i="13"/>
  <c r="G237" i="13"/>
  <c r="AI84" i="13"/>
  <c r="AM213" i="13"/>
  <c r="AJ495" i="13"/>
  <c r="BK281" i="13"/>
  <c r="W496" i="13"/>
  <c r="C257" i="13"/>
  <c r="BV175" i="13"/>
  <c r="O323" i="13"/>
  <c r="G242" i="13"/>
  <c r="AG145" i="13"/>
  <c r="AT223" i="13"/>
  <c r="H375" i="13"/>
  <c r="BK358" i="13"/>
  <c r="I77" i="13"/>
  <c r="P230" i="13"/>
  <c r="BM18" i="13"/>
  <c r="AY182" i="13"/>
  <c r="BG231" i="13"/>
  <c r="BO473" i="13"/>
  <c r="AR399" i="13"/>
  <c r="F321" i="13"/>
  <c r="BS345" i="13"/>
  <c r="U258" i="13"/>
  <c r="AZ416" i="13"/>
  <c r="BW216" i="13"/>
  <c r="B189" i="13"/>
  <c r="BO428" i="13"/>
  <c r="AM429" i="13"/>
  <c r="BR305" i="13"/>
  <c r="Z340" i="13"/>
  <c r="J376" i="13"/>
  <c r="AZ396" i="13"/>
  <c r="AW329" i="13"/>
  <c r="AR366" i="13"/>
  <c r="U368" i="13"/>
  <c r="AZ304" i="13"/>
  <c r="U377" i="13"/>
  <c r="AZ402" i="13"/>
  <c r="T418" i="13"/>
  <c r="AC308" i="13"/>
  <c r="BH338" i="13"/>
  <c r="AO48" i="13"/>
  <c r="S162" i="13"/>
  <c r="F423" i="13"/>
  <c r="S246" i="13"/>
  <c r="BB399" i="13"/>
  <c r="X231" i="13"/>
  <c r="AV391" i="13"/>
  <c r="A181" i="13"/>
  <c r="M335" i="13"/>
  <c r="AS99" i="13"/>
  <c r="S410" i="13"/>
  <c r="BJ479" i="13"/>
  <c r="R139" i="13"/>
  <c r="BM413" i="13"/>
  <c r="AG127" i="13"/>
  <c r="M14" i="13"/>
  <c r="A340" i="13"/>
  <c r="A375" i="13"/>
  <c r="K86" i="13"/>
  <c r="AE326" i="13"/>
  <c r="Z478" i="13"/>
  <c r="AF301" i="13"/>
  <c r="BM404" i="13"/>
  <c r="AB224" i="13"/>
  <c r="AZ109" i="13"/>
  <c r="BO501" i="13"/>
  <c r="F431" i="13"/>
  <c r="BM465" i="13"/>
  <c r="AA324" i="13"/>
  <c r="BF163" i="13"/>
  <c r="AU363" i="13"/>
  <c r="P285" i="13"/>
  <c r="A487" i="13"/>
  <c r="AI287" i="13"/>
  <c r="BB390" i="13"/>
  <c r="B318" i="13"/>
  <c r="AH448" i="13"/>
  <c r="BI401" i="13"/>
  <c r="BK342" i="13"/>
  <c r="BA290" i="13"/>
  <c r="BC397" i="13"/>
  <c r="BS309" i="13"/>
  <c r="BF15" i="13"/>
  <c r="E478" i="13"/>
  <c r="BQ48" i="13"/>
  <c r="BC413" i="13"/>
  <c r="AD104" i="13"/>
  <c r="Y414" i="13"/>
  <c r="P206" i="13"/>
  <c r="BK443" i="13"/>
  <c r="AU119" i="13"/>
  <c r="BI343" i="13"/>
  <c r="S407" i="13"/>
  <c r="BA474" i="13"/>
  <c r="AJ155" i="13"/>
  <c r="AV480" i="13"/>
  <c r="R113" i="13"/>
  <c r="T414" i="13"/>
  <c r="BJ104" i="13"/>
  <c r="AM10" i="13"/>
  <c r="O137" i="13"/>
  <c r="AD253" i="13"/>
  <c r="C291" i="13"/>
  <c r="S219" i="13"/>
  <c r="V104" i="13"/>
  <c r="AF216" i="13"/>
  <c r="B265" i="13"/>
  <c r="AO382" i="13"/>
  <c r="L433" i="13"/>
  <c r="BW348" i="13"/>
  <c r="AW79" i="13"/>
  <c r="AN477" i="13"/>
  <c r="BI447" i="13"/>
  <c r="S371" i="13"/>
  <c r="BD39" i="13"/>
  <c r="BI196" i="13"/>
  <c r="BM425" i="13"/>
  <c r="U345" i="13"/>
  <c r="BU1" i="13"/>
  <c r="AT179" i="13"/>
  <c r="Q444" i="13"/>
  <c r="W226" i="13"/>
  <c r="BP171" i="13"/>
  <c r="AH109" i="13"/>
  <c r="AC18" i="13"/>
  <c r="AB163" i="13"/>
  <c r="AW459" i="13"/>
  <c r="AI124" i="13"/>
  <c r="AI158" i="13"/>
  <c r="BS151" i="13"/>
  <c r="BV400" i="13"/>
  <c r="BF111" i="13"/>
  <c r="AO256" i="13"/>
  <c r="BW18" i="13"/>
  <c r="BM410" i="13"/>
  <c r="AE312" i="13"/>
  <c r="AR309" i="13"/>
  <c r="BF386" i="13"/>
  <c r="BK301" i="13"/>
  <c r="BD198" i="13"/>
  <c r="BH355" i="13"/>
  <c r="BR377" i="13"/>
  <c r="Y407" i="13"/>
  <c r="C158" i="13"/>
  <c r="AN191" i="13"/>
  <c r="AI267" i="13"/>
  <c r="S23" i="13"/>
  <c r="AX365" i="13"/>
  <c r="AZ489" i="13"/>
  <c r="BC212" i="13"/>
  <c r="AD425" i="13"/>
  <c r="BG16" i="13"/>
  <c r="AH261" i="13"/>
  <c r="G80" i="13"/>
  <c r="BC458" i="13"/>
  <c r="K241" i="13"/>
  <c r="AW213" i="13"/>
  <c r="J118" i="13"/>
  <c r="BW491" i="13"/>
  <c r="AA351" i="13"/>
  <c r="AM223" i="13"/>
  <c r="AA493" i="13"/>
  <c r="W190" i="13"/>
  <c r="K426" i="13"/>
  <c r="AE452" i="13"/>
  <c r="BA469" i="13"/>
  <c r="H148" i="13"/>
  <c r="AI375" i="13"/>
  <c r="BB438" i="13"/>
  <c r="U220" i="13"/>
  <c r="BF72" i="13"/>
  <c r="O219" i="13"/>
  <c r="AD370" i="13"/>
  <c r="AN418" i="13"/>
  <c r="BP369" i="13"/>
  <c r="AV161" i="13"/>
  <c r="BR162" i="13"/>
  <c r="AB218" i="13"/>
  <c r="BV331" i="13"/>
  <c r="BT126" i="13"/>
  <c r="BG79" i="13"/>
  <c r="AB254" i="13"/>
  <c r="BW421" i="13"/>
  <c r="AR416" i="13"/>
  <c r="V469" i="13"/>
  <c r="AI271" i="13"/>
  <c r="O321" i="13"/>
  <c r="BH371" i="13"/>
  <c r="BQ21" i="13"/>
  <c r="BH77" i="13"/>
  <c r="Y375" i="13"/>
  <c r="AA149" i="13"/>
  <c r="AJ454" i="13"/>
  <c r="BK189" i="13"/>
  <c r="I344" i="13"/>
  <c r="AN222" i="13"/>
  <c r="BG248" i="13"/>
  <c r="AM72" i="13"/>
  <c r="BS175" i="13"/>
  <c r="W445" i="13"/>
  <c r="W350" i="13"/>
  <c r="BT237" i="13"/>
  <c r="BA489" i="13"/>
  <c r="T165" i="13"/>
  <c r="W347" i="13"/>
  <c r="T473" i="13"/>
  <c r="BI430" i="13"/>
  <c r="I264" i="13"/>
  <c r="BO177" i="13"/>
  <c r="BF53" i="13"/>
  <c r="S442" i="13"/>
  <c r="AU456" i="13"/>
  <c r="AW259" i="13"/>
  <c r="AC432" i="13"/>
  <c r="L413" i="13"/>
  <c r="BV478" i="13"/>
  <c r="BW267" i="13"/>
  <c r="X205" i="13"/>
  <c r="T33" i="13"/>
  <c r="BB391" i="13"/>
  <c r="B470" i="13"/>
  <c r="AJ277" i="13"/>
  <c r="BP357" i="13"/>
  <c r="AP255" i="13"/>
  <c r="U339" i="13"/>
  <c r="BA42" i="13"/>
  <c r="AT265" i="13"/>
  <c r="H162" i="13"/>
  <c r="BJ193" i="13"/>
  <c r="AT270" i="13"/>
  <c r="X298" i="13"/>
  <c r="BN260" i="13"/>
  <c r="S469" i="13"/>
  <c r="AL64" i="13"/>
  <c r="Z439" i="13"/>
  <c r="BS167" i="13"/>
  <c r="BK359" i="13"/>
  <c r="BB324" i="13"/>
  <c r="C304" i="13"/>
  <c r="F142" i="13"/>
  <c r="C307" i="13"/>
  <c r="BA241" i="13"/>
  <c r="BT215" i="13"/>
  <c r="F171" i="13"/>
  <c r="AN384" i="13"/>
  <c r="BM328" i="13"/>
  <c r="AI187" i="13"/>
  <c r="H305" i="13"/>
  <c r="BP414" i="13"/>
  <c r="AW404" i="13"/>
  <c r="BJ423" i="13"/>
  <c r="BP489" i="13"/>
  <c r="AY200" i="13"/>
  <c r="AA40" i="13"/>
  <c r="BR86" i="13"/>
  <c r="BU225" i="13"/>
  <c r="Z282" i="13"/>
  <c r="BK77" i="13"/>
  <c r="S408" i="13"/>
  <c r="AS405" i="13"/>
  <c r="BB479" i="13"/>
  <c r="AQ365" i="13"/>
  <c r="AF167" i="13"/>
  <c r="AQ354" i="13"/>
  <c r="BH411" i="13"/>
  <c r="AZ456" i="13"/>
  <c r="BR149" i="13"/>
  <c r="Y202" i="13"/>
  <c r="AM492" i="13"/>
  <c r="BC1" i="13"/>
  <c r="BM109" i="13"/>
  <c r="AE460" i="13"/>
  <c r="BP491" i="13"/>
  <c r="BI352" i="13"/>
  <c r="V318" i="13"/>
  <c r="BK140" i="13"/>
  <c r="BW336" i="13"/>
  <c r="BU281" i="13"/>
  <c r="O435" i="13"/>
  <c r="X336" i="13"/>
  <c r="U417" i="13"/>
  <c r="I330" i="13"/>
  <c r="AG344" i="13"/>
  <c r="AV416" i="13"/>
  <c r="AX205" i="13"/>
  <c r="AH36" i="13"/>
  <c r="AI277" i="13"/>
  <c r="BE29" i="13"/>
  <c r="J479" i="13"/>
  <c r="L169" i="13"/>
  <c r="T349" i="13"/>
  <c r="AB327" i="13"/>
  <c r="AX498" i="13"/>
  <c r="M25" i="13"/>
  <c r="Y28" i="13"/>
  <c r="BV1" i="13"/>
  <c r="BO403" i="13"/>
  <c r="AV170" i="13"/>
  <c r="P269" i="13"/>
  <c r="BG471" i="13"/>
  <c r="AU219" i="13"/>
  <c r="R311" i="13"/>
  <c r="AG431" i="13"/>
  <c r="Z137" i="13"/>
  <c r="AD246" i="13"/>
  <c r="AE83" i="13"/>
  <c r="X496" i="13"/>
  <c r="BP322" i="13"/>
  <c r="BN371" i="13"/>
  <c r="BE60" i="13"/>
  <c r="BM167" i="13"/>
  <c r="AL132" i="13"/>
  <c r="AM275" i="13"/>
  <c r="R384" i="13"/>
  <c r="C497" i="13"/>
  <c r="AQ323" i="13"/>
  <c r="J367" i="13"/>
  <c r="AL347" i="13"/>
  <c r="H262" i="13"/>
  <c r="A313" i="13"/>
  <c r="BG399" i="13"/>
  <c r="AV257" i="13"/>
  <c r="K375" i="13"/>
  <c r="AB250" i="13"/>
  <c r="BK142" i="13"/>
  <c r="AI17" i="13"/>
  <c r="I325" i="13"/>
  <c r="BQ319" i="13"/>
  <c r="W255" i="13"/>
  <c r="W97" i="13"/>
  <c r="P166" i="13"/>
  <c r="BP266" i="13"/>
  <c r="X438" i="13"/>
  <c r="AR147" i="13"/>
  <c r="O178" i="13"/>
  <c r="J467" i="13"/>
  <c r="F461" i="13"/>
  <c r="AJ366" i="13"/>
  <c r="AX293" i="13"/>
  <c r="M97" i="13"/>
  <c r="AS79" i="13"/>
  <c r="AN304" i="13"/>
  <c r="AG13" i="13"/>
  <c r="BN257" i="13"/>
  <c r="BV383" i="13"/>
  <c r="BV419" i="13"/>
  <c r="U265" i="13"/>
  <c r="BW385" i="13"/>
  <c r="M116" i="13"/>
  <c r="J408" i="13"/>
  <c r="AL80" i="13"/>
  <c r="Z273" i="13"/>
  <c r="M326" i="13"/>
  <c r="AV366" i="13"/>
  <c r="AE258" i="13"/>
  <c r="C45" i="13"/>
  <c r="AS254" i="13"/>
  <c r="AF450" i="13"/>
  <c r="J170" i="13"/>
  <c r="BR435" i="13"/>
  <c r="BQ78" i="13"/>
  <c r="BW282" i="13"/>
  <c r="BE275" i="13"/>
  <c r="AQ258" i="13"/>
  <c r="AY445" i="13"/>
  <c r="AT476" i="13"/>
  <c r="BQ437" i="13"/>
  <c r="AD306" i="13"/>
  <c r="AE417" i="13"/>
  <c r="Q98" i="13"/>
  <c r="BH383" i="13"/>
  <c r="BF198" i="13"/>
  <c r="AC328" i="13"/>
  <c r="BS25" i="13"/>
  <c r="BL347" i="13"/>
  <c r="AP293" i="13"/>
  <c r="B143" i="13"/>
  <c r="B383" i="13"/>
  <c r="AQ214" i="13"/>
  <c r="N477" i="13"/>
  <c r="N252" i="13"/>
  <c r="BM279" i="13"/>
  <c r="X410" i="13"/>
  <c r="L329" i="13"/>
  <c r="AA388" i="13"/>
  <c r="H214" i="13"/>
  <c r="N224" i="13"/>
  <c r="N15" i="13"/>
  <c r="V281" i="13"/>
  <c r="C495" i="13"/>
  <c r="AH325" i="13"/>
  <c r="S167" i="13"/>
  <c r="BB471" i="13"/>
  <c r="BD477" i="13"/>
  <c r="BS138" i="13"/>
  <c r="AI347" i="13"/>
  <c r="BI319" i="13"/>
  <c r="H99" i="13"/>
  <c r="K342" i="13"/>
  <c r="K159" i="13"/>
  <c r="BN40" i="13"/>
  <c r="AN388" i="13"/>
  <c r="AU321" i="13"/>
  <c r="BS69" i="13"/>
  <c r="BT176" i="13"/>
  <c r="AJ361" i="13"/>
  <c r="AU278" i="13"/>
  <c r="BM294" i="13"/>
  <c r="AO501" i="13"/>
  <c r="S430" i="13"/>
  <c r="AK245" i="13"/>
  <c r="P414" i="13"/>
  <c r="BF338" i="13"/>
  <c r="BI294" i="13"/>
  <c r="BQ448" i="13"/>
  <c r="AS332" i="13"/>
  <c r="BC392" i="13"/>
  <c r="AA309" i="13"/>
  <c r="BE265" i="13"/>
  <c r="BP362" i="13"/>
  <c r="AN426" i="13"/>
  <c r="BW238" i="13"/>
  <c r="BM319" i="13"/>
  <c r="BP320" i="13"/>
  <c r="N165" i="13"/>
  <c r="M181" i="13"/>
  <c r="AM229" i="13"/>
  <c r="AB406" i="13"/>
  <c r="AT75" i="13"/>
  <c r="AM472" i="13"/>
  <c r="Z240" i="13"/>
  <c r="AV477" i="13"/>
  <c r="AN234" i="13"/>
  <c r="AB315" i="13"/>
  <c r="BW496" i="13"/>
  <c r="O236" i="13"/>
  <c r="AQ386" i="13"/>
  <c r="BD385" i="13"/>
  <c r="AA466" i="13"/>
  <c r="BD132" i="13"/>
  <c r="W441" i="13"/>
  <c r="K332" i="13"/>
  <c r="C183" i="13"/>
  <c r="BM338" i="13"/>
  <c r="R172" i="13"/>
  <c r="AZ7" i="13"/>
  <c r="BF145" i="13"/>
  <c r="J282" i="13"/>
  <c r="BN10" i="13"/>
  <c r="F417" i="13"/>
  <c r="BG359" i="13"/>
  <c r="AO50" i="13"/>
  <c r="AM435" i="13"/>
  <c r="BW308" i="13"/>
  <c r="S192" i="13"/>
  <c r="AZ351" i="13"/>
  <c r="AI386" i="13"/>
  <c r="Z226" i="13"/>
  <c r="BO245" i="13"/>
  <c r="Z9" i="13"/>
  <c r="AT211" i="13"/>
  <c r="W336" i="13"/>
  <c r="D265" i="13"/>
  <c r="AM215" i="13"/>
  <c r="AQ143" i="13"/>
  <c r="BL138" i="13"/>
  <c r="AK349" i="13"/>
  <c r="AJ135" i="13"/>
  <c r="BV292" i="13"/>
  <c r="AK444" i="13"/>
  <c r="L31" i="13"/>
  <c r="AM428" i="13"/>
  <c r="AK244" i="13"/>
  <c r="BQ166" i="13"/>
  <c r="BQ258" i="13"/>
  <c r="BQ225" i="13"/>
  <c r="BM41" i="13"/>
  <c r="AB467" i="13"/>
  <c r="AK423" i="13"/>
  <c r="P245" i="13"/>
  <c r="AG378" i="13"/>
  <c r="AB413" i="13"/>
  <c r="P439" i="13"/>
  <c r="I290" i="13"/>
  <c r="BT367" i="13"/>
  <c r="G444" i="13"/>
  <c r="BS404" i="13"/>
  <c r="M269" i="13"/>
  <c r="AF107" i="13"/>
  <c r="BH413" i="13"/>
  <c r="AO500" i="13"/>
  <c r="AU460" i="13"/>
  <c r="AB3" i="13"/>
  <c r="AN495" i="13"/>
  <c r="E74" i="13"/>
  <c r="P409" i="13"/>
  <c r="AC141" i="13"/>
  <c r="AR478" i="13"/>
  <c r="B437" i="13"/>
  <c r="AS202" i="13"/>
  <c r="AS421" i="13"/>
  <c r="R374" i="13"/>
  <c r="AQ102" i="13"/>
  <c r="R461" i="13"/>
  <c r="BV431" i="13"/>
  <c r="BQ203" i="13"/>
  <c r="W295" i="13"/>
  <c r="AX186" i="13"/>
  <c r="AW346" i="13"/>
  <c r="T479" i="13"/>
  <c r="AN292" i="13"/>
  <c r="BC95" i="13"/>
  <c r="BN89" i="13"/>
  <c r="K259" i="13"/>
  <c r="AH285" i="13"/>
  <c r="S385" i="13"/>
  <c r="E316" i="13"/>
  <c r="X465" i="13"/>
  <c r="BU183" i="13"/>
  <c r="T203" i="13"/>
  <c r="AK207" i="13"/>
  <c r="AS269" i="13"/>
  <c r="C346" i="13"/>
  <c r="BW276" i="13"/>
  <c r="BQ500" i="13"/>
  <c r="X374" i="13"/>
  <c r="BI359" i="13"/>
  <c r="A447" i="13"/>
  <c r="BL207" i="13"/>
  <c r="M276" i="13"/>
  <c r="BA258" i="13"/>
  <c r="AC177" i="13"/>
  <c r="AB288" i="13"/>
  <c r="AI395" i="13"/>
  <c r="BH118" i="13"/>
  <c r="R201" i="13"/>
  <c r="O379" i="13"/>
  <c r="BG498" i="13"/>
  <c r="AD466" i="13"/>
  <c r="Z492" i="13"/>
  <c r="BG453" i="13"/>
  <c r="BH467" i="13"/>
  <c r="AL361" i="13"/>
  <c r="BV279" i="13"/>
  <c r="AJ194" i="13"/>
  <c r="F479" i="13"/>
  <c r="BO257" i="13"/>
  <c r="L254" i="13"/>
  <c r="W35" i="13"/>
  <c r="P190" i="13"/>
  <c r="AY380" i="13"/>
  <c r="L468" i="13"/>
  <c r="BI388" i="13"/>
  <c r="AU447" i="13"/>
  <c r="BT365" i="13"/>
  <c r="O108" i="13"/>
  <c r="BF499" i="13"/>
  <c r="BQ438" i="13"/>
  <c r="N436" i="13"/>
  <c r="BC170" i="13"/>
  <c r="BW274" i="13"/>
  <c r="BC148" i="13"/>
  <c r="BW82" i="13"/>
  <c r="BD484" i="13"/>
  <c r="E171" i="13"/>
  <c r="AD328" i="13"/>
  <c r="P434" i="13"/>
  <c r="D213" i="13"/>
  <c r="N457" i="13"/>
  <c r="AO314" i="13"/>
  <c r="AO370" i="13"/>
  <c r="O383" i="13"/>
  <c r="V27" i="13"/>
  <c r="Q124" i="13"/>
  <c r="AG403" i="13"/>
  <c r="BD354" i="13"/>
  <c r="BJ225" i="13"/>
  <c r="AO187" i="13"/>
  <c r="AH415" i="13"/>
  <c r="H252" i="13"/>
  <c r="AJ328" i="13"/>
  <c r="BS332" i="13"/>
  <c r="BT159" i="13"/>
  <c r="AN319" i="13"/>
  <c r="BG8" i="13"/>
  <c r="BR386" i="13"/>
  <c r="BV464" i="13"/>
  <c r="AW440" i="13"/>
  <c r="BJ13" i="13"/>
  <c r="I377" i="13"/>
  <c r="AD424" i="13"/>
  <c r="AL321" i="13"/>
  <c r="BA487" i="13"/>
  <c r="BA34" i="13"/>
  <c r="AS215" i="13"/>
  <c r="J115" i="13"/>
  <c r="AD40" i="13"/>
  <c r="AR208" i="13"/>
  <c r="W321" i="13"/>
  <c r="AG364" i="13"/>
  <c r="BU445" i="13"/>
  <c r="AP152" i="13"/>
  <c r="AD204" i="13"/>
  <c r="AH194" i="13"/>
  <c r="AV69" i="13"/>
  <c r="BR384" i="13"/>
  <c r="BK446" i="13"/>
  <c r="F352" i="13"/>
  <c r="AV306" i="13"/>
  <c r="BQ315" i="13"/>
  <c r="BG138" i="13"/>
  <c r="BW461" i="13"/>
  <c r="AS394" i="13"/>
  <c r="BH445" i="13"/>
  <c r="BD256" i="13"/>
  <c r="C146" i="13"/>
  <c r="BE477" i="13"/>
  <c r="BW422" i="13"/>
  <c r="F261" i="13"/>
  <c r="AN288" i="13"/>
  <c r="BM364" i="13"/>
  <c r="J15" i="13"/>
  <c r="Z175" i="13"/>
  <c r="S420" i="13"/>
  <c r="AH152" i="13"/>
  <c r="AA382" i="13"/>
  <c r="AT407" i="13"/>
  <c r="BT413" i="13"/>
  <c r="BG300" i="13"/>
  <c r="J191" i="13"/>
  <c r="AU117" i="13"/>
  <c r="H174" i="13"/>
  <c r="BH385" i="13"/>
  <c r="BN251" i="13"/>
  <c r="U68" i="13"/>
  <c r="AA135" i="13"/>
  <c r="O189" i="13"/>
  <c r="BL436" i="13"/>
  <c r="AN267" i="13"/>
  <c r="BG448" i="13"/>
  <c r="AV347" i="13"/>
  <c r="Y150" i="13"/>
  <c r="BE106" i="13"/>
  <c r="BF438" i="13"/>
  <c r="AM102" i="13"/>
  <c r="BP4" i="13"/>
  <c r="BC466" i="13"/>
  <c r="AK130" i="13"/>
  <c r="AX410" i="13"/>
  <c r="N476" i="13"/>
  <c r="AB158" i="13"/>
  <c r="AC275" i="13"/>
  <c r="BA411" i="13"/>
  <c r="U430" i="13"/>
  <c r="BW278" i="13"/>
  <c r="BH33" i="13"/>
  <c r="BO114" i="13"/>
  <c r="V286" i="13"/>
  <c r="BG3" i="13"/>
  <c r="BI224" i="13"/>
  <c r="BV272" i="13"/>
  <c r="U474" i="13"/>
  <c r="BC146" i="13"/>
  <c r="AI350" i="13"/>
  <c r="AR103" i="13"/>
  <c r="B441" i="13"/>
  <c r="BK419" i="13"/>
  <c r="BE473" i="13"/>
  <c r="M177" i="13"/>
  <c r="AD208" i="13"/>
  <c r="G353" i="13"/>
  <c r="BT349" i="13"/>
  <c r="BV75" i="13"/>
  <c r="AI227" i="13"/>
  <c r="D309" i="13"/>
  <c r="AA276" i="13"/>
  <c r="AP478" i="13"/>
  <c r="Y171" i="13"/>
  <c r="L470" i="13"/>
  <c r="AM478" i="13"/>
  <c r="Q262" i="13"/>
  <c r="AI492" i="13"/>
  <c r="AE28" i="13"/>
  <c r="BF282" i="13"/>
  <c r="BW11" i="13"/>
  <c r="C181" i="13"/>
  <c r="AU123" i="13"/>
  <c r="C418" i="13"/>
  <c r="H361" i="13"/>
  <c r="BA413" i="13"/>
  <c r="BT121" i="13"/>
  <c r="P273" i="13"/>
  <c r="F242" i="13"/>
  <c r="T221" i="13"/>
  <c r="AD261" i="13"/>
  <c r="AG207" i="13"/>
  <c r="BM394" i="13"/>
  <c r="BC255" i="13"/>
  <c r="AO491" i="13"/>
  <c r="BR225" i="13"/>
  <c r="B175" i="13"/>
  <c r="AU191" i="13"/>
  <c r="BS201" i="13"/>
  <c r="A211" i="13"/>
  <c r="BQ415" i="13"/>
  <c r="BG141" i="13"/>
  <c r="AD420" i="13"/>
  <c r="BV156" i="13"/>
  <c r="AA248" i="13"/>
  <c r="N95" i="13"/>
  <c r="BV200" i="13"/>
  <c r="BP275" i="13"/>
  <c r="BB440" i="13"/>
  <c r="BI223" i="13"/>
  <c r="I192" i="13"/>
  <c r="T368" i="13"/>
  <c r="BJ334" i="13"/>
  <c r="BB342" i="13"/>
  <c r="AF8" i="13"/>
  <c r="BG157" i="13"/>
  <c r="L277" i="13"/>
  <c r="AK185" i="13"/>
  <c r="AO200" i="13"/>
  <c r="P395" i="13"/>
  <c r="R401" i="13"/>
  <c r="G87" i="13"/>
  <c r="BW462" i="13"/>
  <c r="BQ341" i="13"/>
  <c r="BA359" i="13"/>
  <c r="AN327" i="13"/>
  <c r="P215" i="13"/>
  <c r="AA438" i="13"/>
  <c r="BP413" i="13"/>
  <c r="AN105" i="13"/>
  <c r="AC85" i="13"/>
  <c r="AD56" i="13"/>
  <c r="BC120" i="13"/>
  <c r="F274" i="13"/>
  <c r="BQ163" i="13"/>
  <c r="J70" i="13"/>
  <c r="Z267" i="13"/>
  <c r="BN226" i="13"/>
  <c r="O478" i="13"/>
  <c r="BT462" i="13"/>
  <c r="AN197" i="13"/>
  <c r="AN205" i="13"/>
  <c r="BA350" i="13"/>
  <c r="AR209" i="13"/>
  <c r="B480" i="13"/>
  <c r="N181" i="13"/>
  <c r="G204" i="13"/>
  <c r="AA202" i="13"/>
  <c r="BN274" i="13"/>
  <c r="P308" i="13"/>
  <c r="X478" i="13"/>
  <c r="BJ448" i="13"/>
  <c r="Y459" i="13"/>
  <c r="AM91" i="13"/>
  <c r="BJ112" i="13"/>
  <c r="P393" i="13"/>
  <c r="D121" i="13"/>
  <c r="BF415" i="13"/>
  <c r="AD120" i="13"/>
  <c r="B500" i="13"/>
  <c r="Q469" i="13"/>
  <c r="U415" i="13"/>
  <c r="BJ91" i="13"/>
  <c r="AA226" i="13"/>
  <c r="T469" i="13"/>
  <c r="AP241" i="13"/>
  <c r="M472" i="13"/>
  <c r="X317" i="13"/>
  <c r="F287" i="13"/>
  <c r="BF242" i="13"/>
  <c r="AX127" i="13"/>
  <c r="AJ387" i="13"/>
  <c r="AH192" i="13"/>
  <c r="BM250" i="13"/>
  <c r="AA356" i="13"/>
  <c r="P487" i="13"/>
  <c r="AO446" i="13"/>
  <c r="AX474" i="13"/>
  <c r="BG268" i="13"/>
  <c r="BF6" i="13"/>
  <c r="AZ10" i="13"/>
  <c r="O32" i="13"/>
  <c r="AT368" i="13"/>
  <c r="BS182" i="13"/>
  <c r="BL496" i="13"/>
  <c r="M143" i="13"/>
  <c r="A407" i="13"/>
  <c r="AW311" i="13"/>
  <c r="AE262" i="13"/>
  <c r="BL488" i="13"/>
  <c r="AR469" i="13"/>
  <c r="AX187" i="13"/>
  <c r="AV337" i="13"/>
  <c r="BD111" i="13"/>
  <c r="BO128" i="13"/>
  <c r="AA434" i="13"/>
  <c r="BV43" i="13"/>
  <c r="F360" i="13"/>
  <c r="V99" i="13"/>
  <c r="BI98" i="13"/>
  <c r="BN325" i="13"/>
  <c r="T362" i="13"/>
  <c r="AL408" i="13"/>
  <c r="BU228" i="13"/>
  <c r="AG118" i="13"/>
  <c r="M372" i="13"/>
  <c r="H339" i="13"/>
  <c r="H43" i="13"/>
  <c r="T125" i="13"/>
  <c r="AW348" i="13"/>
  <c r="AU498" i="13"/>
  <c r="AR385" i="13"/>
  <c r="BP104" i="13"/>
  <c r="D190" i="13"/>
  <c r="BL418" i="13"/>
  <c r="BE421" i="13"/>
  <c r="BB98" i="13"/>
  <c r="BE401" i="13"/>
  <c r="AP332" i="13"/>
  <c r="P385" i="13"/>
  <c r="C337" i="13"/>
  <c r="B207" i="13"/>
  <c r="AV434" i="13"/>
  <c r="BJ468" i="13"/>
  <c r="BS186" i="13"/>
  <c r="AO496" i="13"/>
  <c r="AJ415" i="13"/>
  <c r="AO299" i="13"/>
  <c r="T194" i="13"/>
  <c r="BF306" i="13"/>
  <c r="Q294" i="13"/>
  <c r="J262" i="13"/>
  <c r="AP178" i="13"/>
  <c r="I2" i="13"/>
  <c r="L214" i="13"/>
  <c r="V354" i="13"/>
  <c r="AV470" i="13"/>
  <c r="D472" i="13"/>
  <c r="AA183" i="13"/>
  <c r="BI318" i="13"/>
  <c r="X489" i="13"/>
  <c r="T425" i="13"/>
  <c r="BK277" i="13"/>
  <c r="AQ232" i="13"/>
  <c r="W381" i="13"/>
  <c r="BB5" i="13"/>
  <c r="D362" i="13"/>
  <c r="AQ19" i="13"/>
  <c r="BK157" i="13"/>
  <c r="AH198" i="13"/>
  <c r="AF161" i="13"/>
  <c r="BC167" i="13"/>
  <c r="AO77" i="13"/>
  <c r="M393" i="13"/>
  <c r="Y219" i="13"/>
  <c r="AP353" i="13"/>
  <c r="BO474" i="13"/>
  <c r="A420" i="13"/>
  <c r="F184" i="13"/>
  <c r="AC365" i="13"/>
  <c r="BN478" i="13"/>
  <c r="BI119" i="13"/>
  <c r="B46" i="13"/>
  <c r="K287" i="13"/>
  <c r="AD31" i="13"/>
  <c r="U233" i="13"/>
  <c r="BJ396" i="13"/>
  <c r="BU428" i="13"/>
  <c r="BN286" i="13"/>
  <c r="AU105" i="13"/>
  <c r="AL253" i="13"/>
  <c r="T46" i="13"/>
  <c r="BN351" i="13"/>
  <c r="BO420" i="13"/>
  <c r="AK51" i="13"/>
  <c r="H400" i="13"/>
  <c r="AH296" i="13"/>
  <c r="BB416" i="13"/>
  <c r="BM304" i="13"/>
  <c r="Q36" i="13"/>
  <c r="R251" i="13"/>
  <c r="AU11" i="13"/>
  <c r="K263" i="13"/>
  <c r="W485" i="13"/>
  <c r="AU305" i="13"/>
  <c r="V260" i="13"/>
  <c r="AJ476" i="13"/>
  <c r="E277" i="13"/>
  <c r="I414" i="13"/>
  <c r="Z288" i="13"/>
  <c r="F484" i="13"/>
  <c r="BT444" i="13"/>
  <c r="BR411" i="13"/>
  <c r="AG437" i="13"/>
  <c r="F130" i="13"/>
  <c r="AG194" i="13"/>
  <c r="BC39" i="13"/>
  <c r="AV372" i="13"/>
  <c r="AP404" i="13"/>
  <c r="B346" i="13"/>
  <c r="AY501" i="13"/>
  <c r="Q269" i="13"/>
  <c r="BT27" i="13"/>
  <c r="Q248" i="13"/>
  <c r="BR307" i="13"/>
  <c r="BJ273" i="13"/>
  <c r="AE321" i="13"/>
  <c r="BE7" i="13"/>
  <c r="W50" i="13"/>
  <c r="AG264" i="13"/>
  <c r="AS369" i="13"/>
  <c r="BU444" i="13"/>
  <c r="P421" i="13"/>
  <c r="M328" i="13"/>
  <c r="AB296" i="13"/>
  <c r="BP336" i="13"/>
  <c r="D496" i="13"/>
  <c r="L238" i="13"/>
  <c r="BD102" i="13"/>
  <c r="AY219" i="13"/>
  <c r="AK149" i="13"/>
  <c r="AN411" i="13"/>
  <c r="AU162" i="13"/>
  <c r="BE381" i="13"/>
  <c r="X188" i="13"/>
  <c r="BD105" i="13"/>
  <c r="BK431" i="13"/>
  <c r="AT381" i="13"/>
  <c r="N400" i="13"/>
  <c r="AI393" i="13"/>
  <c r="AR169" i="13"/>
  <c r="AM424" i="13"/>
  <c r="BW255" i="13"/>
  <c r="G2" i="13"/>
  <c r="W297" i="13"/>
  <c r="A186" i="13"/>
  <c r="BS444" i="13"/>
  <c r="C339" i="13"/>
  <c r="AH278" i="13"/>
  <c r="BC238" i="13"/>
  <c r="D175" i="13"/>
  <c r="BC16" i="13"/>
  <c r="X280" i="13"/>
  <c r="E280" i="13"/>
  <c r="Y432" i="13"/>
  <c r="BB439" i="13"/>
  <c r="A160" i="13"/>
  <c r="AK447" i="13"/>
  <c r="BN122" i="13"/>
  <c r="AP263" i="13"/>
  <c r="AU342" i="13"/>
  <c r="AG173" i="13"/>
  <c r="BP370" i="13"/>
  <c r="W357" i="13"/>
  <c r="AX495" i="13"/>
  <c r="AF286" i="13"/>
  <c r="F349" i="13"/>
  <c r="AJ235" i="13"/>
  <c r="Y483" i="13"/>
  <c r="BL317" i="13"/>
  <c r="AE370" i="13"/>
  <c r="B233" i="13"/>
  <c r="AO90" i="13"/>
  <c r="AK220" i="13"/>
  <c r="X160" i="13"/>
  <c r="AQ227" i="13"/>
  <c r="BH185" i="13"/>
  <c r="AX224" i="13"/>
  <c r="AH403" i="13"/>
  <c r="BI321" i="13"/>
  <c r="P436" i="13"/>
  <c r="W460" i="13"/>
  <c r="G392" i="13"/>
  <c r="BT329" i="13"/>
  <c r="AJ193" i="13"/>
  <c r="E291" i="13"/>
  <c r="C463" i="13"/>
  <c r="AC233" i="13"/>
  <c r="BP385" i="13"/>
  <c r="P234" i="13"/>
  <c r="R271" i="13"/>
  <c r="I360" i="13"/>
  <c r="BQ449" i="13"/>
  <c r="H150" i="13"/>
  <c r="Z49" i="13"/>
  <c r="D333" i="13"/>
  <c r="BD359" i="13"/>
  <c r="BE299" i="13"/>
  <c r="C4" i="13"/>
  <c r="G75" i="13"/>
  <c r="AG256" i="13"/>
  <c r="AU253" i="13"/>
  <c r="V13" i="13"/>
  <c r="BW487" i="13"/>
  <c r="Q158" i="13"/>
  <c r="Q471" i="13"/>
  <c r="R136" i="13"/>
  <c r="C483" i="13"/>
  <c r="BG2" i="13"/>
  <c r="AX426" i="13"/>
  <c r="AP318" i="13"/>
  <c r="BV182" i="13"/>
  <c r="B418" i="13"/>
  <c r="F159" i="13"/>
  <c r="AA296" i="13"/>
  <c r="Y336" i="13"/>
  <c r="BN361" i="13"/>
  <c r="AT479" i="13"/>
  <c r="U192" i="13"/>
  <c r="BV18" i="13"/>
  <c r="AS501" i="13"/>
  <c r="D437" i="13"/>
  <c r="BR350" i="13"/>
  <c r="O233" i="13"/>
  <c r="AE500" i="13"/>
  <c r="BO161" i="13"/>
  <c r="M91" i="13"/>
  <c r="AD395" i="13"/>
  <c r="BD245" i="13"/>
  <c r="AO456" i="13"/>
  <c r="AL245" i="13"/>
  <c r="BN165" i="13"/>
  <c r="E340" i="13"/>
  <c r="BA95" i="13"/>
  <c r="AF397" i="13"/>
  <c r="U374" i="13"/>
  <c r="J437" i="13"/>
  <c r="C317" i="13"/>
  <c r="M373" i="13"/>
  <c r="Q323" i="13"/>
  <c r="BO500" i="13"/>
  <c r="AG412" i="13"/>
  <c r="AW434" i="13"/>
  <c r="BQ243" i="13"/>
  <c r="U376" i="13"/>
  <c r="Y429" i="13"/>
  <c r="AV422" i="13"/>
  <c r="BD280" i="13"/>
  <c r="BM449" i="13"/>
  <c r="AA246" i="13"/>
  <c r="D271" i="13"/>
  <c r="L497" i="13"/>
  <c r="AM319" i="13"/>
  <c r="BA88" i="13"/>
  <c r="S125" i="13"/>
  <c r="O89" i="13"/>
  <c r="BJ245" i="13"/>
  <c r="BH400" i="13"/>
  <c r="BB375" i="13"/>
  <c r="I273" i="13"/>
  <c r="BC256" i="13"/>
  <c r="AU164" i="13"/>
  <c r="N109" i="13"/>
  <c r="AI70" i="13"/>
  <c r="BO170" i="13"/>
  <c r="AX15" i="13"/>
  <c r="BV143" i="13"/>
  <c r="AD297" i="13"/>
  <c r="BV289" i="13"/>
  <c r="W486" i="13"/>
  <c r="AK116" i="13"/>
  <c r="T454" i="13"/>
  <c r="BA347" i="13"/>
  <c r="G367" i="13"/>
  <c r="BH398" i="13"/>
  <c r="D236" i="13"/>
  <c r="BN452" i="13"/>
  <c r="I416" i="13"/>
  <c r="AR312" i="13"/>
  <c r="BD137" i="13"/>
  <c r="K190" i="13"/>
  <c r="G330" i="13"/>
  <c r="AG129" i="13"/>
  <c r="N438" i="13"/>
  <c r="AT156" i="13"/>
  <c r="Y372" i="13"/>
  <c r="AB236" i="13"/>
  <c r="C274" i="13"/>
  <c r="AY173" i="13"/>
  <c r="AZ343" i="13"/>
  <c r="BD183" i="13"/>
  <c r="O232" i="13"/>
  <c r="V263" i="13"/>
  <c r="X314" i="13"/>
  <c r="BE296" i="13"/>
  <c r="BI192" i="13"/>
  <c r="BB112" i="13"/>
  <c r="AC429" i="13"/>
  <c r="AO103" i="13"/>
  <c r="Q449" i="13"/>
  <c r="U12" i="13"/>
  <c r="AX437" i="13"/>
  <c r="AJ313" i="13"/>
  <c r="BA24" i="13"/>
  <c r="P144" i="13"/>
  <c r="A316" i="13"/>
  <c r="AT472" i="13"/>
  <c r="AX168" i="13"/>
  <c r="W412" i="13"/>
  <c r="H319" i="13"/>
  <c r="BH379" i="13"/>
  <c r="AW178" i="13"/>
  <c r="AC21" i="13"/>
  <c r="AR322" i="13"/>
  <c r="BJ477" i="13"/>
  <c r="K492" i="13"/>
  <c r="AY312" i="13"/>
  <c r="AO122" i="13"/>
  <c r="T470" i="13"/>
  <c r="AW436" i="13"/>
  <c r="AL47" i="13"/>
  <c r="T361" i="13"/>
  <c r="AL434" i="13"/>
  <c r="AU179" i="13"/>
  <c r="AY296" i="13"/>
  <c r="BA249" i="13"/>
  <c r="BV230" i="13"/>
  <c r="BK473" i="13"/>
  <c r="BS432" i="13"/>
  <c r="AW4" i="13"/>
  <c r="AZ412" i="13"/>
  <c r="BL180" i="13"/>
  <c r="AH387" i="13"/>
  <c r="AS24" i="13"/>
  <c r="BS299" i="13"/>
  <c r="BU326" i="13"/>
  <c r="BV423" i="13"/>
  <c r="T381" i="13"/>
  <c r="T218" i="13"/>
  <c r="BH440" i="13"/>
  <c r="AN62" i="13"/>
  <c r="AO477" i="13"/>
  <c r="W467" i="13"/>
  <c r="V276" i="13"/>
  <c r="BM266" i="13"/>
  <c r="AC195" i="13"/>
  <c r="AF189" i="13"/>
  <c r="G3" i="13"/>
  <c r="BP3" i="13"/>
  <c r="G449" i="13"/>
  <c r="AB379" i="13"/>
  <c r="AB350" i="13"/>
  <c r="AX262" i="13"/>
  <c r="BB392" i="13"/>
  <c r="AP174" i="13"/>
  <c r="Y367" i="13"/>
  <c r="BU224" i="13"/>
  <c r="BS24" i="13"/>
  <c r="B499" i="13"/>
  <c r="BV466" i="13"/>
  <c r="F376" i="13"/>
  <c r="BE257" i="13"/>
  <c r="AP386" i="13"/>
  <c r="AE121" i="13"/>
  <c r="M486" i="13"/>
  <c r="AR347" i="13"/>
  <c r="BU35" i="13"/>
  <c r="AN218" i="13"/>
  <c r="AH376" i="13"/>
  <c r="Q348" i="13"/>
  <c r="BB311" i="13"/>
  <c r="AV127" i="13"/>
  <c r="BS292" i="13"/>
  <c r="A351" i="13"/>
  <c r="AZ201" i="13"/>
  <c r="AB132" i="13"/>
  <c r="N301" i="13"/>
  <c r="AZ356" i="13"/>
  <c r="Z263" i="13"/>
  <c r="AP323" i="13"/>
  <c r="BF243" i="13"/>
  <c r="BE449" i="13"/>
  <c r="AK355" i="13"/>
  <c r="AD160" i="13"/>
  <c r="AJ486" i="13"/>
  <c r="K310" i="13"/>
  <c r="AC179" i="13"/>
  <c r="Q433" i="13"/>
  <c r="D105" i="13"/>
  <c r="BA7" i="13"/>
  <c r="BS384" i="13"/>
  <c r="J392" i="13"/>
  <c r="D329" i="13"/>
  <c r="I144" i="13"/>
  <c r="O23" i="13"/>
  <c r="E51" i="13"/>
  <c r="AF6" i="13"/>
  <c r="BO326" i="13"/>
  <c r="AI331" i="13"/>
  <c r="D150" i="13"/>
  <c r="AJ2" i="13"/>
  <c r="AH339" i="13"/>
  <c r="BD372" i="13"/>
  <c r="S250" i="13"/>
  <c r="BK92" i="13"/>
  <c r="AI216" i="13"/>
  <c r="BR407" i="13"/>
  <c r="AM366" i="13"/>
  <c r="AG16" i="13"/>
  <c r="C357" i="13"/>
  <c r="AX41" i="13"/>
  <c r="AM283" i="13"/>
  <c r="M421" i="13"/>
  <c r="AM381" i="13"/>
  <c r="AZ160" i="13"/>
  <c r="J414" i="13"/>
  <c r="BP420" i="13"/>
  <c r="BH189" i="13"/>
  <c r="Y163" i="13"/>
  <c r="BB441" i="13"/>
  <c r="AF138" i="13"/>
  <c r="Y139" i="13"/>
  <c r="AA473" i="13"/>
  <c r="J249" i="13"/>
  <c r="BT188" i="13"/>
  <c r="AZ260" i="13"/>
  <c r="C344" i="13"/>
  <c r="BW483" i="13"/>
  <c r="AS233" i="13"/>
  <c r="BC445" i="13"/>
  <c r="AD23" i="13"/>
  <c r="BM247" i="13"/>
  <c r="K476" i="13"/>
  <c r="AO295" i="13"/>
  <c r="X359" i="13"/>
  <c r="BE61" i="13"/>
  <c r="R297" i="13"/>
  <c r="E444" i="13"/>
  <c r="AO269" i="13"/>
  <c r="AG376" i="13"/>
  <c r="P316" i="13"/>
  <c r="AK314" i="13"/>
  <c r="BH255" i="13"/>
  <c r="AL281" i="13"/>
  <c r="BS254" i="13"/>
  <c r="AR355" i="13"/>
  <c r="A339" i="13"/>
  <c r="P490" i="13"/>
  <c r="BW184" i="13"/>
  <c r="BF472" i="13"/>
  <c r="BF202" i="13"/>
  <c r="AQ494" i="13"/>
  <c r="AO473" i="13"/>
  <c r="AF316" i="13"/>
  <c r="BN411" i="13"/>
  <c r="AA234" i="13"/>
  <c r="BW247" i="13"/>
  <c r="BE99" i="13"/>
  <c r="AZ164" i="13"/>
  <c r="BH272" i="13"/>
  <c r="BF319" i="13"/>
  <c r="AZ378" i="13"/>
  <c r="BO213" i="13"/>
  <c r="AC418" i="13"/>
  <c r="AW328" i="13"/>
  <c r="AY295" i="13"/>
  <c r="BV459" i="13"/>
  <c r="BI300" i="13"/>
  <c r="F450" i="13"/>
  <c r="BU134" i="13"/>
  <c r="BA445" i="13"/>
  <c r="S328" i="13"/>
  <c r="L286" i="13"/>
  <c r="T348" i="13"/>
  <c r="BA422" i="13"/>
  <c r="BW367" i="13"/>
  <c r="BG230" i="13"/>
  <c r="AD193" i="13"/>
  <c r="AG266" i="13"/>
  <c r="Q399" i="13"/>
  <c r="AH312" i="13"/>
  <c r="BV427" i="13"/>
  <c r="BG313" i="13"/>
  <c r="Q89" i="13"/>
  <c r="AU235" i="13"/>
  <c r="AO95" i="13"/>
  <c r="AG389" i="13"/>
  <c r="V214" i="13"/>
  <c r="BJ227" i="13"/>
  <c r="AY482" i="13"/>
  <c r="N328" i="13"/>
  <c r="H349" i="13"/>
  <c r="BU39" i="13"/>
  <c r="AS390" i="13"/>
  <c r="AI189" i="13"/>
  <c r="M333" i="13"/>
  <c r="O437" i="13"/>
  <c r="B141" i="13"/>
  <c r="BF245" i="13"/>
  <c r="BB387" i="13"/>
  <c r="AJ148" i="13"/>
  <c r="A472" i="13"/>
  <c r="R490" i="13"/>
  <c r="J9" i="13"/>
  <c r="P265" i="13"/>
  <c r="BQ218" i="13"/>
  <c r="BN369" i="13"/>
  <c r="AE490" i="13"/>
  <c r="Z463" i="13"/>
  <c r="BH312" i="13"/>
  <c r="AL468" i="13"/>
  <c r="BS466" i="13"/>
  <c r="AD123" i="13"/>
  <c r="I491" i="13"/>
  <c r="A260" i="13"/>
  <c r="BF146" i="13"/>
  <c r="O304" i="13"/>
  <c r="BS176" i="13"/>
  <c r="V217" i="13"/>
  <c r="AL317" i="13"/>
  <c r="BA250" i="13"/>
  <c r="M87" i="13"/>
  <c r="BB405" i="13"/>
  <c r="AL252" i="13"/>
  <c r="AA364" i="13"/>
  <c r="X368" i="13"/>
  <c r="BN466" i="13"/>
  <c r="AT394" i="13"/>
  <c r="W215" i="13"/>
  <c r="BR124" i="13"/>
  <c r="BP166" i="13"/>
  <c r="AX374" i="13"/>
  <c r="BP446" i="13"/>
  <c r="R241" i="13"/>
  <c r="K383" i="13"/>
  <c r="BH316" i="13"/>
  <c r="R4" i="13"/>
  <c r="AS214" i="13"/>
  <c r="BO361" i="13"/>
  <c r="AT219" i="13"/>
  <c r="BR474" i="13"/>
  <c r="AO196" i="13"/>
  <c r="BT449" i="13"/>
  <c r="AV324" i="13"/>
  <c r="AA78" i="13"/>
  <c r="AT88" i="13"/>
  <c r="BB367" i="13"/>
  <c r="AF446" i="13"/>
  <c r="AL364" i="13"/>
  <c r="BH110" i="13"/>
  <c r="AH241" i="13"/>
  <c r="X481" i="13"/>
  <c r="X397" i="13"/>
  <c r="BH468" i="13"/>
  <c r="BB80" i="13"/>
  <c r="BO322" i="13"/>
  <c r="AT136" i="13"/>
  <c r="AF174" i="13"/>
  <c r="BI185" i="13"/>
  <c r="AI364" i="13"/>
  <c r="AY403" i="13"/>
  <c r="BH466" i="13"/>
  <c r="AG241" i="13"/>
  <c r="B10" i="13"/>
  <c r="BB252" i="13"/>
  <c r="BN15" i="13"/>
  <c r="AC479" i="13"/>
  <c r="AP361" i="13"/>
  <c r="Q441" i="13"/>
  <c r="O15" i="13"/>
  <c r="AK410" i="13"/>
  <c r="AG216" i="13"/>
  <c r="AA188" i="13"/>
  <c r="BR230" i="13"/>
  <c r="C471" i="13"/>
  <c r="AK39" i="13"/>
  <c r="BS381" i="13"/>
  <c r="BO446" i="13"/>
  <c r="AJ146" i="13"/>
  <c r="G477" i="13"/>
  <c r="AE374" i="13"/>
  <c r="AB336" i="13"/>
  <c r="A174" i="13"/>
  <c r="T52" i="13"/>
  <c r="AS469" i="13"/>
  <c r="AG499" i="13"/>
  <c r="S387" i="13"/>
  <c r="AQ329" i="13"/>
  <c r="BA292" i="13"/>
  <c r="N409" i="13"/>
  <c r="AX419" i="13"/>
  <c r="BS500" i="13"/>
  <c r="AS450" i="13"/>
  <c r="BT205" i="13"/>
  <c r="D246" i="13"/>
  <c r="AG448" i="13"/>
  <c r="BK315" i="13"/>
  <c r="B435" i="13"/>
  <c r="AJ195" i="13"/>
  <c r="F195" i="13"/>
  <c r="U224" i="13"/>
  <c r="BL236" i="13"/>
  <c r="AA306" i="13"/>
  <c r="U484" i="13"/>
  <c r="BO231" i="13"/>
  <c r="AU201" i="13"/>
  <c r="I261" i="13"/>
  <c r="AO264" i="13"/>
  <c r="AK426" i="13"/>
  <c r="AG409" i="13"/>
  <c r="BK415" i="13"/>
  <c r="BH31" i="13"/>
  <c r="V390" i="13"/>
  <c r="BV313" i="13"/>
  <c r="D407" i="13"/>
  <c r="V279" i="13"/>
  <c r="Z438" i="13"/>
  <c r="S295" i="13"/>
  <c r="X369" i="13"/>
  <c r="AU193" i="13"/>
  <c r="AQ209" i="13"/>
  <c r="BC36" i="13"/>
  <c r="AL195" i="13"/>
  <c r="BC379" i="13"/>
  <c r="A189" i="13"/>
  <c r="BQ401" i="13"/>
  <c r="W499" i="13"/>
  <c r="BL354" i="13"/>
  <c r="BD355" i="13"/>
  <c r="BG494" i="13"/>
  <c r="R257" i="13"/>
  <c r="BV440" i="13"/>
  <c r="U117" i="13"/>
  <c r="AC264" i="13"/>
  <c r="BQ442" i="13"/>
  <c r="BT455" i="13"/>
  <c r="BW465" i="13"/>
  <c r="S472" i="13"/>
  <c r="D135" i="13"/>
  <c r="BO394" i="13"/>
  <c r="A224" i="13"/>
  <c r="AK454" i="13"/>
  <c r="V437" i="13"/>
  <c r="AE199" i="13"/>
  <c r="BP325" i="13"/>
  <c r="BM201" i="13"/>
  <c r="T335" i="13"/>
  <c r="AQ271" i="13"/>
  <c r="BD335" i="13"/>
  <c r="A252" i="13"/>
  <c r="J210" i="13"/>
  <c r="BR473" i="13"/>
  <c r="R325" i="13"/>
  <c r="BN404" i="13"/>
  <c r="AA311" i="13"/>
  <c r="AN273" i="13"/>
  <c r="Y313" i="13"/>
  <c r="BB219" i="13"/>
  <c r="R479" i="13"/>
  <c r="O150" i="13"/>
  <c r="C199" i="13"/>
  <c r="BL257" i="13"/>
  <c r="BP77" i="13"/>
  <c r="AQ286" i="13"/>
  <c r="I312" i="13"/>
  <c r="BJ44" i="13"/>
  <c r="BG419" i="13"/>
  <c r="AT252" i="13"/>
  <c r="BS323" i="13"/>
  <c r="A358" i="13"/>
  <c r="BJ17" i="13"/>
  <c r="AF234" i="13"/>
  <c r="Q501" i="13"/>
  <c r="O470" i="13"/>
  <c r="BO195" i="13"/>
  <c r="AE179" i="13"/>
  <c r="AO332" i="13"/>
  <c r="BP116" i="13"/>
  <c r="AU218" i="13"/>
  <c r="AV222" i="13"/>
  <c r="AK234" i="13"/>
  <c r="AQ287" i="13"/>
  <c r="AH381" i="13"/>
  <c r="R404" i="13"/>
  <c r="X15" i="13"/>
  <c r="BS388" i="13"/>
  <c r="BL81" i="13"/>
  <c r="K235" i="13"/>
  <c r="BW134" i="13"/>
  <c r="V19" i="13"/>
  <c r="AC301" i="13"/>
  <c r="W303" i="13"/>
  <c r="AH22" i="13"/>
  <c r="BJ363" i="13"/>
  <c r="X197" i="13"/>
  <c r="BE404" i="13"/>
  <c r="N176" i="13"/>
  <c r="BH174" i="13"/>
  <c r="AP461" i="13"/>
  <c r="AD379" i="13"/>
  <c r="BK408" i="13"/>
  <c r="C402" i="13"/>
  <c r="BF324" i="13"/>
  <c r="AP397" i="13"/>
  <c r="AJ439" i="13"/>
  <c r="BD382" i="13"/>
  <c r="AT493" i="13"/>
  <c r="BK380" i="13"/>
  <c r="Z307" i="13"/>
  <c r="BT450" i="13"/>
  <c r="P109" i="13"/>
  <c r="F210" i="13"/>
  <c r="AY469" i="13"/>
  <c r="BG185" i="13"/>
  <c r="M204" i="13"/>
  <c r="AO437" i="13"/>
  <c r="AV7" i="13"/>
  <c r="BT106" i="13"/>
  <c r="E329" i="13"/>
  <c r="AV441" i="13"/>
  <c r="S363" i="13"/>
  <c r="BK346" i="13"/>
  <c r="AX271" i="13"/>
  <c r="BS482" i="13"/>
  <c r="BP303" i="13"/>
  <c r="F272" i="13"/>
  <c r="G150" i="13"/>
  <c r="AB190" i="13"/>
  <c r="BM143" i="13"/>
  <c r="Y190" i="13"/>
  <c r="AN455" i="13"/>
  <c r="L383" i="13"/>
  <c r="BB359" i="13"/>
  <c r="L335" i="13"/>
  <c r="G436" i="13"/>
  <c r="AN413" i="13"/>
  <c r="K121" i="13"/>
  <c r="AH377" i="13"/>
  <c r="X8" i="13"/>
  <c r="N470" i="13"/>
  <c r="AH132" i="13"/>
  <c r="E271" i="13"/>
  <c r="AX217" i="13"/>
  <c r="Y212" i="13"/>
  <c r="S297" i="13"/>
  <c r="L261" i="13"/>
  <c r="AU385" i="13"/>
  <c r="AS427" i="13"/>
  <c r="H289" i="13"/>
  <c r="AB324" i="13"/>
  <c r="AV244" i="13"/>
  <c r="AJ470" i="13"/>
  <c r="AK372" i="13"/>
  <c r="J107" i="13"/>
  <c r="BQ245" i="13"/>
  <c r="AM203" i="13"/>
  <c r="M483" i="13"/>
  <c r="G479" i="13"/>
  <c r="BA277" i="13"/>
  <c r="BJ383" i="13"/>
  <c r="AH85" i="13"/>
  <c r="F72" i="13"/>
  <c r="AC3" i="13"/>
  <c r="F12" i="13"/>
  <c r="BD179" i="13"/>
  <c r="BJ95" i="13"/>
  <c r="AF239" i="13"/>
  <c r="D18" i="13"/>
  <c r="D51" i="13"/>
  <c r="BF364" i="13"/>
  <c r="AJ249" i="13"/>
  <c r="BG202" i="13"/>
  <c r="AV282" i="13"/>
  <c r="AT361" i="13"/>
  <c r="BW333" i="13"/>
  <c r="AC350" i="13"/>
  <c r="P501" i="13"/>
  <c r="N225" i="13"/>
  <c r="AF355" i="13"/>
  <c r="J20" i="13"/>
  <c r="AP186" i="13"/>
  <c r="U283" i="13"/>
  <c r="O183" i="13"/>
  <c r="U385" i="13"/>
  <c r="AU302" i="13"/>
  <c r="AH163" i="13"/>
  <c r="AV402" i="13"/>
  <c r="BJ328" i="13"/>
  <c r="AP13" i="13"/>
  <c r="AB480" i="13"/>
  <c r="AY262" i="13"/>
  <c r="BP328" i="13"/>
  <c r="AG140" i="13"/>
  <c r="AN12" i="13"/>
  <c r="BP228" i="13"/>
  <c r="BQ322" i="13"/>
  <c r="BV263" i="13"/>
  <c r="B372" i="13"/>
  <c r="BS485" i="13"/>
  <c r="AL399" i="13"/>
  <c r="AN227" i="13"/>
  <c r="BF277" i="13"/>
  <c r="U25" i="13"/>
  <c r="BB288" i="13"/>
  <c r="BM225" i="13"/>
  <c r="N384" i="13"/>
  <c r="AX95" i="13"/>
  <c r="BJ174" i="13"/>
  <c r="Q362" i="13"/>
  <c r="AB431" i="13"/>
  <c r="R499" i="13"/>
  <c r="BR224" i="13"/>
  <c r="AR233" i="13"/>
  <c r="BH246" i="13"/>
  <c r="M420" i="13"/>
  <c r="AC127" i="13"/>
  <c r="BT196" i="13"/>
  <c r="BN405" i="13"/>
  <c r="BH347" i="13"/>
  <c r="AK210" i="13"/>
  <c r="AP204" i="13"/>
  <c r="BK344" i="13"/>
  <c r="AZ289" i="13"/>
  <c r="BU399" i="13"/>
  <c r="U248" i="13"/>
  <c r="BA229" i="13"/>
  <c r="M398" i="13"/>
  <c r="J22" i="13"/>
  <c r="AV104" i="13"/>
  <c r="AP479" i="13"/>
  <c r="BM419" i="13"/>
  <c r="AX201" i="13"/>
  <c r="BK35" i="13"/>
  <c r="BB304" i="13"/>
  <c r="F165" i="13"/>
  <c r="BR170" i="13"/>
  <c r="BL183" i="13"/>
  <c r="H263" i="13"/>
  <c r="AJ394" i="13"/>
  <c r="AB287" i="13"/>
  <c r="J390" i="13"/>
  <c r="BS439" i="13"/>
  <c r="Q24" i="13"/>
  <c r="AY277" i="13"/>
  <c r="A282" i="13"/>
  <c r="AL282" i="13"/>
  <c r="AT326" i="13"/>
  <c r="AR237" i="13"/>
  <c r="AP317" i="13"/>
  <c r="U271" i="13"/>
  <c r="M396" i="13"/>
  <c r="C380" i="13"/>
  <c r="W1" i="13"/>
  <c r="BL445" i="13"/>
  <c r="S357" i="13"/>
  <c r="N372" i="13"/>
  <c r="O91" i="13"/>
  <c r="AK481" i="13"/>
  <c r="BC245" i="13"/>
  <c r="T467" i="13"/>
  <c r="N90" i="13"/>
  <c r="AB497" i="13"/>
  <c r="AI445" i="13"/>
  <c r="BC279" i="13"/>
  <c r="BC251" i="13"/>
  <c r="AZ221" i="13"/>
  <c r="BJ367" i="13"/>
  <c r="AQ272" i="13"/>
  <c r="B400" i="13"/>
  <c r="BF9" i="13"/>
  <c r="AI421" i="13"/>
  <c r="BJ258" i="13"/>
  <c r="BO383" i="13"/>
  <c r="L240" i="13"/>
  <c r="AV209" i="13"/>
  <c r="AR119" i="13"/>
  <c r="V185" i="13"/>
  <c r="AF150" i="13"/>
  <c r="AY414" i="13"/>
  <c r="AH351" i="13"/>
  <c r="S311" i="13"/>
  <c r="AN468" i="13"/>
  <c r="BS486" i="13"/>
  <c r="B450" i="13"/>
  <c r="P291" i="13"/>
  <c r="BS287" i="13"/>
  <c r="G301" i="13"/>
  <c r="A410" i="13"/>
  <c r="B174" i="13"/>
  <c r="AZ329" i="13"/>
  <c r="BQ255" i="13"/>
  <c r="O454" i="13"/>
  <c r="BP494" i="13"/>
  <c r="BP215" i="13"/>
  <c r="AT480" i="13"/>
  <c r="L235" i="13"/>
  <c r="AS163" i="13"/>
  <c r="BJ79" i="13"/>
  <c r="AQ426" i="13"/>
  <c r="BL12" i="13"/>
  <c r="AW388" i="13"/>
  <c r="AM46" i="13"/>
  <c r="BA12" i="13"/>
  <c r="AN111" i="13"/>
  <c r="AU323" i="13"/>
  <c r="BP243" i="13"/>
  <c r="AG302" i="13"/>
  <c r="BK447" i="13"/>
  <c r="U145" i="13"/>
  <c r="S20" i="13"/>
  <c r="W24" i="13"/>
  <c r="AH341" i="13"/>
  <c r="AZ301" i="13"/>
  <c r="AI261" i="13"/>
  <c r="Y14" i="13"/>
  <c r="M215" i="13"/>
  <c r="D485" i="13"/>
  <c r="Q223" i="13"/>
  <c r="J406" i="13"/>
  <c r="E229" i="13"/>
  <c r="AR464" i="13"/>
  <c r="AA445" i="13"/>
  <c r="AC396" i="13"/>
  <c r="BU302" i="13"/>
  <c r="BF284" i="13"/>
  <c r="AY421" i="13"/>
  <c r="BQ6" i="13"/>
  <c r="BA458" i="13"/>
  <c r="BG246" i="13"/>
  <c r="L122" i="13"/>
  <c r="BI344" i="13"/>
  <c r="S172" i="13"/>
  <c r="R181" i="13"/>
  <c r="BC267" i="13"/>
  <c r="BA363" i="13"/>
  <c r="F271" i="13"/>
  <c r="AM169" i="13"/>
  <c r="AE142" i="13"/>
  <c r="BK376" i="13"/>
  <c r="U141" i="13"/>
  <c r="AV94" i="13"/>
  <c r="V64" i="13"/>
  <c r="BG358" i="13"/>
  <c r="L409" i="13"/>
  <c r="BT155" i="13"/>
  <c r="U256" i="13"/>
  <c r="AI254" i="13"/>
  <c r="BU193" i="13"/>
  <c r="BG501" i="13"/>
  <c r="BV454" i="13"/>
  <c r="BH342" i="13"/>
  <c r="AE237" i="13"/>
  <c r="AT157" i="13"/>
  <c r="AL288" i="13"/>
  <c r="G456" i="13"/>
  <c r="AD220" i="13"/>
  <c r="AJ388" i="13"/>
  <c r="AO418" i="13"/>
  <c r="AQ486" i="13"/>
  <c r="AV323" i="13"/>
  <c r="BC303" i="13"/>
  <c r="U188" i="13"/>
  <c r="AE466" i="13"/>
  <c r="G434" i="13"/>
  <c r="AC123" i="13"/>
  <c r="D403" i="13"/>
  <c r="AW44" i="13"/>
  <c r="AM180" i="13"/>
  <c r="AM187" i="13"/>
  <c r="G267" i="13"/>
  <c r="AD490" i="13"/>
  <c r="A337" i="13"/>
  <c r="M463" i="13"/>
  <c r="AS197" i="13"/>
  <c r="T485" i="13"/>
  <c r="F179" i="13"/>
  <c r="AA474" i="13"/>
  <c r="X165" i="13"/>
  <c r="J395" i="13"/>
  <c r="W481" i="13"/>
  <c r="AK219" i="13"/>
  <c r="AB428" i="13"/>
  <c r="I253" i="13"/>
  <c r="V361" i="13"/>
  <c r="BV373" i="13"/>
  <c r="X251" i="13"/>
  <c r="BV186" i="13"/>
  <c r="N363" i="13"/>
  <c r="J360" i="13"/>
  <c r="Z374" i="13"/>
  <c r="AF55" i="13"/>
  <c r="E482" i="13"/>
  <c r="AC262" i="13"/>
  <c r="AJ141" i="13"/>
  <c r="AV194" i="13"/>
  <c r="BF238" i="13"/>
  <c r="P497" i="13"/>
  <c r="AV315" i="13"/>
  <c r="AK250" i="13"/>
  <c r="AS25" i="13"/>
  <c r="R336" i="13"/>
  <c r="AE42" i="13"/>
  <c r="AQ145" i="13"/>
  <c r="AJ451" i="13"/>
  <c r="I419" i="13"/>
  <c r="U198" i="13"/>
  <c r="Z328" i="13"/>
  <c r="AQ166" i="13"/>
  <c r="H327" i="13"/>
  <c r="AE282" i="13"/>
  <c r="A149" i="13"/>
  <c r="C278" i="13"/>
  <c r="D310" i="13"/>
  <c r="M493" i="13"/>
  <c r="R314" i="13"/>
  <c r="AH173" i="13"/>
  <c r="BT178" i="13"/>
  <c r="AH388" i="13"/>
  <c r="D319" i="13"/>
  <c r="AP431" i="13"/>
  <c r="AH357" i="13"/>
  <c r="BC305" i="13"/>
  <c r="W399" i="13"/>
  <c r="BS212" i="13"/>
  <c r="AJ370" i="13"/>
  <c r="AJ463" i="13"/>
  <c r="AB13" i="13"/>
  <c r="BO226" i="13"/>
  <c r="BO120" i="13"/>
  <c r="Y355" i="13"/>
  <c r="Z287" i="13"/>
  <c r="H499" i="13"/>
  <c r="AZ253" i="13"/>
  <c r="BI132" i="13"/>
  <c r="I132" i="13"/>
  <c r="P453" i="13"/>
  <c r="L244" i="13"/>
  <c r="AR136" i="13"/>
  <c r="AK217" i="13"/>
  <c r="AV220" i="13"/>
  <c r="N40" i="13"/>
  <c r="H399" i="13"/>
  <c r="BA47" i="13"/>
  <c r="BN432" i="13"/>
  <c r="W415" i="13"/>
  <c r="AF40" i="13"/>
  <c r="D393" i="13"/>
  <c r="AX367" i="13"/>
  <c r="AE479" i="13"/>
  <c r="BH390" i="13"/>
  <c r="AO179" i="13"/>
  <c r="BR286" i="13"/>
  <c r="AI220" i="13"/>
  <c r="AX214" i="13"/>
  <c r="BL456" i="13"/>
  <c r="R367" i="13"/>
  <c r="AD183" i="13"/>
  <c r="BL448" i="13"/>
  <c r="AD488" i="13"/>
  <c r="AJ138" i="13"/>
  <c r="AS443" i="13"/>
  <c r="BW169" i="13"/>
  <c r="G159" i="13"/>
  <c r="BM272" i="13"/>
  <c r="T302" i="13"/>
  <c r="AW80" i="13"/>
  <c r="AT241" i="13"/>
  <c r="AZ187" i="13"/>
  <c r="AZ33" i="13"/>
  <c r="AH286" i="13"/>
  <c r="F110" i="13"/>
  <c r="AO15" i="13"/>
  <c r="AS249" i="13"/>
  <c r="V2" i="13"/>
  <c r="BH478" i="13"/>
  <c r="BO320" i="13"/>
  <c r="N356" i="13"/>
  <c r="AY288" i="13"/>
  <c r="AN424" i="13"/>
  <c r="C229" i="13"/>
  <c r="BH1" i="13"/>
  <c r="BQ105" i="13"/>
  <c r="BB171" i="13"/>
  <c r="BJ122" i="13"/>
  <c r="AK354" i="13"/>
  <c r="AR302" i="13"/>
  <c r="BM450" i="13"/>
  <c r="BM55" i="13"/>
  <c r="AE433" i="13"/>
  <c r="BV252" i="13"/>
  <c r="F212" i="13"/>
  <c r="G302" i="13"/>
  <c r="M136" i="13"/>
  <c r="A393" i="13"/>
  <c r="BI69" i="13"/>
  <c r="A229" i="13"/>
  <c r="AJ501" i="13"/>
  <c r="AV87" i="13"/>
  <c r="AQ178" i="13"/>
  <c r="AY86" i="13"/>
  <c r="AU376" i="13"/>
  <c r="BW243" i="13"/>
  <c r="F66" i="13"/>
  <c r="BP393" i="13"/>
  <c r="A217" i="13"/>
  <c r="BU106" i="13"/>
  <c r="BP317" i="13"/>
  <c r="BP195" i="13"/>
  <c r="P289" i="13"/>
  <c r="Y472" i="13"/>
  <c r="X440" i="13"/>
  <c r="BT291" i="13"/>
  <c r="BO108" i="13"/>
  <c r="H401" i="13"/>
  <c r="D15" i="13"/>
  <c r="BB8" i="13"/>
  <c r="AH216" i="13"/>
  <c r="A297" i="13"/>
  <c r="AT23" i="13"/>
  <c r="J496" i="13"/>
  <c r="BS447" i="13"/>
  <c r="BT482" i="13"/>
  <c r="P29" i="13"/>
  <c r="BS487" i="13"/>
  <c r="R216" i="13"/>
  <c r="W364" i="13"/>
  <c r="AG459" i="13"/>
  <c r="AB221" i="13"/>
  <c r="C455" i="13"/>
  <c r="U240" i="13"/>
  <c r="BF476" i="13"/>
  <c r="AZ210" i="13"/>
  <c r="BK27" i="13"/>
  <c r="F464" i="13"/>
  <c r="BF265" i="13"/>
  <c r="AX23" i="13"/>
  <c r="E313" i="13"/>
  <c r="BQ274" i="13"/>
  <c r="AJ40" i="13"/>
  <c r="BO479" i="13"/>
  <c r="H495" i="13"/>
  <c r="X3" i="13"/>
  <c r="BI282" i="13"/>
  <c r="AB165" i="13"/>
  <c r="AS275" i="13"/>
  <c r="Q410" i="13"/>
  <c r="S383" i="13"/>
  <c r="BI258" i="13"/>
  <c r="BJ222" i="13"/>
  <c r="R278" i="13"/>
  <c r="H285" i="13"/>
  <c r="X377" i="13"/>
  <c r="BP360" i="13"/>
  <c r="BR465" i="13"/>
  <c r="AK359" i="13"/>
  <c r="AZ430" i="13"/>
  <c r="AQ405" i="13"/>
  <c r="J368" i="13"/>
  <c r="Z185" i="13"/>
  <c r="R344" i="13"/>
  <c r="O165" i="13"/>
  <c r="BE166" i="13"/>
  <c r="BK454" i="13"/>
  <c r="Q422" i="13"/>
  <c r="AG148" i="13"/>
  <c r="BM288" i="13"/>
  <c r="A288" i="13"/>
  <c r="AV497" i="13"/>
  <c r="AN203" i="13"/>
  <c r="N130" i="13"/>
  <c r="BI252" i="13"/>
  <c r="AK459" i="13"/>
  <c r="AD251" i="13"/>
  <c r="A1" i="13"/>
  <c r="D443" i="13"/>
  <c r="T358" i="13"/>
  <c r="U187" i="13"/>
  <c r="X226" i="13"/>
  <c r="BM440" i="13"/>
  <c r="AI199" i="13"/>
  <c r="AC284" i="13"/>
  <c r="AG271" i="13"/>
  <c r="AS472" i="13"/>
  <c r="BK430" i="13"/>
  <c r="X264" i="13"/>
  <c r="AE316" i="13"/>
  <c r="H103" i="13"/>
  <c r="AP341" i="13"/>
  <c r="BE181" i="13"/>
  <c r="M403" i="13"/>
  <c r="BN384" i="13"/>
  <c r="BU420" i="13"/>
  <c r="N219" i="13"/>
  <c r="BW289" i="13"/>
  <c r="AP452" i="13"/>
  <c r="D417" i="13"/>
  <c r="F385" i="13"/>
  <c r="BH68" i="13"/>
  <c r="Z494" i="13"/>
  <c r="AC489" i="13"/>
  <c r="BW200" i="13"/>
  <c r="BH258" i="13"/>
  <c r="AP434" i="13"/>
  <c r="M331" i="13"/>
  <c r="T231" i="13"/>
  <c r="AH419" i="13"/>
  <c r="AN393" i="13"/>
  <c r="AE178" i="13"/>
  <c r="AD282" i="13"/>
  <c r="C451" i="13"/>
  <c r="BV288" i="13"/>
  <c r="N325" i="13"/>
  <c r="AI405" i="13"/>
  <c r="AU383" i="13"/>
  <c r="BS77" i="13"/>
  <c r="L364" i="13"/>
  <c r="BC486" i="13"/>
  <c r="AV157" i="13"/>
  <c r="AK387" i="13"/>
  <c r="BG195" i="13"/>
  <c r="S470" i="13"/>
  <c r="AC305" i="13"/>
  <c r="AC337" i="13"/>
  <c r="BO200" i="13"/>
  <c r="F465" i="13"/>
  <c r="BU113" i="13"/>
  <c r="F67" i="13"/>
  <c r="AB168" i="13"/>
  <c r="BE414" i="13"/>
  <c r="AI373" i="13"/>
  <c r="BM295" i="13"/>
  <c r="BP260" i="13"/>
  <c r="AO322" i="13"/>
  <c r="X306" i="13"/>
  <c r="BQ400" i="13"/>
  <c r="AD95" i="13"/>
  <c r="BF88" i="13"/>
  <c r="BQ284" i="13"/>
  <c r="BS325" i="13"/>
  <c r="C240" i="13"/>
  <c r="Y173" i="13"/>
  <c r="BO134" i="13"/>
  <c r="H246" i="13"/>
  <c r="B286" i="13"/>
  <c r="X235" i="13"/>
  <c r="V115" i="13"/>
  <c r="BP198" i="13"/>
  <c r="AX125" i="13"/>
  <c r="AA436" i="13"/>
  <c r="AU425" i="13"/>
  <c r="BG258" i="13"/>
  <c r="BA223" i="13"/>
  <c r="BU2" i="13"/>
  <c r="B196" i="13"/>
  <c r="AW141" i="13"/>
  <c r="AA146" i="13"/>
  <c r="O36" i="13"/>
  <c r="A412" i="13"/>
  <c r="AX368" i="13"/>
  <c r="N412" i="13"/>
  <c r="U202" i="13"/>
  <c r="BO250" i="13"/>
  <c r="J483" i="13"/>
  <c r="BL248" i="13"/>
  <c r="AU481" i="13"/>
  <c r="AX172" i="13"/>
  <c r="K156" i="13"/>
  <c r="Q204" i="13"/>
  <c r="G310" i="13"/>
  <c r="N7" i="13"/>
  <c r="C69" i="13"/>
  <c r="T139" i="13"/>
  <c r="P341" i="13"/>
  <c r="BD281" i="13"/>
  <c r="BP66" i="13"/>
  <c r="Y321" i="13"/>
  <c r="AP396" i="13"/>
  <c r="BC326" i="13"/>
  <c r="D140" i="13"/>
  <c r="BR283" i="13"/>
  <c r="AL369" i="13"/>
  <c r="Y196" i="13"/>
  <c r="AM379" i="13"/>
  <c r="BM441" i="13"/>
  <c r="M340" i="13"/>
  <c r="K48" i="13"/>
  <c r="BW401" i="13"/>
  <c r="AP302" i="13"/>
  <c r="Y356" i="13"/>
  <c r="BI467" i="13"/>
  <c r="X25" i="13"/>
  <c r="BA463" i="13"/>
  <c r="K31" i="13"/>
  <c r="X148" i="13"/>
  <c r="H266" i="13"/>
  <c r="J441" i="13"/>
  <c r="E22" i="13"/>
  <c r="P294" i="13"/>
  <c r="BR98" i="13"/>
  <c r="AG7" i="13"/>
  <c r="AS13" i="13"/>
  <c r="E148" i="13"/>
  <c r="B337" i="13"/>
  <c r="V305" i="13"/>
  <c r="BO1" i="13"/>
  <c r="BM176" i="13"/>
  <c r="BE361" i="13"/>
  <c r="BU20" i="13"/>
  <c r="C485" i="13"/>
  <c r="BF496" i="13"/>
  <c r="AY101" i="13"/>
  <c r="BP249" i="13"/>
  <c r="I190" i="13"/>
  <c r="H179" i="13"/>
  <c r="P53" i="13"/>
  <c r="BD272" i="13"/>
  <c r="Y486" i="13"/>
  <c r="AC440" i="13"/>
  <c r="BB297" i="13"/>
  <c r="AM437" i="13"/>
  <c r="N238" i="13"/>
  <c r="BU242" i="13"/>
  <c r="H496" i="13"/>
  <c r="W331" i="13"/>
  <c r="AL298" i="13"/>
  <c r="X324" i="13"/>
  <c r="BJ351" i="13"/>
  <c r="Q276" i="13"/>
  <c r="L192" i="13"/>
  <c r="BM197" i="13"/>
  <c r="AQ400" i="13"/>
  <c r="AG200" i="13"/>
  <c r="BV339" i="13"/>
  <c r="BH98" i="13"/>
  <c r="BN487" i="13"/>
  <c r="AX129" i="13"/>
  <c r="X2" i="13"/>
  <c r="BL150" i="13"/>
  <c r="AI153" i="13"/>
  <c r="BJ471" i="13"/>
  <c r="AQ196" i="13"/>
  <c r="BT248" i="13"/>
  <c r="AD429" i="13"/>
  <c r="BR360" i="13"/>
  <c r="AG496" i="13"/>
  <c r="T421" i="13"/>
  <c r="AP372" i="13"/>
  <c r="R444" i="13"/>
  <c r="AP6" i="13"/>
  <c r="E26" i="13"/>
  <c r="AF361" i="13"/>
  <c r="Y487" i="13"/>
  <c r="H192" i="13"/>
  <c r="F382" i="13"/>
  <c r="W17" i="13"/>
  <c r="J156" i="13"/>
  <c r="AO242" i="13"/>
  <c r="F227" i="13"/>
  <c r="BU260" i="13"/>
  <c r="AE270" i="13"/>
  <c r="S137" i="13"/>
  <c r="AP408" i="13"/>
  <c r="K449" i="13"/>
  <c r="BG329" i="13"/>
  <c r="V187" i="13"/>
  <c r="AD145" i="13"/>
  <c r="AY130" i="13"/>
  <c r="Z401" i="13"/>
  <c r="BO206" i="13"/>
  <c r="I293" i="13"/>
  <c r="AE109" i="13"/>
  <c r="G172" i="13"/>
  <c r="BW170" i="13"/>
  <c r="Y352" i="13"/>
  <c r="Q193" i="13"/>
  <c r="BF203" i="13"/>
  <c r="AZ273" i="13"/>
  <c r="AI498" i="13"/>
  <c r="E327" i="13"/>
  <c r="BU114" i="13"/>
  <c r="Z96" i="13"/>
  <c r="AC317" i="13"/>
  <c r="AK180" i="13"/>
  <c r="P335" i="13"/>
  <c r="AV55" i="13"/>
  <c r="AE77" i="13"/>
  <c r="BE123" i="13"/>
  <c r="AY137" i="13"/>
  <c r="BV273" i="13"/>
  <c r="BA261" i="13"/>
  <c r="AJ327" i="13"/>
  <c r="A463" i="13"/>
  <c r="V233" i="13"/>
  <c r="BL117" i="13"/>
  <c r="F336" i="13"/>
  <c r="AF221" i="13"/>
  <c r="AF180" i="13"/>
  <c r="AJ264" i="13"/>
  <c r="BU293" i="13"/>
  <c r="L302" i="13"/>
  <c r="AG387" i="13"/>
  <c r="AC163" i="13"/>
  <c r="AO471" i="13"/>
  <c r="AA222" i="13"/>
  <c r="AQ86" i="13"/>
  <c r="AM420" i="13"/>
  <c r="AQ46" i="13"/>
  <c r="AM42" i="13"/>
  <c r="T461" i="13"/>
  <c r="BT69" i="13"/>
  <c r="AJ406" i="13"/>
  <c r="R420" i="13"/>
  <c r="F57" i="13"/>
  <c r="AB375" i="13"/>
  <c r="U15" i="13"/>
  <c r="BC272" i="13"/>
  <c r="BR284" i="13"/>
  <c r="BI204" i="13"/>
  <c r="E116" i="13"/>
  <c r="X463" i="13"/>
  <c r="AY377" i="13"/>
  <c r="BR269" i="13"/>
  <c r="BC232" i="13"/>
  <c r="AC197" i="13"/>
  <c r="AI355" i="13"/>
  <c r="BV354" i="13"/>
  <c r="BP123" i="13"/>
  <c r="S375" i="13"/>
  <c r="BH449" i="13"/>
  <c r="BS445" i="13"/>
  <c r="AQ289" i="13"/>
  <c r="B227" i="13"/>
  <c r="AN454" i="13"/>
  <c r="BT37" i="13"/>
  <c r="AM361" i="13"/>
  <c r="BQ214" i="13"/>
  <c r="BB267" i="13"/>
  <c r="W290" i="13"/>
  <c r="BO475" i="13"/>
  <c r="C145" i="13"/>
  <c r="AY410" i="13"/>
  <c r="AZ104" i="13"/>
  <c r="C340" i="13"/>
  <c r="BM49" i="13"/>
  <c r="I241" i="13"/>
  <c r="BM307" i="13"/>
  <c r="H410" i="13"/>
  <c r="BJ496" i="13"/>
  <c r="BM471" i="13"/>
  <c r="AN67" i="13"/>
  <c r="BD289" i="13"/>
  <c r="BD427" i="13"/>
  <c r="BT442" i="13"/>
  <c r="BB265" i="13"/>
  <c r="AB128" i="13"/>
  <c r="BR430" i="13"/>
  <c r="BO269" i="13"/>
  <c r="AB229" i="13"/>
  <c r="D254" i="13"/>
  <c r="D408" i="13"/>
  <c r="AX332" i="13"/>
  <c r="AC146" i="13"/>
  <c r="P407" i="13"/>
  <c r="Z445" i="13"/>
  <c r="AY133" i="13"/>
  <c r="AT266" i="13"/>
  <c r="BW176" i="13"/>
  <c r="BK491" i="13"/>
  <c r="AY1" i="13"/>
  <c r="V488" i="13"/>
  <c r="BT122" i="13"/>
  <c r="BL137" i="13"/>
  <c r="U247" i="13"/>
  <c r="AF86" i="13"/>
  <c r="BU333" i="13"/>
  <c r="AF288" i="13"/>
  <c r="BE312" i="13"/>
  <c r="AN429" i="13"/>
  <c r="V369" i="13"/>
  <c r="T62" i="13"/>
  <c r="T162" i="13"/>
  <c r="BH430" i="13"/>
  <c r="AD259" i="13"/>
  <c r="BL174" i="13"/>
  <c r="BI265" i="13"/>
  <c r="AO202" i="13"/>
  <c r="U183" i="13"/>
  <c r="BD138" i="13"/>
  <c r="AS255" i="13"/>
  <c r="AZ463" i="13"/>
  <c r="J285" i="13"/>
  <c r="BR406" i="13"/>
  <c r="F211" i="13"/>
  <c r="BA321" i="13"/>
  <c r="AZ316" i="13"/>
  <c r="V242" i="13"/>
  <c r="BB100" i="13"/>
  <c r="L30" i="13"/>
  <c r="AE232" i="13"/>
  <c r="AK214" i="13"/>
  <c r="AC444" i="13"/>
  <c r="AL310" i="13"/>
  <c r="AS208" i="13"/>
  <c r="AQ223" i="13"/>
  <c r="AL121" i="13"/>
  <c r="BR270" i="13"/>
  <c r="M350" i="13"/>
  <c r="BA184" i="13"/>
  <c r="AZ433" i="13"/>
  <c r="AA186" i="13"/>
  <c r="AH437" i="13"/>
  <c r="BO69" i="13"/>
  <c r="AC189" i="13"/>
  <c r="AJ478" i="13"/>
  <c r="I108" i="13"/>
  <c r="V239" i="13"/>
  <c r="AW487" i="13"/>
  <c r="AT268" i="13"/>
  <c r="BV470" i="13"/>
  <c r="J491" i="13"/>
  <c r="BI426" i="13"/>
  <c r="BS373" i="13"/>
  <c r="AH145" i="13"/>
  <c r="Q298" i="13"/>
  <c r="AB172" i="13"/>
  <c r="BM489" i="13"/>
  <c r="D136" i="13"/>
  <c r="BN385" i="13"/>
  <c r="BB422" i="13"/>
  <c r="AU403" i="13"/>
  <c r="AN15" i="13"/>
  <c r="BO132" i="13"/>
  <c r="AO362" i="13"/>
  <c r="Y51" i="13"/>
  <c r="AL445" i="13"/>
  <c r="BJ452" i="13"/>
  <c r="S481" i="13"/>
  <c r="AL404" i="13"/>
  <c r="BF333" i="13"/>
  <c r="BT35" i="13"/>
  <c r="Z113" i="13"/>
  <c r="BI193" i="13"/>
  <c r="BU283" i="13"/>
  <c r="AQ437" i="13"/>
  <c r="R453" i="13"/>
  <c r="F253" i="13"/>
  <c r="P154" i="13"/>
  <c r="BV157" i="13"/>
  <c r="Q464" i="13"/>
  <c r="BD396" i="13"/>
  <c r="AM245" i="13"/>
  <c r="U58" i="13"/>
  <c r="K3" i="13"/>
  <c r="AZ357" i="13"/>
  <c r="AF404" i="13"/>
  <c r="BE444" i="13"/>
  <c r="L202" i="13"/>
  <c r="R227" i="13"/>
  <c r="S390" i="13"/>
  <c r="AR201" i="13"/>
  <c r="M392" i="13"/>
  <c r="AE253" i="13"/>
  <c r="C373" i="13"/>
  <c r="AG428" i="13"/>
  <c r="BS304" i="13"/>
  <c r="AS457" i="13"/>
  <c r="X412" i="13"/>
  <c r="AN263" i="13"/>
  <c r="T10" i="13"/>
  <c r="AC168" i="13"/>
  <c r="BA286" i="13"/>
  <c r="BQ197" i="13"/>
  <c r="BU378" i="13"/>
  <c r="Q391" i="13"/>
  <c r="Q43" i="13"/>
  <c r="AW306" i="13"/>
  <c r="AV185" i="13"/>
  <c r="AJ498" i="13"/>
  <c r="H282" i="13"/>
  <c r="AA288" i="13"/>
  <c r="BG372" i="13"/>
  <c r="T310" i="13"/>
  <c r="K422" i="13"/>
  <c r="Y358" i="13"/>
  <c r="BQ443" i="13"/>
  <c r="AN380" i="13"/>
  <c r="AX434" i="13"/>
  <c r="AY157" i="13"/>
  <c r="BW425" i="13"/>
  <c r="B351" i="13"/>
  <c r="F351" i="13"/>
  <c r="Z365" i="13"/>
  <c r="D228" i="13"/>
  <c r="AK448" i="13"/>
  <c r="BD24" i="13"/>
  <c r="Y194" i="13"/>
  <c r="O240" i="13"/>
  <c r="BL5" i="13"/>
  <c r="Z304" i="13"/>
  <c r="AI185" i="13"/>
  <c r="V282" i="13"/>
  <c r="AK192" i="13"/>
  <c r="AL501" i="13"/>
  <c r="BC331" i="13"/>
  <c r="G391" i="13"/>
  <c r="AI86" i="13"/>
  <c r="BP139" i="13"/>
  <c r="BP227" i="13"/>
  <c r="AI463" i="13"/>
  <c r="AK434" i="13"/>
  <c r="AD142" i="13"/>
  <c r="BC443" i="13"/>
  <c r="Y244" i="13"/>
  <c r="S254" i="13"/>
  <c r="AV425" i="13"/>
  <c r="M261" i="13"/>
  <c r="J302" i="13"/>
  <c r="AV367" i="13"/>
  <c r="U381" i="13"/>
  <c r="AW265" i="13"/>
  <c r="M370" i="13"/>
  <c r="BG284" i="13"/>
  <c r="BK98" i="13"/>
  <c r="BW449" i="13"/>
  <c r="AV180" i="13"/>
  <c r="AS425" i="13"/>
  <c r="Y241" i="13"/>
  <c r="S412" i="13"/>
  <c r="AQ392" i="13"/>
  <c r="AU277" i="13"/>
  <c r="Y371" i="13"/>
  <c r="E310" i="13"/>
  <c r="BF143" i="13"/>
  <c r="R3" i="13"/>
  <c r="AN257" i="13"/>
  <c r="BI366" i="13"/>
  <c r="BU369" i="13"/>
  <c r="AH473" i="13"/>
  <c r="U393" i="13"/>
  <c r="BG331" i="13"/>
  <c r="AP403" i="13"/>
  <c r="AJ258" i="13"/>
  <c r="AZ28" i="13"/>
  <c r="BR293" i="13"/>
  <c r="V309" i="13"/>
  <c r="Q396" i="13"/>
  <c r="BL481" i="13"/>
  <c r="AO243" i="13"/>
  <c r="BQ210" i="13"/>
  <c r="G14" i="13"/>
  <c r="AJ382" i="13"/>
  <c r="BG298" i="13"/>
  <c r="BI178" i="13"/>
  <c r="M343" i="13"/>
  <c r="D286" i="13"/>
  <c r="BR438" i="13"/>
  <c r="AH449" i="13"/>
  <c r="E387" i="13"/>
  <c r="BM269" i="13"/>
  <c r="D386" i="13"/>
  <c r="AO374" i="13"/>
  <c r="BH82" i="13"/>
  <c r="BI140" i="13"/>
  <c r="AA471" i="13"/>
  <c r="K319" i="13"/>
  <c r="BN486" i="13"/>
  <c r="BK404" i="13"/>
  <c r="BT211" i="13"/>
  <c r="AL324" i="13"/>
  <c r="O481" i="13"/>
  <c r="BO459" i="13"/>
  <c r="AA255" i="13"/>
  <c r="AH349" i="13"/>
  <c r="BG356" i="13"/>
  <c r="T191" i="13"/>
  <c r="AI424" i="13"/>
  <c r="Q462" i="13"/>
  <c r="BP430" i="13"/>
  <c r="AJ357" i="13"/>
  <c r="D378" i="13"/>
  <c r="Q4" i="13"/>
  <c r="BI280" i="13"/>
  <c r="AH313" i="13"/>
  <c r="BJ461" i="13"/>
  <c r="AT351" i="13"/>
  <c r="BC210" i="13"/>
  <c r="W401" i="13"/>
  <c r="BJ402" i="13"/>
  <c r="BQ43" i="13"/>
  <c r="AN114" i="13"/>
  <c r="AY125" i="13"/>
  <c r="AY150" i="13"/>
  <c r="BJ350" i="13"/>
  <c r="AO341" i="13"/>
  <c r="AZ311" i="13"/>
  <c r="P259" i="13"/>
  <c r="AX185" i="13"/>
  <c r="BR478" i="13"/>
  <c r="BR218" i="13"/>
  <c r="AZ404" i="13"/>
  <c r="AF370" i="13"/>
  <c r="T478" i="13"/>
  <c r="AW250" i="13"/>
  <c r="AG190" i="13"/>
  <c r="A235" i="13"/>
  <c r="BV299" i="13"/>
  <c r="D454" i="13"/>
  <c r="Y90" i="13"/>
  <c r="AE422" i="13"/>
  <c r="BP97" i="13"/>
  <c r="AK144" i="13"/>
  <c r="BD270" i="13"/>
  <c r="L64" i="13"/>
  <c r="Q312" i="13"/>
  <c r="AI448" i="13"/>
  <c r="BA383" i="13"/>
  <c r="H151" i="13"/>
  <c r="BA94" i="13"/>
  <c r="AB49" i="13"/>
  <c r="F116" i="13"/>
  <c r="K408" i="13"/>
  <c r="Y374" i="13"/>
  <c r="J270" i="13"/>
  <c r="BF44" i="13"/>
  <c r="BB343" i="13"/>
  <c r="BQ312" i="13"/>
  <c r="N295" i="13"/>
  <c r="BM435" i="13"/>
  <c r="AI323" i="13"/>
  <c r="AV375" i="13"/>
  <c r="BA289" i="13"/>
  <c r="U426" i="13"/>
  <c r="AC267" i="13"/>
  <c r="AG425" i="13"/>
  <c r="BT276" i="13"/>
  <c r="AO267" i="13"/>
  <c r="AW369" i="13"/>
  <c r="N329" i="13"/>
  <c r="Q427" i="13"/>
  <c r="BQ189" i="13"/>
  <c r="BS480" i="13"/>
  <c r="AA383" i="13"/>
  <c r="BE151" i="13"/>
  <c r="AY464" i="13"/>
  <c r="BW356" i="13"/>
  <c r="AA18" i="13"/>
  <c r="AY361" i="13"/>
  <c r="AG277" i="13"/>
  <c r="AT245" i="13"/>
  <c r="BH443" i="13"/>
  <c r="AL2" i="13"/>
  <c r="AI427" i="13"/>
  <c r="BN245" i="13"/>
  <c r="W32" i="13"/>
  <c r="BM320" i="13"/>
  <c r="AL443" i="13"/>
  <c r="AB448" i="13"/>
  <c r="Q200" i="13"/>
  <c r="BG283" i="13"/>
  <c r="AH374" i="13"/>
  <c r="AP131" i="13"/>
  <c r="BE98" i="13"/>
  <c r="J484" i="13"/>
  <c r="BW493" i="13"/>
  <c r="BQ331" i="13"/>
  <c r="BG306" i="13"/>
  <c r="BC401" i="13"/>
  <c r="AM392" i="13"/>
  <c r="J123" i="13"/>
  <c r="BR274" i="13"/>
  <c r="C7" i="13"/>
  <c r="BW454" i="13"/>
  <c r="AA41" i="13"/>
  <c r="AY322" i="13"/>
  <c r="M322" i="13"/>
  <c r="BR280" i="13"/>
  <c r="AM130" i="13"/>
  <c r="BL184" i="13"/>
  <c r="AP269" i="13"/>
  <c r="AE375" i="13"/>
  <c r="AY456" i="13"/>
  <c r="BS54" i="13"/>
  <c r="R428" i="13"/>
  <c r="AN464" i="13"/>
  <c r="E409" i="13"/>
  <c r="O315" i="13"/>
  <c r="BV465" i="13"/>
  <c r="AQ339" i="13"/>
  <c r="Q452" i="13"/>
  <c r="BG480" i="13"/>
  <c r="AG274" i="13"/>
  <c r="AP451" i="13"/>
  <c r="S154" i="13"/>
  <c r="BP273" i="13"/>
  <c r="O477" i="13"/>
  <c r="P116" i="13"/>
  <c r="BV131" i="13"/>
  <c r="C174" i="13"/>
  <c r="AW160" i="13"/>
  <c r="BO9" i="13"/>
  <c r="G342" i="13"/>
  <c r="BK439" i="13"/>
  <c r="AG471" i="13"/>
  <c r="B358" i="13"/>
  <c r="BU392" i="13"/>
  <c r="AF481" i="13"/>
  <c r="BL398" i="13"/>
  <c r="B178" i="13"/>
  <c r="AG272" i="13"/>
  <c r="BM20" i="13"/>
  <c r="O382" i="13"/>
  <c r="N494" i="13"/>
  <c r="U150" i="13"/>
  <c r="G45" i="13"/>
  <c r="BO346" i="13"/>
  <c r="M182" i="13"/>
  <c r="BR480" i="13"/>
  <c r="BW114" i="13"/>
  <c r="D425" i="13"/>
  <c r="AF106" i="13"/>
  <c r="BO241" i="13"/>
  <c r="AT313" i="13"/>
  <c r="V409" i="13"/>
  <c r="BE22" i="13"/>
  <c r="BS219" i="13"/>
  <c r="AU192" i="13"/>
  <c r="BU273" i="13"/>
  <c r="BC229" i="13"/>
  <c r="AC271" i="13"/>
  <c r="AW309" i="13"/>
  <c r="AA385" i="13"/>
  <c r="Y325" i="13"/>
  <c r="V328" i="13"/>
  <c r="I257" i="13"/>
  <c r="BK422" i="13"/>
  <c r="T247" i="13"/>
  <c r="Z457" i="13"/>
  <c r="BK382" i="13"/>
  <c r="J152" i="13"/>
  <c r="AR8" i="13"/>
  <c r="AU430" i="13"/>
  <c r="AQ71" i="13"/>
  <c r="AZ157" i="13"/>
  <c r="AI432" i="13"/>
  <c r="F449" i="13"/>
  <c r="AU345" i="13"/>
  <c r="AG291" i="13"/>
  <c r="BD89" i="13"/>
  <c r="AN275" i="13"/>
  <c r="Z448" i="13"/>
  <c r="BH485" i="13"/>
  <c r="AH452" i="13"/>
  <c r="BW275" i="13"/>
  <c r="BA344" i="13"/>
  <c r="AP410" i="13"/>
  <c r="AW410" i="13"/>
  <c r="BR78" i="13"/>
  <c r="H364" i="13"/>
  <c r="BE173" i="13"/>
  <c r="BI316" i="13"/>
  <c r="BH270" i="13"/>
  <c r="BH192" i="13"/>
  <c r="AY417" i="13"/>
  <c r="BW353" i="13"/>
  <c r="AT295" i="13"/>
  <c r="BN473" i="13"/>
  <c r="BT184" i="13"/>
  <c r="P457" i="13"/>
  <c r="M5" i="13"/>
  <c r="F149" i="13"/>
  <c r="BQ98" i="13"/>
  <c r="D255" i="13"/>
  <c r="R397" i="13"/>
  <c r="AJ435" i="13"/>
  <c r="BB263" i="13"/>
  <c r="P492" i="13"/>
  <c r="U269" i="13"/>
  <c r="AN216" i="13"/>
  <c r="B407" i="13"/>
  <c r="AX377" i="13"/>
  <c r="P435" i="13"/>
  <c r="AZ477" i="13"/>
  <c r="H326" i="13"/>
  <c r="AE435" i="13"/>
  <c r="BA86" i="13"/>
  <c r="AP243" i="13"/>
  <c r="AH427" i="13"/>
  <c r="AH457" i="13"/>
  <c r="AD474" i="13"/>
  <c r="AA498" i="13"/>
  <c r="Q116" i="13"/>
  <c r="F398" i="13"/>
  <c r="AM404" i="13"/>
  <c r="T258" i="13"/>
  <c r="AO119" i="13"/>
  <c r="AO372" i="13"/>
  <c r="AG152" i="13"/>
  <c r="H85" i="13"/>
  <c r="AC10" i="13"/>
  <c r="BK371" i="13"/>
  <c r="BR433" i="13"/>
  <c r="BI278" i="13"/>
  <c r="AL427" i="13"/>
  <c r="AK315" i="13"/>
  <c r="AO189" i="13"/>
  <c r="V479" i="13"/>
  <c r="I353" i="13"/>
  <c r="AA491" i="13"/>
  <c r="BU227" i="13"/>
  <c r="AW402" i="13"/>
  <c r="S201" i="13"/>
  <c r="E248" i="13"/>
  <c r="AW207" i="13"/>
  <c r="F291" i="13"/>
  <c r="V380" i="13"/>
  <c r="A475" i="13"/>
  <c r="H104" i="13"/>
  <c r="BI396" i="13"/>
  <c r="AU464" i="13"/>
  <c r="AL296" i="13"/>
  <c r="BK180" i="13"/>
  <c r="BK166" i="13"/>
  <c r="B422" i="13"/>
  <c r="BV70" i="13"/>
  <c r="P13" i="13"/>
  <c r="AJ175" i="13"/>
  <c r="G67" i="13"/>
  <c r="AO112" i="13"/>
  <c r="BR73" i="13"/>
  <c r="BQ365" i="13"/>
  <c r="BP92" i="13"/>
  <c r="BW352" i="13"/>
  <c r="BN163" i="13"/>
  <c r="AM225" i="13"/>
  <c r="AH141" i="13"/>
  <c r="AU472" i="13"/>
  <c r="AF353" i="13"/>
  <c r="W385" i="13"/>
  <c r="W225" i="13"/>
  <c r="O344" i="13"/>
  <c r="AA42" i="13"/>
  <c r="BV269" i="13"/>
  <c r="C182" i="13"/>
  <c r="W332" i="13"/>
  <c r="AH442" i="13"/>
  <c r="BV293" i="13"/>
  <c r="O380" i="13"/>
  <c r="C367" i="13"/>
  <c r="BS157" i="13"/>
  <c r="AP453" i="13"/>
  <c r="BJ196" i="13"/>
  <c r="AW190" i="13"/>
  <c r="H379" i="13"/>
  <c r="BJ438" i="13"/>
  <c r="BG153" i="13"/>
  <c r="AU418" i="13"/>
  <c r="C297" i="13"/>
  <c r="BC153" i="13"/>
  <c r="W247" i="13"/>
  <c r="AB320" i="13"/>
  <c r="BF379" i="13"/>
  <c r="BU323" i="13"/>
  <c r="B387" i="13"/>
  <c r="AR446" i="13"/>
  <c r="C225" i="13"/>
  <c r="AR261" i="13"/>
  <c r="K250" i="13"/>
  <c r="AW494" i="13"/>
  <c r="AY207" i="13"/>
  <c r="BS160" i="13"/>
  <c r="AP413" i="13"/>
  <c r="S370" i="13"/>
  <c r="AO142" i="13"/>
  <c r="BG214" i="13"/>
  <c r="Y36" i="13"/>
  <c r="AR445" i="13"/>
  <c r="I105" i="13"/>
  <c r="AP349" i="13"/>
  <c r="AO241" i="13"/>
  <c r="G192" i="13"/>
  <c r="AK11" i="13"/>
  <c r="BT487" i="13"/>
  <c r="U223" i="13"/>
  <c r="AV144" i="13"/>
  <c r="BI35" i="13"/>
  <c r="AY369" i="13"/>
  <c r="AP257" i="13"/>
  <c r="B379" i="13"/>
  <c r="BH470" i="13"/>
  <c r="BG281" i="13"/>
  <c r="R452" i="13"/>
  <c r="BW13" i="13"/>
  <c r="BJ501" i="13"/>
  <c r="BU147" i="13"/>
  <c r="S327" i="13"/>
  <c r="Y382" i="13"/>
  <c r="Q358" i="13"/>
  <c r="AG280" i="13"/>
  <c r="BS280" i="13"/>
  <c r="AK379" i="13"/>
  <c r="AU351" i="13"/>
  <c r="AO453" i="13"/>
  <c r="K337" i="13"/>
  <c r="BU299" i="13"/>
  <c r="AX457" i="13"/>
  <c r="E410" i="13"/>
  <c r="H307" i="13"/>
  <c r="I135" i="13"/>
  <c r="BQ426" i="13"/>
  <c r="BL498" i="13"/>
  <c r="BV205" i="13"/>
  <c r="W334" i="13"/>
  <c r="Q333" i="13"/>
  <c r="R432" i="13"/>
  <c r="BR285" i="13"/>
  <c r="E186" i="13"/>
  <c r="AI297" i="13"/>
  <c r="BR415" i="13"/>
  <c r="AK261" i="13"/>
  <c r="AN274" i="13"/>
  <c r="BJ114" i="13"/>
  <c r="O9" i="13"/>
  <c r="AC281" i="13"/>
  <c r="AY16" i="13"/>
  <c r="L492" i="13"/>
  <c r="AX359" i="13"/>
  <c r="AE159" i="13"/>
  <c r="AU413" i="13"/>
  <c r="BU247" i="13"/>
  <c r="AH369" i="13"/>
  <c r="BP135" i="13"/>
  <c r="AI231" i="13"/>
  <c r="U494" i="13"/>
  <c r="G259" i="13"/>
  <c r="AZ219" i="13"/>
  <c r="BS286" i="13"/>
  <c r="U227" i="13"/>
  <c r="W129" i="13"/>
  <c r="R115" i="13"/>
  <c r="I249" i="13"/>
  <c r="BM48" i="13"/>
  <c r="BA340" i="13"/>
  <c r="C421" i="13"/>
  <c r="BD339" i="13"/>
  <c r="AY178" i="13"/>
  <c r="AV280" i="13"/>
  <c r="BT411" i="13"/>
  <c r="L107" i="13"/>
  <c r="AV241" i="13"/>
  <c r="BB444" i="13"/>
  <c r="AE447" i="13"/>
  <c r="AO444" i="13"/>
  <c r="BH426" i="13"/>
  <c r="BG274" i="13"/>
  <c r="R96" i="13"/>
  <c r="BS370" i="13"/>
  <c r="I224" i="13"/>
  <c r="Q277" i="13"/>
  <c r="N347" i="13"/>
  <c r="AK450" i="13"/>
  <c r="BL497" i="13"/>
  <c r="AV476" i="13"/>
  <c r="B359" i="13"/>
  <c r="BC394" i="13"/>
  <c r="BW164" i="13"/>
  <c r="BV402" i="13"/>
  <c r="BF16" i="13"/>
  <c r="AY307" i="13"/>
  <c r="AU399" i="13"/>
  <c r="K300" i="13"/>
  <c r="BJ186" i="13"/>
  <c r="AT21" i="13"/>
  <c r="AA291" i="13"/>
  <c r="O289" i="13"/>
  <c r="AD337" i="13"/>
  <c r="BA276" i="13"/>
  <c r="AU375" i="13"/>
  <c r="BW237" i="13"/>
  <c r="AF331" i="13"/>
  <c r="E156" i="13"/>
  <c r="W376" i="13"/>
  <c r="AV146" i="13"/>
  <c r="AW151" i="13"/>
  <c r="BO45" i="13"/>
  <c r="H310" i="13"/>
  <c r="I317" i="13"/>
  <c r="BN334" i="13"/>
  <c r="BO354" i="13"/>
  <c r="BD232" i="13"/>
  <c r="AH5" i="13"/>
  <c r="W43" i="13"/>
  <c r="AQ279" i="13"/>
  <c r="BD71" i="13"/>
  <c r="AY250" i="13"/>
  <c r="AW217" i="13"/>
  <c r="N115" i="13"/>
  <c r="BW411" i="13"/>
  <c r="V353" i="13"/>
  <c r="M6" i="13"/>
  <c r="BQ336" i="13"/>
  <c r="AR142" i="13"/>
  <c r="BB434" i="13"/>
  <c r="AG340" i="13"/>
  <c r="BG361" i="13"/>
  <c r="B53" i="13"/>
  <c r="P424" i="13"/>
  <c r="AR473" i="13"/>
  <c r="V90" i="13"/>
  <c r="R256" i="13"/>
  <c r="H337" i="13"/>
  <c r="G361" i="13"/>
  <c r="F403" i="13"/>
  <c r="K491" i="13"/>
  <c r="BO401" i="13"/>
  <c r="BV334" i="13"/>
  <c r="J305" i="13"/>
  <c r="AC467" i="13"/>
  <c r="C206" i="13"/>
  <c r="AY62" i="13"/>
  <c r="X443" i="13"/>
  <c r="AJ481" i="13"/>
  <c r="AX16" i="13"/>
  <c r="X67" i="13"/>
  <c r="O498" i="13"/>
  <c r="AL472" i="13"/>
  <c r="F323" i="13"/>
  <c r="AQ338" i="13"/>
  <c r="AF227" i="13"/>
  <c r="D327" i="13"/>
  <c r="AB114" i="13"/>
  <c r="AY211" i="13"/>
  <c r="AE169" i="13"/>
  <c r="AS353" i="13"/>
  <c r="J359" i="13"/>
  <c r="BE490" i="13"/>
  <c r="Y280" i="13"/>
  <c r="C369" i="13"/>
  <c r="W49" i="13"/>
  <c r="AU339" i="13"/>
  <c r="O293" i="13"/>
  <c r="W69" i="13"/>
  <c r="S291" i="13"/>
  <c r="D499" i="13"/>
  <c r="AO492" i="13"/>
  <c r="BC472" i="13"/>
  <c r="H329" i="13"/>
  <c r="J291" i="13"/>
  <c r="R173" i="13"/>
  <c r="T277" i="13"/>
  <c r="AA468" i="13"/>
  <c r="H378" i="13"/>
  <c r="BM368" i="13"/>
  <c r="AW363" i="13"/>
  <c r="BA287" i="13"/>
  <c r="AS302" i="13"/>
  <c r="D492" i="13"/>
  <c r="AZ125" i="13"/>
  <c r="AJ459" i="13"/>
  <c r="S310" i="13"/>
  <c r="BI499" i="13"/>
  <c r="K388" i="13"/>
  <c r="W60" i="13"/>
  <c r="Q386" i="13"/>
  <c r="J67" i="13"/>
  <c r="R200" i="13"/>
  <c r="T311" i="13"/>
  <c r="O420" i="13"/>
  <c r="H232" i="13"/>
  <c r="C456" i="13"/>
  <c r="AX447" i="13"/>
  <c r="AS250" i="13"/>
  <c r="BJ340" i="13"/>
  <c r="AA181" i="13"/>
  <c r="AE423" i="13"/>
  <c r="G98" i="13"/>
  <c r="BR278" i="13"/>
  <c r="BG321" i="13"/>
  <c r="AA448" i="13"/>
  <c r="BJ378" i="13"/>
  <c r="BU240" i="13"/>
  <c r="AY495" i="13"/>
  <c r="BL420" i="13"/>
  <c r="I239" i="13"/>
  <c r="K493" i="13"/>
  <c r="AK474" i="13"/>
  <c r="BH285" i="13"/>
  <c r="AW111" i="13"/>
  <c r="K362" i="13"/>
  <c r="AQ205" i="13"/>
  <c r="BA338" i="13"/>
  <c r="BI213" i="13"/>
  <c r="AD164" i="13"/>
  <c r="AB355" i="13"/>
  <c r="X4" i="13"/>
  <c r="AZ141" i="13"/>
  <c r="A417" i="13"/>
  <c r="R451" i="13"/>
  <c r="J459" i="13"/>
  <c r="S358" i="13"/>
  <c r="BM252" i="13"/>
  <c r="Z315" i="13"/>
  <c r="BL70" i="13"/>
  <c r="Z329" i="13"/>
  <c r="N205" i="13"/>
  <c r="K189" i="13"/>
  <c r="A187" i="13"/>
  <c r="BE199" i="13"/>
  <c r="Y145" i="13"/>
  <c r="AH323" i="13"/>
  <c r="AU142" i="13"/>
  <c r="I386" i="13"/>
  <c r="BA449" i="13"/>
  <c r="A304" i="13"/>
  <c r="BC354" i="13"/>
  <c r="AQ488" i="13"/>
  <c r="AE389" i="13"/>
  <c r="O473" i="13"/>
  <c r="X409" i="13"/>
  <c r="AG257" i="13"/>
  <c r="BU185" i="13"/>
  <c r="AB447" i="13"/>
  <c r="AC292" i="13"/>
  <c r="BW380" i="13"/>
  <c r="BV226" i="13"/>
  <c r="BP177" i="13"/>
  <c r="X156" i="13"/>
  <c r="D316" i="13"/>
  <c r="Q470" i="13"/>
  <c r="BC422" i="13"/>
  <c r="BE359" i="13"/>
  <c r="BA294" i="13"/>
  <c r="AQ99" i="13"/>
  <c r="AF223" i="13"/>
  <c r="V173" i="13"/>
  <c r="F180" i="13"/>
  <c r="AU238" i="13"/>
  <c r="I406" i="13"/>
  <c r="BL396" i="13"/>
  <c r="A352" i="13"/>
  <c r="V401" i="13"/>
  <c r="T484" i="13"/>
  <c r="C31" i="13"/>
  <c r="BE416" i="13"/>
  <c r="BQ424" i="13"/>
  <c r="BU153" i="13"/>
  <c r="BO162" i="13"/>
  <c r="D260" i="13"/>
  <c r="AS115" i="13"/>
  <c r="K30" i="13"/>
  <c r="R116" i="13"/>
  <c r="BT182" i="13"/>
  <c r="P367" i="13"/>
  <c r="L465" i="13"/>
  <c r="C399" i="13"/>
  <c r="AU186" i="13"/>
  <c r="AM380" i="13"/>
  <c r="BU267" i="13"/>
  <c r="F408" i="13"/>
  <c r="BD376" i="13"/>
  <c r="AP311" i="13"/>
  <c r="BW315" i="13"/>
  <c r="AA274" i="13"/>
  <c r="BP323" i="13"/>
  <c r="BO282" i="13"/>
  <c r="AQ425" i="13"/>
  <c r="BW481" i="13"/>
  <c r="AQ161" i="13"/>
  <c r="AU353" i="13"/>
  <c r="BL8" i="13"/>
  <c r="B409" i="13"/>
  <c r="BQ100" i="13"/>
  <c r="BB232" i="13"/>
  <c r="F252" i="13"/>
  <c r="BC312" i="13"/>
  <c r="AU149" i="13"/>
  <c r="BB313" i="13"/>
  <c r="BS408" i="13"/>
  <c r="Q342" i="13"/>
  <c r="AE315" i="13"/>
  <c r="BK280" i="13"/>
  <c r="AO89" i="13"/>
  <c r="AA27" i="13"/>
  <c r="B420" i="13"/>
  <c r="BG347" i="13"/>
  <c r="BO329" i="13"/>
  <c r="AY47" i="13"/>
  <c r="E421" i="13"/>
  <c r="BN284" i="13"/>
  <c r="AZ315" i="13"/>
  <c r="AO21" i="13"/>
  <c r="AG450" i="13"/>
  <c r="Z358" i="13"/>
  <c r="BR395" i="13"/>
  <c r="AF357" i="13"/>
  <c r="AH38" i="13"/>
  <c r="W380" i="13"/>
  <c r="BK401" i="13"/>
  <c r="C280" i="13"/>
  <c r="BU411" i="13"/>
  <c r="K443" i="13"/>
  <c r="AU212" i="13"/>
  <c r="BJ160" i="13"/>
  <c r="H333" i="13"/>
  <c r="AC188" i="13"/>
  <c r="AX211" i="13"/>
  <c r="AK26" i="13"/>
  <c r="B369" i="13"/>
  <c r="AP459" i="13"/>
  <c r="W174" i="13"/>
  <c r="BJ133" i="13"/>
  <c r="AC355" i="13"/>
  <c r="AK304" i="13"/>
  <c r="AX269" i="13"/>
  <c r="T383" i="13"/>
  <c r="T257" i="13"/>
  <c r="AU355" i="13"/>
  <c r="BO205" i="13"/>
  <c r="G184" i="13"/>
  <c r="AQ398" i="13"/>
  <c r="BQ18" i="13"/>
  <c r="BP13" i="13"/>
  <c r="F483" i="13"/>
  <c r="BK240" i="13"/>
  <c r="O180" i="13"/>
  <c r="AV274" i="13"/>
  <c r="AL301" i="13"/>
  <c r="AV233" i="13"/>
  <c r="AS490" i="13"/>
  <c r="AP346" i="13"/>
  <c r="BM84" i="13"/>
  <c r="BR142" i="13"/>
  <c r="F248" i="13"/>
  <c r="R190" i="13"/>
  <c r="BJ289" i="13"/>
  <c r="AM83" i="13"/>
  <c r="R9" i="13"/>
  <c r="BU343" i="13"/>
  <c r="E219" i="13"/>
  <c r="AD340" i="13"/>
  <c r="BR467" i="13"/>
  <c r="AG473" i="13"/>
  <c r="S303" i="13"/>
  <c r="AZ175" i="13"/>
  <c r="BT340" i="13"/>
  <c r="AI272" i="13"/>
  <c r="R79" i="13"/>
  <c r="AK225" i="13"/>
  <c r="AX324" i="13"/>
  <c r="H196" i="13"/>
  <c r="BQ466" i="13"/>
  <c r="X279" i="13"/>
  <c r="AY105" i="13"/>
  <c r="AK200" i="13"/>
  <c r="BF209" i="13"/>
  <c r="AV305" i="13"/>
  <c r="BC175" i="13"/>
  <c r="K239" i="13"/>
  <c r="AQ82" i="13"/>
  <c r="N287" i="13"/>
  <c r="BL278" i="13"/>
  <c r="BD265" i="13"/>
  <c r="AI352" i="13"/>
  <c r="BP124" i="13"/>
  <c r="BR468" i="13"/>
  <c r="BV65" i="13"/>
  <c r="F399" i="13"/>
  <c r="AZ62" i="13"/>
  <c r="AS467" i="13"/>
  <c r="BB217" i="13"/>
  <c r="AX387" i="13"/>
  <c r="N223" i="13"/>
  <c r="BD390" i="13"/>
  <c r="BA264" i="13"/>
  <c r="AI483" i="13"/>
  <c r="D371" i="13"/>
  <c r="BP433" i="13"/>
  <c r="AC468" i="13"/>
  <c r="X315" i="13"/>
  <c r="AN395" i="13"/>
  <c r="AG396" i="13"/>
  <c r="AY349" i="13"/>
  <c r="AW444" i="13"/>
  <c r="AO352" i="13"/>
  <c r="BU466" i="13"/>
  <c r="Q418" i="13"/>
  <c r="BH373" i="13"/>
  <c r="V17" i="13"/>
  <c r="AG316" i="13"/>
  <c r="BL352" i="13"/>
  <c r="M430" i="13"/>
  <c r="H469" i="13"/>
  <c r="I29" i="13"/>
  <c r="G291" i="13"/>
  <c r="AH224" i="13"/>
  <c r="C439" i="13"/>
  <c r="BK162" i="13"/>
  <c r="S138" i="13"/>
  <c r="X206" i="13"/>
  <c r="AD318" i="13"/>
  <c r="AI481" i="13"/>
  <c r="U435" i="13"/>
  <c r="T384" i="13"/>
  <c r="X184" i="13"/>
  <c r="BP170" i="13"/>
  <c r="BP197" i="13"/>
  <c r="W349" i="13"/>
  <c r="AW29" i="13"/>
  <c r="X33" i="13"/>
  <c r="BQ429" i="13"/>
  <c r="BK433" i="13"/>
  <c r="BT225" i="13"/>
  <c r="K226" i="13"/>
  <c r="BV345" i="13"/>
  <c r="BD313" i="13"/>
  <c r="A296" i="13"/>
  <c r="Z415" i="13"/>
  <c r="U348" i="13"/>
  <c r="AM417" i="13"/>
  <c r="BE423" i="13"/>
  <c r="X243" i="13"/>
  <c r="AK351" i="13"/>
  <c r="E398" i="13"/>
  <c r="AV342" i="13"/>
  <c r="BM391" i="13"/>
  <c r="AZ379" i="13"/>
  <c r="BI414" i="13"/>
  <c r="BA263" i="13"/>
  <c r="M366" i="13"/>
  <c r="AC313" i="13"/>
  <c r="AY348" i="13"/>
  <c r="U116" i="13"/>
  <c r="A396" i="13"/>
  <c r="BP205" i="13"/>
  <c r="AU172" i="13"/>
  <c r="BH25" i="13"/>
  <c r="L35" i="13"/>
  <c r="B264" i="13"/>
  <c r="X240" i="13"/>
  <c r="AT311" i="13"/>
  <c r="BR5" i="13"/>
  <c r="BF481" i="13"/>
  <c r="BS453" i="13"/>
  <c r="BW372" i="13"/>
  <c r="C500" i="13"/>
  <c r="BD391" i="13"/>
  <c r="M296" i="13"/>
  <c r="BF172" i="13"/>
  <c r="P390" i="13"/>
  <c r="F245" i="13"/>
  <c r="X334" i="13"/>
  <c r="AM482" i="13"/>
  <c r="BV109" i="13"/>
  <c r="BV424" i="13"/>
  <c r="Y123" i="13"/>
  <c r="BT42" i="13"/>
  <c r="AZ387" i="13"/>
  <c r="P205" i="13"/>
  <c r="AT340" i="13"/>
  <c r="Q458" i="13"/>
  <c r="AB186" i="13"/>
  <c r="F430" i="13"/>
  <c r="M439" i="13"/>
  <c r="AK330" i="13"/>
  <c r="BN324" i="13"/>
  <c r="BR322" i="13"/>
  <c r="AR18" i="13"/>
  <c r="AN307" i="13"/>
  <c r="AN406" i="13"/>
  <c r="AS186" i="13"/>
  <c r="Z173" i="13"/>
  <c r="BK215" i="13"/>
  <c r="BO283" i="13"/>
  <c r="BB321" i="13"/>
  <c r="BP444" i="13"/>
  <c r="BI463" i="13"/>
  <c r="AN27" i="13"/>
  <c r="AR304" i="13"/>
  <c r="C341" i="13"/>
  <c r="E408" i="13"/>
  <c r="F327" i="13"/>
  <c r="AC171" i="13"/>
  <c r="Q27" i="13"/>
  <c r="H345" i="13"/>
  <c r="BM44" i="13"/>
  <c r="F74" i="13"/>
  <c r="BD481" i="13"/>
  <c r="R14" i="13"/>
  <c r="D337" i="13"/>
  <c r="AX254" i="13"/>
  <c r="BU252" i="13"/>
  <c r="AD487" i="13"/>
  <c r="BU163" i="13"/>
  <c r="BB169" i="13"/>
  <c r="BL253" i="13"/>
  <c r="BJ466" i="13"/>
  <c r="AB17" i="13"/>
  <c r="AB272" i="13"/>
  <c r="AM160" i="13"/>
  <c r="F307" i="13"/>
  <c r="O353" i="13"/>
  <c r="BW193" i="13"/>
  <c r="AN383" i="13"/>
  <c r="F406" i="13"/>
  <c r="BD467" i="13"/>
  <c r="AG295" i="13"/>
  <c r="BR179" i="13"/>
  <c r="BR373" i="13"/>
  <c r="BS195" i="13"/>
  <c r="BS158" i="13"/>
  <c r="AE442" i="13"/>
  <c r="U311" i="13"/>
  <c r="AW158" i="13"/>
  <c r="AE497" i="13"/>
  <c r="BF359" i="13"/>
  <c r="AR468" i="13"/>
  <c r="V335" i="13"/>
  <c r="AK136" i="13"/>
  <c r="BV439" i="13"/>
  <c r="AQ262" i="13"/>
  <c r="BU171" i="13"/>
  <c r="D308" i="13"/>
  <c r="BB327" i="13"/>
  <c r="BN448" i="13"/>
  <c r="W254" i="13"/>
  <c r="W475" i="13"/>
  <c r="AL297" i="13"/>
  <c r="AS316" i="13"/>
  <c r="AN38" i="13"/>
  <c r="G125" i="13"/>
  <c r="W126" i="13"/>
  <c r="BA373" i="13"/>
  <c r="BH8" i="13"/>
  <c r="BN170" i="13"/>
  <c r="F350" i="13"/>
  <c r="AD167" i="13"/>
  <c r="AB234" i="13"/>
  <c r="AR288" i="13"/>
  <c r="BM135" i="13"/>
  <c r="BO210" i="13"/>
  <c r="BL412" i="13"/>
  <c r="S239" i="13"/>
  <c r="AS444" i="13"/>
  <c r="BF388" i="13"/>
  <c r="AF160" i="13"/>
  <c r="AB340" i="13"/>
  <c r="AB82" i="13"/>
  <c r="E79" i="13"/>
  <c r="AT315" i="13"/>
  <c r="AR12" i="13"/>
  <c r="Z388" i="13"/>
  <c r="S366" i="13"/>
  <c r="Q283" i="13"/>
  <c r="Y341" i="13"/>
  <c r="K498" i="13"/>
  <c r="D224" i="13"/>
  <c r="BC406" i="13"/>
  <c r="Z333" i="13"/>
  <c r="A194" i="13"/>
  <c r="AT274" i="13"/>
  <c r="L440" i="13"/>
  <c r="AK229" i="13"/>
  <c r="AW383" i="13"/>
  <c r="BH75" i="13"/>
  <c r="BQ182" i="13"/>
  <c r="X127" i="13"/>
  <c r="Z22" i="13"/>
  <c r="BV413" i="13"/>
  <c r="B262" i="13"/>
  <c r="BT56" i="13"/>
  <c r="AO232" i="13"/>
  <c r="M355" i="13"/>
  <c r="G459" i="13"/>
  <c r="U131" i="13"/>
  <c r="AC269" i="13"/>
  <c r="BS193" i="13"/>
  <c r="BD349" i="13"/>
  <c r="BA346" i="13"/>
  <c r="AB390" i="13"/>
  <c r="AS393" i="13"/>
  <c r="BN227" i="13"/>
  <c r="AJ422" i="13"/>
  <c r="AD496" i="13"/>
  <c r="AU338" i="13"/>
  <c r="AO181" i="13"/>
  <c r="E354" i="13"/>
  <c r="BB401" i="13"/>
  <c r="W366" i="13"/>
  <c r="BC436" i="13"/>
  <c r="AF256" i="13"/>
  <c r="AV251" i="13"/>
  <c r="AY123" i="13"/>
  <c r="AA381" i="13"/>
  <c r="Y398" i="13"/>
  <c r="BL293" i="13"/>
  <c r="BS42" i="13"/>
  <c r="AO162" i="13"/>
  <c r="BC395" i="13"/>
  <c r="E456" i="13"/>
  <c r="Y394" i="13"/>
  <c r="D466" i="13"/>
  <c r="AZ248" i="13"/>
  <c r="AQ497" i="13"/>
  <c r="S193" i="13"/>
  <c r="O285" i="13"/>
  <c r="AB130" i="13"/>
  <c r="BK462" i="13"/>
  <c r="Z475" i="13"/>
  <c r="AA361" i="13"/>
  <c r="J212" i="13"/>
  <c r="AD463" i="13"/>
  <c r="Q184" i="13"/>
  <c r="AD325" i="13"/>
  <c r="Z75" i="13"/>
  <c r="BR464" i="13"/>
  <c r="AV133" i="13"/>
  <c r="AQ389" i="13"/>
  <c r="F347" i="13"/>
  <c r="AG342" i="13"/>
  <c r="C12" i="13"/>
  <c r="W424" i="13"/>
  <c r="R427" i="13"/>
  <c r="BR57" i="13"/>
  <c r="BD247" i="13"/>
  <c r="E82" i="13"/>
  <c r="AQ372" i="13"/>
  <c r="AH268" i="13"/>
  <c r="BH336" i="13"/>
  <c r="H124" i="13"/>
  <c r="BP287" i="13"/>
  <c r="BQ421" i="13"/>
  <c r="X309" i="13"/>
  <c r="BJ259" i="13"/>
  <c r="BO223" i="13"/>
  <c r="AH319" i="13"/>
  <c r="V462" i="13"/>
  <c r="AM207" i="13"/>
  <c r="B171" i="13"/>
  <c r="BQ276" i="13"/>
  <c r="N160" i="13"/>
  <c r="AE271" i="13"/>
  <c r="BO117" i="13"/>
  <c r="AT334" i="13"/>
  <c r="AH462" i="13"/>
  <c r="AJ120" i="13"/>
  <c r="AA6" i="13"/>
  <c r="AS224" i="13"/>
  <c r="Z186" i="13"/>
  <c r="AB381" i="13"/>
  <c r="B311" i="13"/>
  <c r="BL267" i="13"/>
  <c r="BJ187" i="13"/>
  <c r="Q304" i="13"/>
  <c r="AN366" i="13"/>
  <c r="AO245" i="13"/>
  <c r="AY164" i="13"/>
  <c r="T441" i="13"/>
  <c r="O444" i="13"/>
  <c r="BT272" i="13"/>
  <c r="AG205" i="13"/>
  <c r="Y54" i="13"/>
  <c r="AC492" i="13"/>
  <c r="AL336" i="13"/>
  <c r="AD444" i="13"/>
  <c r="Y327" i="13"/>
  <c r="AI3" i="13"/>
  <c r="AR235" i="13"/>
  <c r="BU447" i="13"/>
  <c r="AV101" i="13"/>
  <c r="BK207" i="13"/>
  <c r="AN432" i="13"/>
  <c r="M457" i="13"/>
  <c r="BN440" i="13"/>
  <c r="G355" i="13"/>
  <c r="X212" i="13"/>
  <c r="AK342" i="13"/>
  <c r="AM320" i="13"/>
  <c r="AK334" i="13"/>
  <c r="AX358" i="13"/>
  <c r="AM471" i="13"/>
  <c r="BU251" i="13"/>
  <c r="AZ209" i="13"/>
  <c r="AB162" i="13"/>
  <c r="AF281" i="13"/>
  <c r="A65" i="13"/>
  <c r="BQ198" i="13"/>
  <c r="BB331" i="13"/>
  <c r="AS440" i="13"/>
  <c r="BE467" i="13"/>
  <c r="BR200" i="13"/>
  <c r="BQ342" i="13"/>
  <c r="O207" i="13"/>
  <c r="X200" i="13"/>
  <c r="Z152" i="13"/>
  <c r="BN443" i="13"/>
  <c r="F335" i="13"/>
  <c r="B109" i="13"/>
  <c r="BL399" i="13"/>
  <c r="Z319" i="13"/>
  <c r="P485" i="13"/>
  <c r="A205" i="13"/>
  <c r="BD383" i="13"/>
  <c r="T328" i="13"/>
  <c r="AC460" i="13"/>
  <c r="P312" i="13"/>
  <c r="G220" i="13"/>
  <c r="U76" i="13"/>
  <c r="Q388" i="13"/>
  <c r="Y359" i="13"/>
  <c r="X303" i="13"/>
  <c r="AS480" i="13"/>
  <c r="BN187" i="13"/>
  <c r="R354" i="13"/>
  <c r="BV286" i="13"/>
  <c r="BR121" i="13"/>
  <c r="BV311" i="13"/>
  <c r="AN133" i="13"/>
  <c r="BF285" i="13"/>
  <c r="AU440" i="13"/>
  <c r="K257" i="13"/>
  <c r="BE27" i="13"/>
  <c r="C248" i="13"/>
  <c r="AR276" i="13"/>
  <c r="BL443" i="13"/>
  <c r="S245" i="13"/>
  <c r="AX257" i="13"/>
  <c r="AK204" i="13"/>
  <c r="Y376" i="13"/>
  <c r="AX170" i="13"/>
  <c r="BU237" i="13"/>
  <c r="AT423" i="13"/>
  <c r="AW406" i="13"/>
  <c r="BL279" i="13"/>
  <c r="J36" i="13"/>
  <c r="AG383" i="13"/>
  <c r="BG485" i="13"/>
  <c r="Z498" i="13"/>
  <c r="AR315" i="13"/>
  <c r="AN346" i="13"/>
  <c r="W322" i="13"/>
  <c r="BG308" i="13"/>
  <c r="AO127" i="13"/>
  <c r="BQ487" i="13"/>
  <c r="AF14" i="13"/>
  <c r="V382" i="13"/>
  <c r="E5" i="13"/>
  <c r="BB180" i="13"/>
  <c r="J492" i="13"/>
  <c r="BN332" i="13"/>
  <c r="AO288" i="13"/>
  <c r="BB442" i="13"/>
  <c r="BJ183" i="13"/>
  <c r="X244" i="13"/>
  <c r="R484" i="13"/>
  <c r="AT289" i="13"/>
  <c r="AZ207" i="13"/>
  <c r="U457" i="13"/>
  <c r="BB303" i="13"/>
  <c r="AO165" i="13"/>
  <c r="AW387" i="13"/>
  <c r="AI329" i="13"/>
  <c r="AK458" i="13"/>
  <c r="I127" i="13"/>
  <c r="AJ428" i="13"/>
  <c r="R93" i="13"/>
  <c r="AK348" i="13"/>
  <c r="AC462" i="13"/>
  <c r="BB368" i="13"/>
  <c r="AT250" i="13"/>
  <c r="AY467" i="13"/>
  <c r="AH257" i="13"/>
  <c r="AY405" i="13"/>
  <c r="AL413" i="13"/>
  <c r="W281" i="13"/>
  <c r="J35" i="13"/>
  <c r="E100" i="13"/>
  <c r="AZ491" i="13"/>
  <c r="BM346" i="13"/>
  <c r="AX131" i="13"/>
  <c r="BW415" i="13"/>
  <c r="D225" i="13"/>
  <c r="W327" i="13"/>
  <c r="AY460" i="13"/>
  <c r="AO365" i="13"/>
  <c r="D334" i="13"/>
  <c r="BT429" i="13"/>
  <c r="W117" i="13"/>
  <c r="BE44" i="13"/>
  <c r="R312" i="13"/>
  <c r="AJ407" i="13"/>
  <c r="AQ167" i="13"/>
  <c r="AQ25" i="13"/>
  <c r="BD495" i="13"/>
  <c r="AD311" i="13"/>
  <c r="AK178" i="13"/>
  <c r="Q477" i="13"/>
  <c r="BU488" i="13"/>
  <c r="BU397" i="13"/>
  <c r="R226" i="13"/>
  <c r="BF273" i="13"/>
  <c r="AA232" i="13"/>
  <c r="BJ345" i="13"/>
  <c r="BS402" i="13"/>
  <c r="BI478" i="13"/>
  <c r="AG283" i="13"/>
  <c r="AH235" i="13"/>
  <c r="Y252" i="13"/>
  <c r="W264" i="13"/>
  <c r="Y499" i="13"/>
  <c r="BP499" i="13"/>
  <c r="BQ335" i="13"/>
  <c r="AW431" i="13"/>
  <c r="AL209" i="13"/>
  <c r="BJ420" i="13"/>
  <c r="AL267" i="13"/>
  <c r="K92" i="13"/>
  <c r="BG420" i="13"/>
  <c r="BP457" i="13"/>
  <c r="F428" i="13"/>
  <c r="N404" i="13"/>
  <c r="AY473" i="13"/>
  <c r="BO498" i="13"/>
  <c r="AQ328" i="13"/>
  <c r="AX236" i="13"/>
  <c r="AF1" i="13"/>
  <c r="BC479" i="13"/>
  <c r="BJ373" i="13"/>
  <c r="AZ471" i="13"/>
  <c r="F452" i="13"/>
  <c r="AA131" i="13"/>
  <c r="AG429" i="13"/>
  <c r="W466" i="13"/>
  <c r="S397" i="13"/>
  <c r="BJ419" i="13"/>
  <c r="BJ148" i="13"/>
  <c r="BU355" i="13"/>
  <c r="Q426" i="13"/>
  <c r="AX213" i="13"/>
  <c r="Q245" i="13"/>
  <c r="B301" i="13"/>
  <c r="N81" i="13"/>
  <c r="AM97" i="13"/>
  <c r="AV395" i="13"/>
  <c r="AS155" i="13"/>
  <c r="W491" i="13"/>
  <c r="E445" i="13"/>
  <c r="P326" i="13"/>
  <c r="P371" i="13"/>
  <c r="AW22" i="13"/>
  <c r="AI365" i="13"/>
  <c r="AQ213" i="13"/>
  <c r="U103" i="13"/>
  <c r="BO75" i="13"/>
  <c r="BQ419" i="13"/>
  <c r="U45" i="13"/>
  <c r="BJ71" i="13"/>
  <c r="G309" i="13"/>
  <c r="AS383" i="13"/>
  <c r="BH196" i="13"/>
  <c r="Q122" i="13"/>
  <c r="K448" i="13"/>
  <c r="AF134" i="13"/>
  <c r="BP365" i="13"/>
  <c r="AW343" i="13"/>
  <c r="H267" i="13"/>
  <c r="BG211" i="13"/>
  <c r="B353" i="13"/>
  <c r="AO326" i="13"/>
  <c r="V316" i="13"/>
  <c r="AX258" i="13"/>
  <c r="Q173" i="13"/>
  <c r="T364" i="13"/>
  <c r="BQ137" i="13"/>
  <c r="AZ282" i="13"/>
  <c r="BK450" i="13"/>
  <c r="AQ203" i="13"/>
  <c r="AW254" i="13"/>
  <c r="BE476" i="13"/>
  <c r="N387" i="13"/>
  <c r="BH444" i="13"/>
  <c r="I256" i="13"/>
  <c r="A488" i="13"/>
  <c r="BM152" i="13"/>
  <c r="O138" i="13"/>
  <c r="BH62" i="13"/>
  <c r="R462" i="13"/>
  <c r="AI193" i="13"/>
  <c r="X308" i="13"/>
  <c r="BT478" i="13"/>
  <c r="AX453" i="13"/>
  <c r="AN400" i="13"/>
  <c r="BR189" i="13"/>
  <c r="AT258" i="13"/>
  <c r="V483" i="13"/>
  <c r="BW466" i="13"/>
  <c r="AQ304" i="13"/>
  <c r="E261" i="13"/>
  <c r="BE481" i="13"/>
  <c r="AV228" i="13"/>
  <c r="BC367" i="13"/>
  <c r="AF121" i="13"/>
  <c r="U190" i="13"/>
  <c r="BJ444" i="13"/>
  <c r="BM77" i="13"/>
  <c r="U169" i="13"/>
  <c r="L194" i="13"/>
  <c r="AL477" i="13"/>
  <c r="AO143" i="13"/>
  <c r="BB361" i="13"/>
  <c r="BM395" i="13"/>
  <c r="AR282" i="13"/>
  <c r="O326" i="13"/>
  <c r="AA477" i="13"/>
  <c r="AV192" i="13"/>
  <c r="BI235" i="13"/>
  <c r="P411" i="13"/>
  <c r="AY228" i="13"/>
  <c r="K283" i="13"/>
  <c r="AW267" i="13"/>
  <c r="AF467" i="13"/>
  <c r="O377" i="13"/>
  <c r="AE477" i="13"/>
  <c r="Q131" i="13"/>
  <c r="L400" i="13"/>
  <c r="BR246" i="13"/>
  <c r="M308" i="13"/>
  <c r="AR423" i="13"/>
  <c r="AK385" i="13"/>
  <c r="BS407" i="13"/>
  <c r="W311" i="13"/>
  <c r="AJ365" i="13"/>
  <c r="BN365" i="13"/>
  <c r="BP164" i="13"/>
  <c r="I229" i="13"/>
  <c r="BA310" i="13"/>
  <c r="Q232" i="13"/>
  <c r="L353" i="13"/>
  <c r="AL444" i="13"/>
  <c r="H268" i="13"/>
  <c r="I155" i="13"/>
  <c r="BS484" i="13"/>
  <c r="BC264" i="13"/>
  <c r="BE121" i="13"/>
  <c r="BO371" i="13"/>
  <c r="H494" i="13"/>
  <c r="W500" i="13"/>
  <c r="AM425" i="13"/>
  <c r="AL493" i="13"/>
  <c r="AF302" i="13"/>
  <c r="AM466" i="13"/>
  <c r="E301" i="13"/>
  <c r="BD204" i="13"/>
  <c r="BI425" i="13"/>
  <c r="X252" i="13"/>
  <c r="AM479" i="13"/>
  <c r="E245" i="13"/>
  <c r="AI351" i="13"/>
  <c r="C180" i="13"/>
  <c r="AZ374" i="13"/>
  <c r="BN340" i="13"/>
  <c r="AE245" i="13"/>
  <c r="M10" i="13"/>
  <c r="AW412" i="13"/>
  <c r="AB255" i="13"/>
  <c r="AO175" i="13"/>
  <c r="BP186" i="13"/>
  <c r="BG191" i="13"/>
  <c r="R143" i="13"/>
  <c r="R429" i="13"/>
  <c r="P408" i="13"/>
  <c r="BP220" i="13"/>
  <c r="BH227" i="13"/>
  <c r="BD207" i="13"/>
  <c r="B134" i="13"/>
  <c r="F467" i="13"/>
  <c r="AM362" i="13"/>
  <c r="AO43" i="13"/>
  <c r="Y307" i="13"/>
  <c r="AE180" i="13"/>
  <c r="J173" i="13"/>
  <c r="BH253" i="13"/>
  <c r="AM498" i="13"/>
  <c r="S259" i="13"/>
  <c r="AN358" i="13"/>
  <c r="BN481" i="13"/>
  <c r="AF25" i="13"/>
  <c r="N348" i="13"/>
  <c r="BF117" i="13"/>
  <c r="BB16" i="13"/>
  <c r="W161" i="13"/>
  <c r="BD455" i="13"/>
  <c r="AX314" i="13"/>
  <c r="BJ314" i="13"/>
  <c r="BN393" i="13"/>
  <c r="H325" i="13"/>
  <c r="BH204" i="13"/>
  <c r="U456" i="13"/>
  <c r="AM106" i="13"/>
  <c r="S247" i="13"/>
  <c r="BJ128" i="13"/>
  <c r="AN436" i="13"/>
  <c r="O20" i="13"/>
  <c r="AX6" i="13"/>
  <c r="AH207" i="13"/>
  <c r="BR365" i="13"/>
  <c r="R122" i="13"/>
  <c r="V470" i="13"/>
  <c r="AL257" i="13"/>
  <c r="AW187" i="13"/>
  <c r="AC452" i="13"/>
  <c r="BG282" i="13"/>
  <c r="AQ469" i="13"/>
  <c r="BJ330" i="13"/>
  <c r="AC353" i="13"/>
  <c r="BP418" i="13"/>
  <c r="BO180" i="13"/>
  <c r="BN433" i="13"/>
  <c r="J241" i="13"/>
  <c r="AE453" i="13"/>
  <c r="AI392" i="13"/>
  <c r="L432" i="13"/>
  <c r="BK459" i="13"/>
  <c r="AY20" i="13"/>
  <c r="AG345" i="13"/>
  <c r="BM405" i="13"/>
  <c r="AT349" i="13"/>
  <c r="K364" i="13"/>
  <c r="L227" i="13"/>
  <c r="AN328" i="13"/>
  <c r="AO336" i="13"/>
  <c r="L474" i="13"/>
  <c r="AZ224" i="13"/>
  <c r="BG131" i="13"/>
  <c r="AM470" i="13"/>
  <c r="AS396" i="13"/>
  <c r="BC383" i="13"/>
  <c r="AF178" i="13"/>
  <c r="AQ385" i="13"/>
  <c r="BS232" i="13"/>
  <c r="T420" i="13"/>
  <c r="J403" i="13"/>
  <c r="BV369" i="13"/>
  <c r="F305" i="13"/>
  <c r="BT338" i="13"/>
  <c r="BL467" i="13"/>
  <c r="T303" i="13"/>
  <c r="W432" i="13"/>
  <c r="AL12" i="13"/>
  <c r="AG150" i="13"/>
  <c r="W330" i="13"/>
  <c r="AE441" i="13"/>
  <c r="BC492" i="13"/>
  <c r="BV267" i="13"/>
  <c r="AE229" i="13"/>
  <c r="AA208" i="13"/>
  <c r="BS311" i="13"/>
  <c r="AI266" i="13"/>
  <c r="BN488" i="13"/>
  <c r="BR489" i="13"/>
  <c r="BQ314" i="13"/>
  <c r="J365" i="13"/>
  <c r="AP337" i="13"/>
  <c r="AW427" i="13"/>
  <c r="AM373" i="13"/>
  <c r="BI220" i="13"/>
  <c r="BJ212" i="13"/>
  <c r="AF126" i="13"/>
  <c r="W153" i="13"/>
  <c r="AQ164" i="13"/>
  <c r="AY388" i="13"/>
  <c r="AE346" i="13"/>
  <c r="W173" i="13"/>
  <c r="E485" i="13"/>
  <c r="AO78" i="13"/>
  <c r="BG492" i="13"/>
  <c r="BG496" i="13"/>
  <c r="BB378" i="13"/>
  <c r="F462" i="13"/>
  <c r="BW438" i="13"/>
  <c r="Z218" i="13"/>
  <c r="AH378" i="13"/>
  <c r="AH171" i="13"/>
  <c r="AN399" i="13"/>
  <c r="AV355" i="13"/>
  <c r="W498" i="13"/>
  <c r="E169" i="13"/>
  <c r="AU484" i="13"/>
  <c r="V435" i="13"/>
  <c r="AN184" i="13"/>
  <c r="BJ356" i="13"/>
  <c r="BM354" i="13"/>
  <c r="U164" i="13"/>
  <c r="AT371" i="13"/>
  <c r="U384" i="13"/>
  <c r="T419" i="13"/>
  <c r="BC149" i="13"/>
  <c r="BK1" i="13"/>
  <c r="N386" i="13"/>
  <c r="F299" i="13"/>
  <c r="BR268" i="13"/>
  <c r="AA134" i="13"/>
  <c r="J31" i="13"/>
  <c r="F148" i="13"/>
  <c r="H331" i="13"/>
  <c r="BE459" i="13"/>
  <c r="BL323" i="13"/>
  <c r="BV481" i="13"/>
  <c r="A466" i="13"/>
  <c r="BR201" i="13"/>
  <c r="I162" i="13"/>
  <c r="BV469" i="13"/>
  <c r="P112" i="13"/>
  <c r="Z430" i="13"/>
  <c r="AD73" i="13"/>
  <c r="BF356" i="13"/>
  <c r="X250" i="13"/>
  <c r="AF250" i="13"/>
  <c r="AY325" i="13"/>
  <c r="BU365" i="13"/>
  <c r="AC463" i="13"/>
  <c r="I157" i="13"/>
  <c r="BT412" i="13"/>
  <c r="BA361" i="13"/>
  <c r="Y326" i="13"/>
  <c r="AN246" i="13"/>
  <c r="BR370" i="13"/>
  <c r="B69" i="13"/>
  <c r="BD126" i="13"/>
  <c r="L143" i="13"/>
  <c r="K129" i="13"/>
  <c r="BW224" i="13"/>
  <c r="A401" i="13"/>
  <c r="T379" i="13"/>
  <c r="BC373" i="13"/>
  <c r="BR258" i="13"/>
  <c r="BE274" i="13"/>
  <c r="B457" i="13"/>
  <c r="R170" i="13"/>
  <c r="I92" i="13"/>
  <c r="BC7" i="13"/>
  <c r="AD467" i="13"/>
  <c r="O287" i="13"/>
  <c r="BP257" i="13"/>
  <c r="BT310" i="13"/>
  <c r="AI64" i="13"/>
  <c r="AA314" i="13"/>
  <c r="BP366" i="13"/>
  <c r="C332" i="13"/>
  <c r="C430" i="13"/>
  <c r="BC424" i="13"/>
  <c r="AA166" i="13"/>
  <c r="S158" i="13"/>
  <c r="R20" i="13"/>
  <c r="BR223" i="13"/>
  <c r="L2" i="13"/>
  <c r="AH243" i="13"/>
  <c r="BU60" i="13"/>
  <c r="AB256" i="13"/>
  <c r="BE409" i="13"/>
  <c r="AP352" i="13"/>
  <c r="M194" i="13"/>
  <c r="G169" i="13"/>
  <c r="E366" i="13"/>
  <c r="BG54" i="13"/>
  <c r="AK119" i="13"/>
  <c r="O76" i="13"/>
  <c r="BC420" i="13"/>
  <c r="AE397" i="13"/>
  <c r="X372" i="13"/>
  <c r="BG482" i="13"/>
  <c r="E305" i="13"/>
  <c r="M106" i="13"/>
  <c r="G202" i="13"/>
  <c r="AZ233" i="13"/>
  <c r="AG250" i="13"/>
  <c r="AF453" i="13"/>
  <c r="BW95" i="13"/>
  <c r="BU243" i="13"/>
  <c r="M360" i="13"/>
  <c r="BJ278" i="13"/>
  <c r="AV73" i="13"/>
  <c r="BN130" i="13"/>
  <c r="AR129" i="13"/>
  <c r="AL203" i="13"/>
  <c r="AP351" i="13"/>
  <c r="AT336" i="13"/>
  <c r="BU291" i="13"/>
  <c r="BH433" i="13"/>
  <c r="B282" i="13"/>
  <c r="AH431" i="13"/>
  <c r="AD148" i="13"/>
  <c r="BG349" i="13"/>
  <c r="R331" i="13"/>
  <c r="AQ492" i="13"/>
  <c r="BC376" i="13"/>
  <c r="AT411" i="13"/>
  <c r="AV351" i="13"/>
  <c r="AN330" i="13"/>
  <c r="BU313" i="13"/>
  <c r="G27" i="13"/>
  <c r="L209" i="13"/>
  <c r="AY265" i="13"/>
  <c r="Y457" i="13"/>
  <c r="BQ138" i="13"/>
  <c r="BA148" i="13"/>
  <c r="AU398" i="13"/>
  <c r="Q257" i="13"/>
  <c r="AU288" i="13"/>
  <c r="BN78" i="13"/>
  <c r="E332" i="13"/>
  <c r="BV356" i="13"/>
  <c r="R281" i="13"/>
  <c r="BI431" i="13"/>
  <c r="L327" i="13"/>
  <c r="AC300" i="13"/>
  <c r="AW470" i="13"/>
  <c r="R275" i="13"/>
  <c r="O257" i="13"/>
  <c r="AP264" i="13"/>
  <c r="X217" i="13"/>
  <c r="AM8" i="13"/>
  <c r="AC239" i="13"/>
  <c r="BH462" i="13"/>
  <c r="BL158" i="13"/>
  <c r="D389" i="13"/>
  <c r="BV377" i="13"/>
  <c r="AR405" i="13"/>
  <c r="A371" i="13"/>
  <c r="BE376" i="13"/>
  <c r="AB125" i="13"/>
  <c r="AN361" i="13"/>
  <c r="AI474" i="13"/>
  <c r="C405" i="13"/>
  <c r="R400" i="13"/>
  <c r="AR485" i="13"/>
  <c r="BE358" i="13"/>
  <c r="AZ406" i="13"/>
  <c r="AX251" i="13"/>
  <c r="O469" i="13"/>
  <c r="AO101" i="13"/>
  <c r="BU245" i="13"/>
  <c r="AG167" i="13"/>
  <c r="AT262" i="13"/>
  <c r="R435" i="13"/>
  <c r="AL342" i="13"/>
  <c r="AO487" i="13"/>
  <c r="AQ450" i="13"/>
  <c r="BH335" i="13"/>
  <c r="AN481" i="13"/>
  <c r="E343" i="13"/>
  <c r="AT76" i="13"/>
  <c r="AL110" i="13"/>
  <c r="AA454" i="13"/>
  <c r="Y428" i="13"/>
  <c r="K376" i="13"/>
  <c r="BT407" i="13"/>
  <c r="AA391" i="13"/>
  <c r="AZ295" i="13"/>
  <c r="AI279" i="13"/>
  <c r="B130" i="13"/>
  <c r="W418" i="13"/>
  <c r="AL338" i="13"/>
  <c r="AY2" i="13"/>
  <c r="E453" i="13"/>
  <c r="AQ240" i="13"/>
  <c r="BA262" i="13"/>
  <c r="AZ200" i="13"/>
  <c r="AZ287" i="13"/>
  <c r="R398" i="13"/>
  <c r="AA476" i="13"/>
  <c r="F371" i="13"/>
  <c r="BR275" i="13"/>
  <c r="BQ450" i="13"/>
  <c r="M155" i="13"/>
  <c r="AR440" i="13"/>
  <c r="AE448" i="13"/>
  <c r="P418" i="13"/>
  <c r="AH69" i="13"/>
  <c r="AC436" i="13"/>
  <c r="AI228" i="13"/>
  <c r="AK103" i="13"/>
  <c r="BR103" i="13"/>
  <c r="AC254" i="13"/>
  <c r="B231" i="13"/>
  <c r="AB405" i="13"/>
  <c r="BG319" i="13"/>
  <c r="AA210" i="13"/>
  <c r="AV262" i="13"/>
  <c r="BW187" i="13"/>
  <c r="AZ460" i="13"/>
  <c r="B2" i="13"/>
  <c r="N403" i="13"/>
  <c r="AC501" i="13"/>
  <c r="BV495" i="13"/>
  <c r="AA244" i="13"/>
  <c r="BA399" i="13"/>
  <c r="C482" i="13"/>
  <c r="AF407" i="13"/>
  <c r="X183" i="13"/>
  <c r="AC401" i="13"/>
  <c r="AY282" i="13"/>
  <c r="AR161" i="13"/>
  <c r="BM265" i="13"/>
  <c r="BN57" i="13"/>
  <c r="AE220" i="13"/>
  <c r="N289" i="13"/>
  <c r="P486" i="13"/>
  <c r="C192" i="13"/>
  <c r="BB335" i="13"/>
  <c r="B226" i="13"/>
  <c r="BW246" i="13"/>
  <c r="BM214" i="13"/>
  <c r="AE391" i="13"/>
  <c r="D159" i="13"/>
  <c r="AV256" i="13"/>
  <c r="AX194" i="13"/>
  <c r="BD107" i="13"/>
  <c r="V450" i="13"/>
  <c r="AO482" i="13"/>
  <c r="AX103" i="13"/>
  <c r="O396" i="13"/>
  <c r="BW392" i="13"/>
  <c r="W411" i="13"/>
  <c r="G485" i="13"/>
  <c r="E283" i="13"/>
  <c r="R440" i="13"/>
  <c r="Z131" i="13"/>
  <c r="W274" i="13"/>
  <c r="P2" i="13"/>
  <c r="AB263" i="13"/>
  <c r="X337" i="13"/>
  <c r="AE215" i="13"/>
  <c r="AI88" i="13"/>
  <c r="AK345" i="13"/>
  <c r="T324" i="13"/>
  <c r="AV467" i="13"/>
  <c r="A264" i="13"/>
  <c r="BH374" i="13"/>
  <c r="L155" i="13"/>
  <c r="X493" i="13"/>
  <c r="BT158" i="13"/>
  <c r="H161" i="13"/>
  <c r="R5" i="13"/>
  <c r="S395" i="13"/>
  <c r="AP9" i="13"/>
  <c r="AW288" i="13"/>
  <c r="AG225" i="13"/>
  <c r="AP247" i="13"/>
  <c r="K84" i="13"/>
  <c r="BQ435" i="13"/>
  <c r="BP451" i="13"/>
  <c r="D463" i="13"/>
  <c r="Y66" i="13"/>
  <c r="F396" i="13"/>
  <c r="H234" i="13"/>
  <c r="Y159" i="13"/>
  <c r="BP154" i="13"/>
  <c r="AW210" i="13"/>
  <c r="BR163" i="13"/>
  <c r="AT113" i="13"/>
  <c r="BE271" i="13"/>
  <c r="BK13" i="13"/>
  <c r="BW418" i="13"/>
  <c r="AA427" i="13"/>
  <c r="BO341" i="13"/>
  <c r="AK390" i="13"/>
  <c r="B361" i="13"/>
  <c r="AT199" i="13"/>
  <c r="AT499" i="13"/>
  <c r="D435" i="13"/>
  <c r="W483" i="13"/>
  <c r="BA168" i="13"/>
  <c r="AP471" i="13"/>
  <c r="AO366" i="13"/>
  <c r="AU227" i="13"/>
  <c r="H480" i="13"/>
  <c r="Z151" i="13"/>
  <c r="Y228" i="13"/>
  <c r="B198" i="13"/>
  <c r="BB337" i="13"/>
  <c r="AS176" i="13"/>
  <c r="AT341" i="13"/>
  <c r="AG426" i="13"/>
  <c r="AT48" i="13"/>
  <c r="BU264" i="13"/>
  <c r="AM264" i="13"/>
  <c r="AF273" i="13"/>
  <c r="N379" i="13"/>
  <c r="L297" i="13"/>
  <c r="AC344" i="13"/>
  <c r="AY204" i="13"/>
  <c r="Y420" i="13"/>
  <c r="BR393" i="13"/>
  <c r="BL365" i="13"/>
  <c r="AM279" i="13"/>
  <c r="Q140" i="13"/>
  <c r="BF417" i="13"/>
  <c r="BJ403" i="13"/>
  <c r="BN310" i="13"/>
  <c r="AF181" i="13"/>
  <c r="AD219" i="13"/>
  <c r="K370" i="13"/>
  <c r="BG350" i="13"/>
  <c r="AX362" i="13"/>
  <c r="BA384" i="13"/>
  <c r="BS328" i="13"/>
  <c r="AC411" i="13"/>
  <c r="V495" i="13"/>
  <c r="AK155" i="13"/>
  <c r="R249" i="13"/>
  <c r="BA103" i="13"/>
  <c r="AM2" i="13"/>
  <c r="BR448" i="13"/>
  <c r="BW234" i="13"/>
  <c r="Z495" i="13"/>
  <c r="W403" i="13"/>
  <c r="AT233" i="13"/>
  <c r="AP369" i="13"/>
  <c r="T312" i="13"/>
  <c r="BD3" i="13"/>
  <c r="AE345" i="13"/>
  <c r="A293" i="13"/>
  <c r="AY440" i="13"/>
  <c r="M470" i="13"/>
  <c r="U366" i="13"/>
  <c r="BI281" i="13"/>
  <c r="AO107" i="13"/>
  <c r="D360" i="13"/>
  <c r="AL388" i="13"/>
  <c r="BO392" i="13"/>
  <c r="AK439" i="13"/>
  <c r="BU465" i="13"/>
  <c r="AR238" i="13"/>
  <c r="D158" i="13"/>
  <c r="BL96" i="13"/>
  <c r="J288" i="13"/>
  <c r="AR118" i="13"/>
  <c r="AL344" i="13"/>
  <c r="BV260" i="13"/>
  <c r="AE102" i="13"/>
  <c r="M478" i="13"/>
  <c r="BR1" i="13"/>
  <c r="BH28" i="13"/>
  <c r="BH458" i="13"/>
  <c r="AN279" i="13"/>
  <c r="L312" i="13"/>
  <c r="AQ274" i="13"/>
  <c r="AU247" i="13"/>
  <c r="BM229" i="13"/>
  <c r="BR339" i="13"/>
  <c r="B498" i="13"/>
  <c r="BQ275" i="13"/>
  <c r="BJ252" i="13"/>
  <c r="BU388" i="13"/>
  <c r="F468" i="13"/>
  <c r="BF297" i="13"/>
  <c r="E385" i="13"/>
  <c r="F217" i="13"/>
  <c r="P397" i="13"/>
  <c r="BG444" i="13"/>
  <c r="C478" i="13"/>
  <c r="Y484" i="13"/>
  <c r="AO171" i="13"/>
  <c r="AJ493" i="13"/>
  <c r="BJ464" i="13"/>
  <c r="AZ257" i="13"/>
  <c r="W414" i="13"/>
  <c r="P346" i="13"/>
  <c r="AJ109" i="13"/>
  <c r="BF382" i="13"/>
  <c r="A425" i="13"/>
  <c r="U363" i="13"/>
  <c r="B221" i="13"/>
  <c r="F247" i="13"/>
  <c r="BA115" i="13"/>
  <c r="AG125" i="13"/>
  <c r="AS246" i="13"/>
  <c r="K292" i="13"/>
  <c r="V194" i="13"/>
  <c r="W469" i="13"/>
  <c r="G177" i="13"/>
  <c r="BC388" i="13"/>
  <c r="H471" i="13"/>
  <c r="AH476" i="13"/>
  <c r="AZ163" i="13"/>
  <c r="R411" i="13"/>
  <c r="AQ374" i="13"/>
  <c r="BK426" i="13"/>
  <c r="Q382" i="13"/>
  <c r="B479" i="13"/>
  <c r="AC126" i="13"/>
  <c r="AO375" i="13"/>
  <c r="Q374" i="13"/>
  <c r="AN5" i="13"/>
  <c r="AJ395" i="13"/>
  <c r="BK464" i="13"/>
  <c r="AJ418" i="13"/>
  <c r="AU390" i="13"/>
  <c r="O359" i="13"/>
  <c r="AD331" i="13"/>
  <c r="BC311" i="13"/>
  <c r="AC437" i="13"/>
  <c r="G470" i="13"/>
  <c r="BH10" i="13"/>
  <c r="J169" i="13"/>
  <c r="AS320" i="13"/>
  <c r="AL294" i="13"/>
  <c r="AF211" i="13"/>
  <c r="L436" i="13"/>
  <c r="AF346" i="13"/>
  <c r="R496" i="13"/>
  <c r="AV15" i="13"/>
  <c r="AW496" i="13"/>
  <c r="S498" i="13"/>
  <c r="BQ229" i="13"/>
  <c r="U294" i="13"/>
  <c r="BB443" i="13"/>
  <c r="AF200" i="13"/>
  <c r="BL121" i="13"/>
  <c r="BO8" i="13"/>
  <c r="BP461" i="13"/>
  <c r="T132" i="13"/>
  <c r="BM296" i="13"/>
  <c r="BM117" i="13"/>
  <c r="BV472" i="13"/>
  <c r="U235" i="13"/>
  <c r="BR403" i="13"/>
  <c r="BH271" i="13"/>
  <c r="P180" i="13"/>
  <c r="Q306" i="13"/>
  <c r="AE419" i="13"/>
  <c r="Y121" i="13"/>
  <c r="H210" i="13"/>
  <c r="BU63" i="13"/>
  <c r="AD322" i="13"/>
  <c r="BN269" i="13"/>
  <c r="BM445" i="13"/>
  <c r="K306" i="13"/>
  <c r="Q65" i="13"/>
  <c r="AE457" i="13"/>
  <c r="C61" i="13"/>
  <c r="Q490" i="13"/>
  <c r="K1" i="13"/>
  <c r="AG211" i="13"/>
  <c r="BH115" i="13"/>
  <c r="BI131" i="13"/>
  <c r="P161" i="13"/>
  <c r="AX280" i="13"/>
  <c r="M382" i="13"/>
  <c r="AO457" i="13"/>
  <c r="T488" i="13"/>
  <c r="BN14" i="13"/>
  <c r="K115" i="13"/>
  <c r="S186" i="13"/>
  <c r="S199" i="13"/>
  <c r="AF85" i="13"/>
  <c r="BB349" i="13"/>
  <c r="AG284" i="13"/>
  <c r="AZ188" i="13"/>
  <c r="L365" i="13"/>
  <c r="AU357" i="13"/>
  <c r="AH266" i="13"/>
  <c r="AT328" i="13"/>
  <c r="L394" i="13"/>
  <c r="AF253" i="13"/>
  <c r="AA260" i="13"/>
  <c r="AF193" i="13"/>
  <c r="Q400" i="13"/>
  <c r="BN408" i="13"/>
  <c r="N260" i="13"/>
  <c r="M376" i="13"/>
  <c r="BI351" i="13"/>
  <c r="AO414" i="13"/>
  <c r="BD492" i="13"/>
  <c r="BH352" i="13"/>
  <c r="J389" i="13"/>
  <c r="K304" i="13"/>
  <c r="N258" i="13"/>
  <c r="BW305" i="13"/>
  <c r="AQ395" i="13"/>
  <c r="AN459" i="13"/>
  <c r="BP338" i="13"/>
  <c r="S14" i="13"/>
  <c r="AP357" i="13"/>
  <c r="BL265" i="13"/>
  <c r="BH422" i="13"/>
  <c r="P365" i="13"/>
  <c r="AF475" i="13"/>
  <c r="AU110" i="13"/>
  <c r="BG84" i="13"/>
  <c r="AC334" i="13"/>
  <c r="AH478" i="13"/>
  <c r="AS292" i="13"/>
  <c r="M342" i="13"/>
  <c r="BR100" i="13"/>
  <c r="AO282" i="13"/>
  <c r="BA407" i="13"/>
  <c r="H211" i="13"/>
  <c r="BN407" i="13"/>
  <c r="E390" i="13"/>
  <c r="AA37" i="13"/>
  <c r="BO464" i="13"/>
  <c r="N237" i="13"/>
  <c r="S324" i="13"/>
  <c r="BL484" i="13"/>
  <c r="BH164" i="13"/>
  <c r="BR333" i="13"/>
  <c r="BV238" i="13"/>
  <c r="E462" i="13"/>
  <c r="BR342" i="13"/>
  <c r="K378" i="13"/>
  <c r="Q375" i="13"/>
  <c r="AH129" i="13"/>
  <c r="AG165" i="13"/>
  <c r="AG444" i="13"/>
  <c r="A253" i="13"/>
  <c r="AT415" i="13"/>
  <c r="BI494" i="13"/>
  <c r="P55" i="13"/>
  <c r="BD18" i="13"/>
  <c r="BV473" i="13"/>
  <c r="BL85" i="13"/>
  <c r="BH323" i="13"/>
  <c r="BU186" i="13"/>
  <c r="Z260" i="13"/>
  <c r="AX288" i="13"/>
  <c r="BA91" i="13"/>
  <c r="AL346" i="13"/>
  <c r="BE289" i="13"/>
  <c r="AD151" i="13"/>
  <c r="Y210" i="13"/>
  <c r="AL437" i="13"/>
  <c r="BF157" i="13"/>
  <c r="T378" i="13"/>
  <c r="BV98" i="13"/>
  <c r="BM261" i="13"/>
  <c r="U181" i="13"/>
  <c r="AQ391" i="13"/>
  <c r="A246" i="13"/>
  <c r="H472" i="13"/>
  <c r="AI173" i="13"/>
  <c r="AS361" i="13"/>
  <c r="T147" i="13"/>
  <c r="BL434" i="13"/>
  <c r="AT428" i="13"/>
  <c r="BM411" i="13"/>
  <c r="H128" i="13"/>
  <c r="U203" i="13"/>
  <c r="AW428" i="13"/>
  <c r="AH208" i="13"/>
  <c r="BC2" i="13"/>
  <c r="G297" i="13"/>
  <c r="H404" i="13"/>
  <c r="AL248" i="13"/>
  <c r="M451" i="13"/>
  <c r="AG2" i="13"/>
  <c r="BV348" i="13"/>
  <c r="E464" i="13"/>
  <c r="BA110" i="13"/>
  <c r="T206" i="13"/>
  <c r="AU5" i="13"/>
  <c r="BW452" i="13"/>
  <c r="BP210" i="13"/>
  <c r="F453" i="13"/>
  <c r="I250" i="13"/>
  <c r="V442" i="13"/>
  <c r="N158" i="13"/>
  <c r="BS361" i="13"/>
  <c r="I498" i="13"/>
  <c r="AE462" i="13"/>
  <c r="BE307" i="13"/>
  <c r="BU155" i="13"/>
  <c r="AP363" i="13"/>
  <c r="V249" i="13"/>
  <c r="AZ179" i="13"/>
  <c r="BN94" i="13"/>
  <c r="BN119" i="13"/>
  <c r="G446" i="13"/>
  <c r="AQ452" i="13"/>
  <c r="BO301" i="13"/>
  <c r="BH448" i="13"/>
  <c r="BR113" i="13"/>
  <c r="BS293" i="13"/>
  <c r="K475" i="13"/>
  <c r="F111" i="13"/>
  <c r="Y312" i="13"/>
  <c r="BP160" i="13"/>
  <c r="P54" i="13"/>
  <c r="AV481" i="13"/>
  <c r="BE162" i="13"/>
  <c r="F262" i="13"/>
  <c r="N405" i="13"/>
  <c r="AG343" i="13"/>
  <c r="AK19" i="13"/>
  <c r="BH491" i="13"/>
  <c r="A440" i="13"/>
  <c r="BD252" i="13"/>
  <c r="Q272" i="13"/>
  <c r="AF277" i="13"/>
  <c r="BV372" i="13"/>
  <c r="AL236" i="13"/>
  <c r="V231" i="13"/>
  <c r="BV255" i="13"/>
  <c r="BE141" i="13"/>
  <c r="BP497" i="13"/>
  <c r="M213" i="13"/>
  <c r="K361" i="13"/>
  <c r="AL337" i="13"/>
  <c r="BN220" i="13"/>
  <c r="BU493" i="13"/>
  <c r="Z420" i="13"/>
  <c r="G441" i="13"/>
  <c r="BW190" i="13"/>
  <c r="H409" i="13"/>
  <c r="BN196" i="13"/>
  <c r="Y1" i="13"/>
  <c r="AY260" i="13"/>
  <c r="V313" i="13"/>
  <c r="AC369" i="13"/>
  <c r="AY304" i="13"/>
  <c r="W16" i="13"/>
  <c r="T291" i="13"/>
  <c r="BV191" i="13"/>
  <c r="BN330" i="13"/>
  <c r="BQ363" i="13"/>
  <c r="D70" i="13"/>
  <c r="P196" i="13"/>
  <c r="BE259" i="13"/>
  <c r="M72" i="13"/>
  <c r="BE457" i="13"/>
  <c r="L208" i="13"/>
  <c r="AI408" i="13"/>
  <c r="AI161" i="13"/>
  <c r="AY428" i="13"/>
  <c r="AH270" i="13"/>
  <c r="AG362" i="13"/>
  <c r="BJ331" i="13"/>
  <c r="Z404" i="13"/>
  <c r="AO426" i="13"/>
  <c r="BU460" i="13"/>
  <c r="O171" i="13"/>
  <c r="X39" i="13"/>
  <c r="AK215" i="13"/>
  <c r="U176" i="13"/>
  <c r="AH310" i="13"/>
  <c r="BU426" i="13"/>
  <c r="BN355" i="13"/>
  <c r="I397" i="13"/>
  <c r="BD176" i="13"/>
  <c r="BD106" i="13"/>
  <c r="BP254" i="13"/>
  <c r="O274" i="13"/>
  <c r="P406" i="13"/>
  <c r="BK420" i="13"/>
  <c r="BP279" i="13"/>
  <c r="R59" i="13"/>
  <c r="Q221" i="13"/>
  <c r="AD34" i="13"/>
  <c r="BQ340" i="13"/>
  <c r="U347" i="13"/>
  <c r="E107" i="13"/>
  <c r="M443" i="13"/>
  <c r="AL462" i="13"/>
  <c r="L39" i="13"/>
  <c r="V154" i="13"/>
  <c r="G345" i="13"/>
  <c r="BR351" i="13"/>
  <c r="Z223" i="13"/>
  <c r="AX497" i="13"/>
  <c r="J457" i="13"/>
  <c r="N305" i="13"/>
  <c r="AD53" i="13"/>
  <c r="BK331" i="13"/>
  <c r="BN250" i="13"/>
  <c r="L95" i="13"/>
  <c r="BD202" i="13"/>
  <c r="AK300" i="13"/>
  <c r="BJ27" i="13"/>
  <c r="AV386" i="13"/>
  <c r="AZ427" i="13"/>
  <c r="AZ299" i="13"/>
  <c r="J242" i="13"/>
  <c r="AW325" i="13"/>
  <c r="BT427" i="13"/>
  <c r="K399" i="13"/>
  <c r="W27" i="13"/>
  <c r="E350" i="13"/>
  <c r="BD228" i="13"/>
  <c r="B363" i="13"/>
  <c r="AV301" i="13"/>
  <c r="AH392" i="13"/>
  <c r="AR82" i="13"/>
  <c r="BQ260" i="13"/>
  <c r="AV420" i="13"/>
  <c r="W300" i="13"/>
  <c r="BI256" i="13"/>
  <c r="AA214" i="13"/>
  <c r="L429" i="13"/>
  <c r="BH101" i="13"/>
  <c r="BG77" i="13"/>
  <c r="BG295" i="13"/>
  <c r="P262" i="13"/>
  <c r="AP77" i="13"/>
  <c r="BQ475" i="13"/>
  <c r="U411" i="13"/>
  <c r="AD187" i="13"/>
  <c r="AA12" i="13"/>
  <c r="BE475" i="13"/>
  <c r="O295" i="13"/>
  <c r="BI207" i="13"/>
  <c r="D280" i="13"/>
  <c r="J393" i="13"/>
  <c r="B187" i="13"/>
  <c r="N198" i="13"/>
  <c r="AR264" i="13"/>
  <c r="BJ281" i="13"/>
  <c r="S500" i="13"/>
  <c r="AH110" i="13"/>
  <c r="AW480" i="13"/>
  <c r="AK231" i="13"/>
  <c r="P279" i="13"/>
  <c r="BL335" i="13"/>
  <c r="BO78" i="13"/>
  <c r="B271" i="13"/>
  <c r="A431" i="13"/>
  <c r="AU431" i="13"/>
  <c r="W46" i="13"/>
  <c r="AS304" i="13"/>
  <c r="AJ371" i="13"/>
  <c r="AS245" i="13"/>
  <c r="P381" i="13"/>
  <c r="R134" i="13"/>
  <c r="K145" i="13"/>
  <c r="AK114" i="13"/>
  <c r="AQ148" i="13"/>
  <c r="BU178" i="13"/>
  <c r="F14" i="13"/>
  <c r="V417" i="13"/>
  <c r="BF246" i="13"/>
  <c r="AS216" i="13"/>
  <c r="Y180" i="13"/>
  <c r="L285" i="13"/>
  <c r="AP415" i="13"/>
  <c r="Y117" i="13"/>
  <c r="AM293" i="13"/>
  <c r="AW251" i="13"/>
  <c r="BG405" i="13"/>
  <c r="AU492" i="13"/>
  <c r="T442" i="13"/>
  <c r="AJ78" i="13"/>
  <c r="BM494" i="13"/>
  <c r="BE326" i="13"/>
  <c r="AJ237" i="13"/>
  <c r="AV462" i="13"/>
  <c r="J351" i="13"/>
  <c r="F123" i="13"/>
  <c r="AL190" i="13"/>
  <c r="BL93" i="13"/>
  <c r="AI478" i="13"/>
  <c r="AE408" i="13"/>
  <c r="A139" i="13"/>
  <c r="AS201" i="13"/>
  <c r="BS109" i="13"/>
  <c r="AP198" i="13"/>
  <c r="BC130" i="13"/>
  <c r="AZ358" i="13"/>
  <c r="K116" i="13"/>
  <c r="F106" i="13"/>
  <c r="H415" i="13"/>
  <c r="BK412" i="13"/>
  <c r="AO407" i="13"/>
  <c r="G472" i="13"/>
  <c r="AK369" i="13"/>
  <c r="BQ326" i="13"/>
  <c r="BR64" i="13"/>
  <c r="AU406" i="13"/>
  <c r="BF331" i="13"/>
  <c r="AK318" i="13"/>
  <c r="I455" i="13"/>
  <c r="AK417" i="13"/>
  <c r="Z387" i="13"/>
  <c r="O372" i="13"/>
  <c r="BB406" i="13"/>
  <c r="AK468" i="13"/>
  <c r="BT426" i="13"/>
  <c r="B184" i="13"/>
  <c r="AN442" i="13"/>
  <c r="AK77" i="13"/>
  <c r="P362" i="13"/>
  <c r="X358" i="13"/>
  <c r="V212" i="13"/>
  <c r="AQ349" i="13"/>
  <c r="W413" i="13"/>
  <c r="X79" i="13"/>
  <c r="AZ220" i="13"/>
  <c r="BN313" i="13"/>
  <c r="BB317" i="13"/>
  <c r="BG458" i="13"/>
  <c r="W231" i="13"/>
  <c r="Y306" i="13"/>
  <c r="BL310" i="13"/>
  <c r="BS344" i="13"/>
  <c r="C498" i="13"/>
  <c r="BT200" i="13"/>
  <c r="BK260" i="13"/>
  <c r="C424" i="13"/>
  <c r="AG196" i="13"/>
  <c r="BH382" i="13"/>
  <c r="BL493" i="13"/>
  <c r="AB347" i="13"/>
  <c r="X335" i="13"/>
  <c r="W363" i="13"/>
  <c r="Z234" i="13"/>
  <c r="BH157" i="13"/>
  <c r="AN116" i="13"/>
  <c r="AW110" i="13"/>
  <c r="BL181" i="13"/>
  <c r="P467" i="13"/>
  <c r="S124" i="13"/>
  <c r="BF418" i="13"/>
  <c r="V200" i="13"/>
  <c r="BO456" i="13"/>
  <c r="AA221" i="13"/>
  <c r="BC116" i="13"/>
  <c r="L404" i="13"/>
  <c r="AP289" i="13"/>
  <c r="BB289" i="13"/>
  <c r="AX94" i="13"/>
  <c r="M436" i="13"/>
  <c r="AX487" i="13"/>
  <c r="BH37" i="13"/>
  <c r="BF348" i="13"/>
  <c r="O214" i="13"/>
  <c r="BT108" i="13"/>
  <c r="J349" i="13"/>
  <c r="T24" i="13"/>
  <c r="BM385" i="13"/>
  <c r="AD275" i="13"/>
  <c r="AP370" i="13"/>
  <c r="BJ451" i="13"/>
  <c r="BD318" i="13"/>
  <c r="W218" i="13"/>
  <c r="G335" i="13"/>
  <c r="BM483" i="13"/>
  <c r="AN478" i="13"/>
  <c r="AS5" i="13"/>
  <c r="AY365" i="13"/>
  <c r="Q485" i="13"/>
  <c r="BK200" i="13"/>
  <c r="J398" i="13"/>
  <c r="AG168" i="13"/>
  <c r="BW453" i="13"/>
  <c r="AU419" i="13"/>
  <c r="BP423" i="13"/>
  <c r="BF170" i="13"/>
  <c r="BW389" i="13"/>
  <c r="D481" i="13"/>
  <c r="BM178" i="13"/>
  <c r="I247" i="13"/>
  <c r="AU2" i="13"/>
  <c r="R301" i="13"/>
  <c r="W209" i="13"/>
  <c r="P6" i="13"/>
  <c r="AV152" i="13"/>
  <c r="AL497" i="13"/>
  <c r="K323" i="13"/>
  <c r="AL384" i="13"/>
  <c r="AZ270" i="13"/>
  <c r="BD159" i="13"/>
  <c r="AY80" i="13"/>
  <c r="P126" i="13"/>
  <c r="AC12" i="13"/>
  <c r="AZ465" i="13"/>
  <c r="X42" i="13"/>
  <c r="AX147" i="13"/>
  <c r="K452" i="13"/>
  <c r="AS93" i="13"/>
  <c r="V71" i="13"/>
  <c r="AO298" i="13"/>
  <c r="AU199" i="13"/>
  <c r="AC160" i="13"/>
  <c r="AK484" i="13"/>
  <c r="BP417" i="13"/>
  <c r="U270" i="13"/>
  <c r="AR342" i="13"/>
  <c r="A448" i="13"/>
  <c r="BU472" i="13"/>
  <c r="BW226" i="13"/>
  <c r="B368" i="13"/>
  <c r="M497" i="13"/>
  <c r="F224" i="13"/>
  <c r="AI120" i="13"/>
  <c r="BS267" i="13"/>
  <c r="BC416" i="13"/>
  <c r="J271" i="13"/>
  <c r="BL57" i="13"/>
  <c r="N432" i="13"/>
  <c r="BK279" i="13"/>
  <c r="V195" i="13"/>
  <c r="O308" i="13"/>
  <c r="E318" i="13"/>
  <c r="AV74" i="13"/>
  <c r="BQ366" i="13"/>
  <c r="AS386" i="13"/>
  <c r="AV288" i="13"/>
  <c r="AB121" i="13"/>
  <c r="BL52" i="13"/>
  <c r="N479" i="13"/>
  <c r="AY239" i="13"/>
  <c r="BT461" i="13"/>
  <c r="T223" i="13"/>
  <c r="M361" i="13"/>
  <c r="BE76" i="13"/>
  <c r="L447" i="13"/>
  <c r="BJ41" i="13"/>
  <c r="AJ220" i="13"/>
  <c r="X216" i="13"/>
  <c r="Z222" i="13"/>
  <c r="BQ410" i="13"/>
  <c r="N292" i="13"/>
  <c r="D426" i="13"/>
  <c r="AO292" i="13"/>
  <c r="BU74" i="13"/>
  <c r="AG178" i="13"/>
  <c r="Z389" i="13"/>
  <c r="AR493" i="13"/>
  <c r="BF485" i="13"/>
  <c r="G183" i="13"/>
  <c r="BQ469" i="13"/>
  <c r="BB348" i="13"/>
  <c r="BF153" i="13"/>
  <c r="T36" i="13"/>
  <c r="BE233" i="13"/>
  <c r="AU4" i="13"/>
  <c r="AT267" i="13"/>
  <c r="AN390" i="13"/>
  <c r="N188" i="13"/>
  <c r="BP412" i="13"/>
  <c r="AH399" i="13"/>
  <c r="AB204" i="13"/>
  <c r="AI337" i="13"/>
  <c r="B223" i="13"/>
  <c r="AP228" i="13"/>
  <c r="AX340" i="13"/>
  <c r="AQ375" i="13"/>
  <c r="AC426" i="13"/>
  <c r="AL104" i="13"/>
  <c r="AZ317" i="13"/>
  <c r="BB182" i="13"/>
  <c r="AK2" i="13"/>
  <c r="N354" i="13"/>
  <c r="AJ432" i="13"/>
  <c r="J332" i="13"/>
  <c r="BR419" i="13"/>
  <c r="AW350" i="13"/>
  <c r="AM194" i="13"/>
  <c r="P10" i="13"/>
  <c r="BE485" i="13"/>
  <c r="BL107" i="13"/>
  <c r="AR335" i="13"/>
  <c r="X220" i="13"/>
  <c r="BM334" i="13"/>
  <c r="BJ286" i="13"/>
  <c r="T394" i="13"/>
  <c r="AL459" i="13"/>
  <c r="AL143" i="13"/>
  <c r="C438" i="13"/>
  <c r="AP291" i="13"/>
  <c r="H47" i="13"/>
  <c r="AH499" i="13"/>
  <c r="AF471" i="13"/>
  <c r="BF87" i="13"/>
  <c r="D112" i="13"/>
  <c r="E378" i="13"/>
  <c r="BU373" i="13"/>
  <c r="V436" i="13"/>
  <c r="G10" i="13"/>
  <c r="AG357" i="13"/>
  <c r="BC474" i="13"/>
  <c r="BB334" i="13"/>
  <c r="L484" i="13"/>
  <c r="D288" i="13"/>
  <c r="X164" i="13"/>
  <c r="BJ178" i="13"/>
  <c r="AU466" i="13"/>
  <c r="AG486" i="13"/>
  <c r="F221" i="13"/>
  <c r="E364" i="13"/>
  <c r="BS288" i="13"/>
  <c r="T254" i="13"/>
  <c r="BL397" i="13"/>
  <c r="U470" i="13"/>
  <c r="G281" i="13"/>
  <c r="AW184" i="13"/>
  <c r="AO355" i="13"/>
  <c r="BA498" i="13"/>
  <c r="BI274" i="13"/>
  <c r="AA418" i="13"/>
  <c r="N281" i="13"/>
  <c r="BT388" i="13"/>
  <c r="BJ313" i="13"/>
  <c r="B308" i="13"/>
  <c r="H440" i="13"/>
  <c r="AE368" i="13"/>
  <c r="AE12" i="13"/>
  <c r="D311" i="13"/>
  <c r="S404" i="13"/>
  <c r="AR386" i="13"/>
  <c r="I169" i="13"/>
  <c r="M460" i="13"/>
  <c r="A286" i="13"/>
  <c r="AJ289" i="13"/>
  <c r="L77" i="13"/>
  <c r="AM258" i="13"/>
  <c r="BC408" i="13"/>
  <c r="BV382" i="13"/>
  <c r="AM449" i="13"/>
  <c r="BM317" i="13"/>
  <c r="AN206" i="13"/>
  <c r="AV383" i="13"/>
  <c r="P500" i="13"/>
  <c r="AW424" i="13"/>
  <c r="BD317" i="13"/>
  <c r="C17" i="13"/>
  <c r="S93" i="13"/>
  <c r="H12" i="13"/>
  <c r="O371" i="13"/>
  <c r="BG273" i="13"/>
  <c r="BN218" i="13"/>
  <c r="BS324" i="13"/>
  <c r="BA398" i="13"/>
  <c r="AL16" i="13"/>
  <c r="W108" i="13"/>
  <c r="AQ243" i="13"/>
  <c r="I278" i="13"/>
  <c r="M76" i="13"/>
  <c r="AR319" i="13"/>
  <c r="BE482" i="13"/>
  <c r="BQ46" i="13"/>
  <c r="M426" i="13"/>
  <c r="BJ416" i="13"/>
  <c r="AP177" i="13"/>
  <c r="F493" i="13"/>
  <c r="L494" i="13"/>
  <c r="AU6" i="13"/>
  <c r="AY389" i="13"/>
  <c r="Q425" i="13"/>
  <c r="C444" i="13"/>
  <c r="L463" i="13"/>
  <c r="BE243" i="13"/>
  <c r="AL188" i="13"/>
  <c r="BA63" i="13"/>
  <c r="AX477" i="13"/>
  <c r="AW332" i="13"/>
  <c r="Y5" i="13"/>
  <c r="AO176" i="13"/>
  <c r="BW476" i="13"/>
  <c r="X332" i="13"/>
  <c r="AI321" i="13"/>
  <c r="BK373" i="13"/>
  <c r="O187" i="13"/>
  <c r="M293" i="13"/>
  <c r="BT347" i="13"/>
  <c r="BG481" i="13"/>
  <c r="AC453" i="13"/>
  <c r="AS242" i="13"/>
  <c r="BV493" i="13"/>
  <c r="BV253" i="13"/>
  <c r="BI5" i="13"/>
  <c r="G354" i="13"/>
  <c r="BE367" i="13"/>
  <c r="J5" i="13"/>
  <c r="AA347" i="13"/>
  <c r="AU369" i="13"/>
  <c r="AW393" i="13"/>
  <c r="AX391" i="13"/>
  <c r="H366" i="13"/>
  <c r="BJ426" i="13"/>
  <c r="X237" i="13"/>
  <c r="BH252" i="13"/>
  <c r="AV211" i="13"/>
  <c r="AJ254" i="13"/>
  <c r="AL278" i="13"/>
  <c r="L114" i="13"/>
  <c r="BB293" i="13"/>
  <c r="P302" i="13"/>
  <c r="BO449" i="13"/>
  <c r="BL465" i="13"/>
  <c r="BG203" i="13"/>
  <c r="B362" i="13"/>
  <c r="BG433" i="13"/>
  <c r="AZ469" i="13"/>
  <c r="BK93" i="13"/>
  <c r="L486" i="13"/>
  <c r="C316" i="13"/>
  <c r="M442" i="13"/>
  <c r="Y423" i="13"/>
  <c r="AC465" i="13"/>
  <c r="BJ364" i="13"/>
  <c r="T237" i="13"/>
  <c r="BN435" i="13"/>
  <c r="I97" i="13"/>
  <c r="AE333" i="13"/>
  <c r="BW124" i="13"/>
  <c r="T443" i="13"/>
  <c r="D304" i="13"/>
  <c r="AZ32" i="13"/>
  <c r="BQ108" i="13"/>
  <c r="S388" i="13"/>
  <c r="BB424" i="13"/>
  <c r="BL87" i="13"/>
  <c r="K425" i="13"/>
  <c r="Z225" i="13"/>
  <c r="Y417" i="13"/>
  <c r="C47" i="13"/>
  <c r="BS36" i="13"/>
  <c r="BG303" i="13"/>
  <c r="N78" i="13"/>
  <c r="I487" i="13"/>
  <c r="J353" i="13"/>
  <c r="AF164" i="13"/>
  <c r="AM59" i="13"/>
  <c r="BC284" i="13"/>
  <c r="BJ318" i="13"/>
  <c r="AO384" i="13"/>
  <c r="AE450" i="13"/>
  <c r="H498" i="13"/>
  <c r="H330" i="13"/>
  <c r="AL424" i="13"/>
  <c r="AB332" i="13"/>
  <c r="AJ405" i="13"/>
  <c r="BJ332" i="13"/>
  <c r="BA10" i="13"/>
  <c r="BH416" i="13"/>
  <c r="BV343" i="13"/>
  <c r="Q268" i="13"/>
  <c r="BP408" i="13"/>
  <c r="BG107" i="13"/>
  <c r="BD320" i="13"/>
  <c r="AP436" i="13"/>
  <c r="AL340" i="13"/>
  <c r="AD2" i="13"/>
  <c r="BP190" i="13"/>
  <c r="P476" i="13"/>
  <c r="H203" i="13"/>
  <c r="AT324" i="13"/>
  <c r="AL343" i="13"/>
  <c r="AR454" i="13"/>
  <c r="V297" i="13"/>
  <c r="AY181" i="13"/>
  <c r="Q498" i="13"/>
  <c r="BN95" i="13"/>
  <c r="BQ432" i="13"/>
  <c r="BG80" i="13"/>
  <c r="Q383" i="13"/>
  <c r="S361" i="13"/>
  <c r="H228" i="13"/>
  <c r="T353" i="13"/>
  <c r="AE214" i="13"/>
  <c r="D444" i="13"/>
  <c r="AB300" i="13"/>
  <c r="AF284" i="13"/>
  <c r="N461" i="13"/>
  <c r="J186" i="13"/>
  <c r="BI331" i="13"/>
  <c r="BO461" i="13"/>
  <c r="AB416" i="13"/>
  <c r="AH104" i="13"/>
  <c r="BQ457" i="13"/>
  <c r="AU282" i="13"/>
  <c r="V120" i="13"/>
  <c r="BN480" i="13"/>
  <c r="M127" i="13"/>
  <c r="AN284" i="13"/>
  <c r="AB207" i="13"/>
  <c r="AK429" i="13"/>
  <c r="BM170" i="13"/>
  <c r="BR215" i="13"/>
  <c r="AJ480" i="13"/>
  <c r="Z500" i="13"/>
  <c r="AY431" i="13"/>
  <c r="BF489" i="13"/>
  <c r="AS244" i="13"/>
  <c r="BN1" i="13"/>
  <c r="I398" i="13"/>
  <c r="AC203" i="13"/>
  <c r="S281" i="13"/>
  <c r="BT358" i="13"/>
  <c r="AZ339" i="13"/>
  <c r="BO435" i="13"/>
  <c r="O302" i="13"/>
  <c r="Q325" i="13"/>
  <c r="AR491" i="13"/>
  <c r="AV352" i="13"/>
  <c r="BV443" i="13"/>
  <c r="BD209" i="13"/>
  <c r="BM119" i="13"/>
  <c r="M344" i="13"/>
  <c r="AS349" i="13"/>
  <c r="AC27" i="13"/>
  <c r="I374" i="13"/>
  <c r="E359" i="13"/>
  <c r="BJ480" i="13"/>
  <c r="G346" i="13"/>
  <c r="K431" i="13"/>
  <c r="E467" i="13"/>
  <c r="BA379" i="13"/>
  <c r="E138" i="13"/>
  <c r="AT118" i="13"/>
  <c r="BQ292" i="13"/>
  <c r="R287" i="13"/>
  <c r="G275" i="13"/>
  <c r="M225" i="13"/>
  <c r="AO304" i="13"/>
  <c r="AK10" i="13"/>
  <c r="BQ272" i="13"/>
  <c r="M395" i="13"/>
  <c r="P148" i="13"/>
  <c r="AV218" i="13"/>
  <c r="B201" i="13"/>
  <c r="AR402" i="13"/>
  <c r="AW260" i="13"/>
  <c r="BC141" i="13"/>
  <c r="AO238" i="13"/>
  <c r="BB452" i="13"/>
  <c r="BG176" i="13"/>
  <c r="K480" i="13"/>
  <c r="U177" i="13"/>
  <c r="N451" i="13"/>
  <c r="AV246" i="13"/>
  <c r="E147" i="13"/>
  <c r="AV252" i="13"/>
  <c r="BE413" i="13"/>
  <c r="AK361" i="13"/>
  <c r="BS30" i="13"/>
  <c r="AY323" i="13"/>
  <c r="BR313" i="13"/>
  <c r="Y182" i="13"/>
  <c r="I343" i="13"/>
  <c r="BQ398" i="13"/>
  <c r="BW68" i="13"/>
  <c r="A178" i="13"/>
  <c r="C221" i="13"/>
  <c r="AV214" i="13"/>
  <c r="AW83" i="13"/>
  <c r="AJ161" i="13"/>
  <c r="AV496" i="13"/>
  <c r="G271" i="13"/>
  <c r="T501" i="13"/>
  <c r="N362" i="13"/>
  <c r="BG68" i="13"/>
  <c r="AW72" i="13"/>
  <c r="B275" i="13"/>
  <c r="AI497" i="13"/>
  <c r="BP117" i="13"/>
  <c r="H139" i="13"/>
  <c r="AU416" i="13"/>
  <c r="X28" i="13"/>
  <c r="BV355" i="13"/>
  <c r="BR321" i="13"/>
  <c r="AU346" i="13"/>
  <c r="BD469" i="13"/>
  <c r="BP294" i="13"/>
  <c r="BM300" i="13"/>
  <c r="I489" i="13"/>
  <c r="G240" i="13"/>
  <c r="BI233" i="13"/>
  <c r="AX151" i="13"/>
  <c r="BS337" i="13"/>
  <c r="AM134" i="13"/>
  <c r="AP442" i="13"/>
  <c r="AM189" i="13"/>
  <c r="BU304" i="13"/>
  <c r="BT316" i="13"/>
  <c r="BI438" i="13"/>
  <c r="BH302" i="13"/>
  <c r="BV11" i="13"/>
  <c r="BK499" i="13"/>
  <c r="AS211" i="13"/>
  <c r="BV149" i="13"/>
  <c r="BE411" i="13"/>
  <c r="BU232" i="13"/>
  <c r="I5" i="13"/>
  <c r="BM486" i="13"/>
  <c r="BW300" i="13"/>
  <c r="AG151" i="13"/>
  <c r="BP406" i="13"/>
  <c r="Z120" i="13"/>
  <c r="BT238" i="13"/>
  <c r="E185" i="13"/>
  <c r="BW279" i="13"/>
  <c r="AY406" i="13"/>
  <c r="BR219" i="13"/>
  <c r="U325" i="13"/>
  <c r="O72" i="13"/>
  <c r="Q372" i="13"/>
  <c r="AI451" i="13"/>
  <c r="BN464" i="13"/>
  <c r="N178" i="13"/>
  <c r="V360" i="13"/>
  <c r="L102" i="13"/>
  <c r="BM455" i="13"/>
  <c r="BC277" i="13"/>
  <c r="BL14" i="13"/>
  <c r="BB11" i="13"/>
  <c r="M165" i="13"/>
  <c r="W177" i="13"/>
  <c r="AO438" i="13"/>
  <c r="AD482" i="13"/>
  <c r="W378" i="13"/>
  <c r="AC270" i="13"/>
  <c r="W291" i="13"/>
  <c r="AM304" i="13"/>
  <c r="Y264" i="13"/>
  <c r="N401" i="13"/>
  <c r="P430" i="13"/>
  <c r="AO227" i="13"/>
  <c r="AZ154" i="13"/>
  <c r="BD342" i="13"/>
  <c r="BB235" i="13"/>
  <c r="AN212" i="13"/>
  <c r="O312" i="13"/>
  <c r="G359" i="13"/>
  <c r="T59" i="13"/>
  <c r="BG463" i="13"/>
  <c r="AG481" i="13"/>
  <c r="BG368" i="13"/>
  <c r="AD211" i="13"/>
  <c r="BK185" i="13"/>
  <c r="BL356" i="13"/>
  <c r="L111" i="13"/>
  <c r="AN412" i="13"/>
  <c r="AJ416" i="13"/>
  <c r="BI304" i="13"/>
  <c r="BP24" i="13"/>
  <c r="B306" i="13"/>
  <c r="M7" i="13"/>
  <c r="D167" i="13"/>
  <c r="BN391" i="13"/>
  <c r="AD179" i="13"/>
  <c r="BK17" i="13"/>
  <c r="L382" i="13"/>
  <c r="BI159" i="13"/>
  <c r="I35" i="13"/>
  <c r="C276" i="13"/>
  <c r="AG55" i="13"/>
  <c r="AB308" i="13"/>
  <c r="BL464" i="13"/>
  <c r="BU284" i="13"/>
  <c r="AD432" i="13"/>
  <c r="BH2" i="13"/>
  <c r="R447" i="13"/>
  <c r="L430" i="13"/>
  <c r="N489" i="13"/>
  <c r="BT381" i="13"/>
  <c r="BF12" i="13"/>
  <c r="AJ456" i="13"/>
  <c r="M456" i="13"/>
  <c r="BP222" i="13"/>
  <c r="I372" i="13"/>
  <c r="BP400" i="13"/>
  <c r="AK303" i="13"/>
  <c r="M79" i="13"/>
  <c r="BH498" i="13"/>
  <c r="BP90" i="13"/>
  <c r="A214" i="13"/>
  <c r="AE225" i="13"/>
  <c r="AL479" i="13"/>
  <c r="BI120" i="13"/>
  <c r="AE369" i="13"/>
  <c r="AL382" i="13"/>
  <c r="AQ358" i="13"/>
  <c r="BV5" i="13"/>
  <c r="BV500" i="13"/>
  <c r="AG298" i="13"/>
  <c r="L8" i="13"/>
  <c r="AN339" i="13"/>
  <c r="U358" i="13"/>
  <c r="W143" i="13"/>
  <c r="L324" i="13"/>
  <c r="BW180" i="13"/>
  <c r="AY76" i="13"/>
  <c r="BC145" i="13"/>
  <c r="BF392" i="13"/>
  <c r="BK276" i="13"/>
  <c r="AZ445" i="13"/>
  <c r="AC55" i="13"/>
  <c r="T215" i="13"/>
  <c r="I458" i="13"/>
  <c r="BH85" i="13"/>
  <c r="I446" i="13"/>
  <c r="BW268" i="13"/>
  <c r="V321" i="13"/>
  <c r="AI384" i="13"/>
  <c r="AM313" i="13"/>
  <c r="AS162" i="13"/>
  <c r="N169" i="13"/>
  <c r="S292" i="13"/>
  <c r="BS263" i="13"/>
  <c r="V359" i="13"/>
  <c r="A450" i="13"/>
  <c r="BL187" i="13"/>
  <c r="BT72" i="13"/>
  <c r="L3" i="13"/>
  <c r="M208" i="13"/>
  <c r="AX481" i="13"/>
  <c r="BL333" i="13"/>
  <c r="AC499" i="13"/>
  <c r="BB493" i="13"/>
  <c r="BA231" i="13"/>
  <c r="BW230" i="13"/>
  <c r="BR314" i="13"/>
  <c r="BI189" i="13"/>
  <c r="AS359" i="13"/>
  <c r="AC457" i="13"/>
  <c r="AB370" i="13"/>
  <c r="AL368" i="13"/>
  <c r="BM103" i="13"/>
  <c r="AC366" i="13"/>
  <c r="BT77" i="13"/>
  <c r="C301" i="13"/>
  <c r="BW444" i="13"/>
  <c r="BI420" i="13"/>
  <c r="L342" i="13"/>
  <c r="BC351" i="13"/>
  <c r="AR190" i="13"/>
  <c r="L443" i="13"/>
  <c r="AF462" i="13"/>
  <c r="BD423" i="13"/>
  <c r="AX266" i="13"/>
  <c r="BD184" i="13"/>
  <c r="U441" i="13"/>
  <c r="L26" i="13"/>
  <c r="BJ135" i="13"/>
  <c r="BR352" i="13"/>
  <c r="AQ168" i="13"/>
  <c r="BV317" i="13"/>
  <c r="AX229" i="13"/>
  <c r="AV178" i="13"/>
  <c r="BU451" i="13"/>
  <c r="K315" i="13"/>
  <c r="AB423" i="13"/>
  <c r="AU168" i="13"/>
  <c r="AP385" i="13"/>
  <c r="AS314" i="13"/>
  <c r="S169" i="13"/>
  <c r="AD194" i="13"/>
  <c r="AX342" i="13"/>
  <c r="BA203" i="13"/>
  <c r="Q240" i="13"/>
  <c r="AC30" i="13"/>
  <c r="AX9" i="13"/>
  <c r="AB152" i="13"/>
  <c r="P275" i="13"/>
  <c r="W125" i="13"/>
  <c r="A138" i="13"/>
  <c r="BL435" i="13"/>
  <c r="AC278" i="13"/>
  <c r="BM383" i="13"/>
  <c r="V324" i="13"/>
  <c r="BP455" i="13"/>
  <c r="AJ150" i="13"/>
  <c r="BM345" i="13"/>
  <c r="BL353" i="13"/>
  <c r="BA309" i="13"/>
  <c r="AW212" i="13"/>
  <c r="R197" i="13"/>
  <c r="E215" i="13"/>
  <c r="BG98" i="13"/>
  <c r="AE418" i="13"/>
  <c r="BQ368" i="13"/>
  <c r="P19" i="13"/>
  <c r="BB325" i="13"/>
  <c r="BA485" i="13"/>
  <c r="BI225" i="13"/>
  <c r="O19" i="13"/>
  <c r="AF409" i="13"/>
  <c r="H37" i="13"/>
  <c r="AG265" i="13"/>
  <c r="R285" i="13"/>
  <c r="AO190" i="13"/>
  <c r="AY180" i="13"/>
  <c r="K329" i="13"/>
  <c r="H260" i="13"/>
  <c r="AC442" i="13"/>
  <c r="AU501" i="13"/>
  <c r="AM325" i="13"/>
  <c r="S477" i="13"/>
  <c r="BF411" i="13"/>
  <c r="BS252" i="13"/>
  <c r="C496" i="13"/>
  <c r="B14" i="13"/>
  <c r="N141" i="13"/>
  <c r="BK164" i="13"/>
  <c r="BD461" i="13"/>
  <c r="T176" i="13"/>
  <c r="Q292" i="13"/>
  <c r="AK340" i="13"/>
  <c r="AI179" i="13"/>
  <c r="AU84" i="13"/>
  <c r="AR110" i="13"/>
  <c r="BT226" i="13"/>
  <c r="V385" i="13"/>
  <c r="AB369" i="13"/>
  <c r="B240" i="13"/>
  <c r="V312" i="13"/>
  <c r="BS476" i="13"/>
  <c r="AN189" i="13"/>
  <c r="BN49" i="13"/>
  <c r="E374" i="13"/>
  <c r="AQ153" i="13"/>
  <c r="BP207" i="13"/>
  <c r="AQ130" i="13"/>
  <c r="BO268" i="13"/>
  <c r="BK488" i="13"/>
  <c r="AX445" i="13"/>
  <c r="W277" i="13"/>
  <c r="AL376" i="13"/>
  <c r="AF425" i="13"/>
  <c r="AV453" i="13"/>
  <c r="BU77" i="13"/>
  <c r="BO426" i="13"/>
  <c r="BT385" i="13"/>
  <c r="E250" i="13"/>
  <c r="S333" i="13"/>
  <c r="BH250" i="13"/>
  <c r="BR109" i="13"/>
  <c r="BL379" i="13"/>
  <c r="C361" i="13"/>
  <c r="W355" i="13"/>
  <c r="BD291" i="13"/>
  <c r="P382" i="13"/>
  <c r="S277" i="13"/>
  <c r="BU3" i="13"/>
  <c r="AD267" i="13"/>
  <c r="S466" i="13"/>
  <c r="BM309" i="13"/>
  <c r="BN223" i="13"/>
  <c r="AL446" i="13"/>
  <c r="S445" i="13"/>
  <c r="P107" i="13"/>
  <c r="C2" i="13"/>
  <c r="AW92" i="13"/>
  <c r="AT30" i="13"/>
  <c r="BJ359" i="13"/>
  <c r="AD278" i="13"/>
  <c r="L150" i="13"/>
  <c r="S347" i="13"/>
  <c r="BJ263" i="13"/>
  <c r="AE412" i="13"/>
  <c r="BL123" i="13"/>
  <c r="AU494" i="13"/>
  <c r="BS314" i="13"/>
  <c r="K400" i="13"/>
  <c r="AK409" i="13"/>
  <c r="AD500" i="13"/>
  <c r="AM440" i="13"/>
  <c r="V1" i="13"/>
  <c r="BI459" i="13"/>
  <c r="BH331" i="13"/>
  <c r="BL219" i="13"/>
  <c r="BD418" i="13"/>
  <c r="AH242" i="13"/>
  <c r="D349" i="13"/>
  <c r="J202" i="13"/>
  <c r="Z460" i="13"/>
  <c r="P37" i="13"/>
  <c r="AF209" i="13"/>
  <c r="P248" i="13"/>
  <c r="AN194" i="13"/>
  <c r="AR351" i="13"/>
  <c r="AA80" i="13"/>
  <c r="K109" i="13"/>
  <c r="AW317" i="13"/>
  <c r="AR27" i="13"/>
  <c r="BC450" i="13"/>
  <c r="Y82" i="13"/>
  <c r="AG157" i="13"/>
  <c r="AA404" i="13"/>
  <c r="BA332" i="13"/>
  <c r="AB493" i="13"/>
  <c r="AK142" i="13"/>
  <c r="R99" i="13"/>
  <c r="BR343" i="13"/>
  <c r="AA75" i="13"/>
  <c r="AX292" i="13"/>
  <c r="BP371" i="13"/>
  <c r="R206" i="13"/>
  <c r="BO201" i="13"/>
  <c r="AT370" i="13"/>
  <c r="BK235" i="13"/>
  <c r="BW191" i="13"/>
  <c r="BP113" i="13"/>
  <c r="AE332" i="13"/>
  <c r="C267" i="13"/>
  <c r="AC346" i="13"/>
  <c r="BP289" i="13"/>
  <c r="K458" i="13"/>
  <c r="AK407" i="13"/>
  <c r="BU300" i="13"/>
  <c r="BV309" i="13"/>
  <c r="BL402" i="13"/>
  <c r="AA198" i="13"/>
  <c r="L427" i="13"/>
  <c r="P336" i="13"/>
  <c r="T172" i="13"/>
  <c r="AW5" i="13"/>
  <c r="AJ47" i="13"/>
  <c r="Q154" i="13"/>
  <c r="L199" i="13"/>
  <c r="P399" i="13"/>
  <c r="AF249" i="13"/>
  <c r="BO280" i="13"/>
  <c r="AJ142" i="13"/>
  <c r="AM18" i="13"/>
  <c r="P311" i="13"/>
  <c r="BT400" i="13"/>
  <c r="AH444" i="13"/>
  <c r="K280" i="13"/>
  <c r="AF112" i="13"/>
  <c r="BG213" i="13"/>
  <c r="BP407" i="13"/>
  <c r="G440" i="13"/>
  <c r="K330" i="13"/>
  <c r="AX207" i="13"/>
  <c r="N218" i="13"/>
  <c r="BR463" i="13"/>
  <c r="N317" i="13"/>
  <c r="Q497" i="13"/>
  <c r="AH1" i="13"/>
  <c r="Q344" i="13"/>
  <c r="BN500" i="13"/>
  <c r="N163" i="13"/>
  <c r="AG279" i="13"/>
  <c r="H158" i="13"/>
  <c r="AN24" i="13"/>
  <c r="AU441" i="13"/>
  <c r="BR455" i="13"/>
  <c r="B497" i="13"/>
  <c r="BI244" i="13"/>
  <c r="AZ142" i="13"/>
  <c r="BA351" i="13"/>
  <c r="BK413" i="13"/>
  <c r="AZ324" i="13"/>
  <c r="E204" i="13"/>
  <c r="AA392" i="13"/>
  <c r="B446" i="13"/>
  <c r="AO494" i="13"/>
  <c r="B327" i="13"/>
  <c r="BF377" i="13"/>
  <c r="BB242" i="13"/>
  <c r="AQ204" i="13"/>
  <c r="BQ29" i="13"/>
  <c r="AL141" i="13"/>
  <c r="R101" i="13"/>
  <c r="C189" i="13"/>
  <c r="AS27" i="13"/>
  <c r="W164" i="13"/>
  <c r="BB274" i="13"/>
  <c r="AG457" i="13"/>
  <c r="AR148" i="13"/>
  <c r="BD162" i="13"/>
  <c r="G489" i="13"/>
  <c r="K501" i="13"/>
  <c r="P200" i="13"/>
  <c r="AO381" i="13"/>
  <c r="AY158" i="13"/>
  <c r="BD426" i="13"/>
  <c r="AN129" i="13"/>
  <c r="C449" i="13"/>
  <c r="O378" i="13"/>
  <c r="H372" i="13"/>
  <c r="AU315" i="13"/>
  <c r="BN455" i="13"/>
  <c r="AY480" i="13"/>
  <c r="P106" i="13"/>
  <c r="BD283" i="13"/>
  <c r="AK272" i="13"/>
  <c r="AC67" i="13"/>
  <c r="BH229" i="13"/>
  <c r="F199" i="13"/>
  <c r="I435" i="13"/>
  <c r="B403" i="13"/>
  <c r="V245" i="13"/>
  <c r="BL358" i="13"/>
  <c r="E257" i="13"/>
  <c r="AY154" i="13"/>
  <c r="E382" i="13"/>
  <c r="BD386" i="13"/>
  <c r="AL246" i="13"/>
  <c r="Z80" i="13"/>
  <c r="AT232" i="13"/>
  <c r="AG202" i="13"/>
  <c r="AQ61" i="13"/>
  <c r="G344" i="13"/>
  <c r="S300" i="13"/>
  <c r="AW230" i="13"/>
  <c r="X283" i="13"/>
  <c r="AW181" i="13"/>
  <c r="BV232" i="13"/>
  <c r="BB480" i="13"/>
  <c r="AZ426" i="13"/>
  <c r="S421" i="13"/>
  <c r="Z292" i="13"/>
  <c r="BV497" i="13"/>
  <c r="AB383" i="13"/>
  <c r="C487" i="13"/>
  <c r="AG19" i="13"/>
  <c r="AR314" i="13"/>
  <c r="BK444" i="13"/>
  <c r="N211" i="13"/>
  <c r="AB197" i="13"/>
  <c r="W8" i="13"/>
  <c r="J477" i="13"/>
  <c r="K83" i="13"/>
  <c r="G396" i="13"/>
  <c r="F407" i="13"/>
  <c r="BB369" i="13"/>
  <c r="AZ274" i="13"/>
  <c r="J230" i="13"/>
  <c r="BN253" i="13"/>
  <c r="BI415" i="13"/>
  <c r="AY374" i="13"/>
  <c r="BV415" i="13"/>
  <c r="D177" i="13"/>
  <c r="AX379" i="13"/>
  <c r="BU195" i="13"/>
  <c r="BC124" i="13"/>
  <c r="AR204" i="13"/>
  <c r="E303" i="13"/>
  <c r="BO4" i="13"/>
  <c r="I434" i="13"/>
  <c r="U226" i="13"/>
  <c r="O482" i="13"/>
  <c r="G412" i="13"/>
  <c r="BO53" i="13"/>
  <c r="M405" i="13"/>
  <c r="U106" i="13"/>
  <c r="I320" i="13"/>
  <c r="AA293" i="13"/>
  <c r="BG380" i="13"/>
  <c r="AR420" i="13"/>
  <c r="BK178" i="13"/>
  <c r="Q451" i="13"/>
  <c r="BR454" i="13"/>
  <c r="T459" i="13"/>
  <c r="AW435" i="13"/>
  <c r="T217" i="13"/>
  <c r="BU296" i="13"/>
  <c r="BO7" i="13"/>
  <c r="AB97" i="13"/>
  <c r="AP458" i="13"/>
  <c r="AW284" i="13"/>
  <c r="AJ101" i="13"/>
  <c r="BE489" i="13"/>
  <c r="C281" i="13"/>
  <c r="Z236" i="13"/>
  <c r="D495" i="13"/>
  <c r="Z200" i="13"/>
  <c r="Z350" i="13"/>
  <c r="AB115" i="13"/>
  <c r="K350" i="13"/>
  <c r="BW426" i="13"/>
  <c r="AH96" i="13"/>
  <c r="AG287" i="13"/>
  <c r="BM34" i="13"/>
  <c r="AA368" i="13"/>
  <c r="AI134" i="13"/>
  <c r="Y118" i="13"/>
  <c r="I165" i="13"/>
  <c r="BS11" i="13"/>
  <c r="AB29" i="13"/>
  <c r="AX418" i="13"/>
  <c r="BE348" i="13"/>
  <c r="X364" i="13"/>
  <c r="AL453" i="13"/>
  <c r="AX179" i="13"/>
  <c r="AY196" i="13"/>
  <c r="AN410" i="13"/>
  <c r="BJ371" i="13"/>
  <c r="BE248" i="13"/>
  <c r="AH158" i="13"/>
  <c r="BT443" i="13"/>
  <c r="BG337" i="13"/>
  <c r="O463" i="13"/>
  <c r="J375" i="13"/>
  <c r="AV359" i="13"/>
  <c r="M73" i="13"/>
  <c r="AO290" i="13"/>
  <c r="Z383" i="13"/>
  <c r="BV446" i="13"/>
  <c r="X163" i="13"/>
  <c r="BH117" i="13"/>
  <c r="BA357" i="13"/>
  <c r="A491" i="13"/>
  <c r="K307" i="13"/>
  <c r="BE283" i="13"/>
  <c r="AA91" i="13"/>
  <c r="A324" i="13"/>
  <c r="F27" i="13"/>
  <c r="P184" i="13"/>
  <c r="AH166" i="13"/>
  <c r="R124" i="13"/>
  <c r="D117" i="13"/>
  <c r="A225" i="13"/>
  <c r="BC497" i="13"/>
  <c r="BH460" i="13"/>
  <c r="AN124" i="13"/>
  <c r="AZ313" i="13"/>
  <c r="F172" i="13"/>
  <c r="AU364" i="13"/>
  <c r="AH466" i="13"/>
  <c r="T128" i="13"/>
  <c r="F196" i="13"/>
  <c r="F395" i="13"/>
  <c r="AC424" i="13"/>
  <c r="BH311" i="13"/>
  <c r="AV350" i="13"/>
  <c r="V387" i="13"/>
  <c r="G328" i="13"/>
  <c r="BC180" i="13"/>
  <c r="AD491" i="13"/>
  <c r="AK393" i="13"/>
  <c r="M410" i="13"/>
  <c r="H442" i="13"/>
  <c r="AJ12" i="13"/>
  <c r="Q174" i="13"/>
  <c r="BI350" i="13"/>
  <c r="BE153" i="13"/>
  <c r="BC357" i="13"/>
  <c r="AJ54" i="13"/>
  <c r="AX496" i="13"/>
  <c r="AS131" i="13"/>
  <c r="N172" i="13"/>
  <c r="AW395" i="13"/>
  <c r="AD387" i="13"/>
  <c r="AJ427" i="13"/>
  <c r="AC487" i="13"/>
  <c r="O453" i="13"/>
  <c r="AR350" i="13"/>
  <c r="H304" i="13"/>
  <c r="AA317" i="13"/>
  <c r="I474" i="13"/>
  <c r="AP321" i="13"/>
  <c r="BC243" i="13"/>
  <c r="AZ488" i="13"/>
  <c r="AO19" i="13"/>
  <c r="BC248" i="13"/>
  <c r="AA105" i="13"/>
  <c r="D146" i="13"/>
  <c r="T438" i="13"/>
  <c r="AO337" i="13"/>
  <c r="AF499" i="13"/>
  <c r="BD338" i="13"/>
  <c r="AO139" i="13"/>
  <c r="AS498" i="13"/>
  <c r="AG304" i="13"/>
  <c r="BQ283" i="13"/>
  <c r="BR157" i="13"/>
  <c r="BJ463" i="13"/>
  <c r="AO96" i="13"/>
  <c r="T150" i="13"/>
  <c r="BG222" i="13"/>
  <c r="AH214" i="13"/>
  <c r="Z336" i="13"/>
  <c r="BL421" i="13"/>
  <c r="AS404" i="13"/>
  <c r="H466" i="13"/>
  <c r="Z342" i="13"/>
  <c r="AW281" i="13"/>
  <c r="BR330" i="13"/>
  <c r="P450" i="13"/>
  <c r="G424" i="13"/>
  <c r="BJ446" i="13"/>
  <c r="R473" i="13"/>
  <c r="AP250" i="13"/>
  <c r="BK195" i="13"/>
  <c r="AK420" i="13"/>
  <c r="H421" i="13"/>
  <c r="BR295" i="13"/>
  <c r="X140" i="13"/>
  <c r="BW139" i="13"/>
  <c r="BU145" i="13"/>
  <c r="AN331" i="13"/>
  <c r="A405" i="13"/>
  <c r="AK235" i="13"/>
  <c r="AJ485" i="13"/>
  <c r="BF240" i="13"/>
  <c r="BB19" i="13"/>
  <c r="AF152" i="13"/>
  <c r="BI451" i="13"/>
  <c r="N455" i="13"/>
  <c r="P49" i="13"/>
  <c r="AA46" i="13"/>
  <c r="AU436" i="13"/>
  <c r="G79" i="13"/>
  <c r="AQ298" i="13"/>
  <c r="AQ136" i="13"/>
  <c r="BW386" i="13"/>
  <c r="O94" i="13"/>
  <c r="Y373" i="13"/>
  <c r="U355" i="13"/>
  <c r="T406" i="13"/>
  <c r="AJ392" i="13"/>
  <c r="BW485" i="13"/>
  <c r="I438" i="13"/>
  <c r="BT203" i="13"/>
  <c r="BU222" i="13"/>
  <c r="J56" i="13"/>
  <c r="R371" i="13"/>
  <c r="BT397" i="13"/>
  <c r="AH308" i="13"/>
  <c r="BD210" i="13"/>
  <c r="H430" i="13"/>
  <c r="M231" i="13"/>
  <c r="BD337" i="13"/>
  <c r="AJ452" i="13"/>
  <c r="BF317" i="13"/>
  <c r="BA186" i="13"/>
  <c r="D184" i="13"/>
  <c r="AT412" i="13"/>
  <c r="AB462" i="13"/>
  <c r="I387" i="13"/>
  <c r="L216" i="13"/>
  <c r="BD413" i="13"/>
  <c r="I205" i="13"/>
  <c r="BE327" i="13"/>
  <c r="P410" i="13"/>
  <c r="BB423" i="13"/>
  <c r="AS48" i="13"/>
  <c r="G460" i="13"/>
  <c r="AB358" i="13"/>
  <c r="S263" i="13"/>
  <c r="BE390" i="13"/>
  <c r="BK330" i="13"/>
  <c r="BG325" i="13"/>
  <c r="G128" i="13"/>
  <c r="AT426" i="13"/>
  <c r="A239" i="13"/>
  <c r="F365" i="13"/>
  <c r="F191" i="13"/>
  <c r="K208" i="13"/>
  <c r="E175" i="13"/>
  <c r="BA298" i="13"/>
  <c r="AF330" i="13"/>
  <c r="AN445" i="13"/>
  <c r="AC417" i="13"/>
  <c r="AM255" i="13"/>
  <c r="BU181" i="13"/>
  <c r="AN446" i="13"/>
  <c r="U489" i="13"/>
  <c r="AK412" i="13"/>
  <c r="M193" i="13"/>
  <c r="Q420" i="13"/>
  <c r="BG1" i="13"/>
  <c r="BA256" i="13"/>
  <c r="P482" i="13"/>
  <c r="A51" i="13"/>
  <c r="BD223" i="13"/>
  <c r="R221" i="13"/>
  <c r="BQ235" i="13"/>
  <c r="Y436" i="13"/>
  <c r="P104" i="13"/>
  <c r="BV312" i="13"/>
  <c r="Z239" i="13"/>
  <c r="AZ169" i="13"/>
  <c r="H278" i="13"/>
  <c r="AV289" i="13"/>
  <c r="V368" i="13"/>
  <c r="Y303" i="13"/>
  <c r="BS375" i="13"/>
  <c r="H254" i="13"/>
  <c r="BP202" i="13"/>
  <c r="AO188" i="13"/>
  <c r="D301" i="13"/>
  <c r="AH66" i="13"/>
  <c r="BI91" i="13"/>
  <c r="C484" i="13"/>
  <c r="BB320" i="13"/>
  <c r="K265" i="13"/>
  <c r="AK490" i="13"/>
  <c r="BR444" i="13"/>
  <c r="B345" i="13"/>
  <c r="Y477" i="13"/>
  <c r="BC470" i="13"/>
  <c r="BB428" i="13"/>
  <c r="BO485" i="13"/>
  <c r="G381" i="13"/>
  <c r="H317" i="13"/>
  <c r="F460" i="13"/>
  <c r="AX407" i="13"/>
  <c r="D227" i="13"/>
  <c r="D201" i="13"/>
  <c r="P481" i="13"/>
  <c r="AA239" i="13"/>
  <c r="AY88" i="13"/>
  <c r="AJ111" i="13"/>
  <c r="BA455" i="13"/>
  <c r="AL449" i="13"/>
  <c r="C62" i="13"/>
  <c r="BT399" i="13"/>
  <c r="BP256" i="13"/>
  <c r="X266" i="13"/>
  <c r="P456" i="13"/>
  <c r="AH322" i="13"/>
  <c r="I140" i="13"/>
  <c r="G197" i="13"/>
  <c r="H443" i="13"/>
  <c r="BW475" i="13"/>
  <c r="E198" i="13"/>
  <c r="C246" i="13"/>
  <c r="BT451" i="13"/>
  <c r="BI421" i="13"/>
  <c r="C284" i="13"/>
  <c r="AH425" i="13"/>
  <c r="AO186" i="13"/>
  <c r="N297" i="13"/>
  <c r="E8" i="13"/>
  <c r="BW420" i="13"/>
  <c r="BP305" i="13"/>
  <c r="BA448" i="13"/>
  <c r="AW282" i="13"/>
  <c r="AB446" i="13"/>
  <c r="BH446" i="13"/>
  <c r="S174" i="13"/>
  <c r="AD1" i="13"/>
  <c r="AL8" i="13"/>
  <c r="AH423" i="13"/>
  <c r="AU298" i="13"/>
  <c r="C193" i="13"/>
  <c r="BI175" i="13"/>
  <c r="M464" i="13"/>
  <c r="AG193" i="13"/>
  <c r="AG423" i="13"/>
  <c r="I274" i="13"/>
  <c r="BO256" i="13"/>
  <c r="AT167" i="13"/>
  <c r="BI240" i="13"/>
  <c r="AQ369" i="13"/>
  <c r="J396" i="13"/>
  <c r="AA395" i="13"/>
  <c r="Z316" i="13"/>
  <c r="BA117" i="13"/>
  <c r="AB391" i="13"/>
  <c r="I389" i="13"/>
  <c r="AO83" i="13"/>
  <c r="AJ248" i="13"/>
  <c r="U490" i="13"/>
  <c r="Q313" i="13"/>
  <c r="AR448" i="13"/>
  <c r="BD45" i="13"/>
  <c r="Y122" i="13"/>
  <c r="AV291" i="13"/>
  <c r="BV461" i="13"/>
  <c r="BR381" i="13"/>
  <c r="V412" i="13"/>
  <c r="AR187" i="13"/>
  <c r="W298" i="13"/>
  <c r="BN263" i="13"/>
  <c r="U386" i="13"/>
  <c r="N423" i="13"/>
  <c r="AD301" i="13"/>
  <c r="AI85" i="13"/>
  <c r="AJ168" i="13"/>
  <c r="AU217" i="13"/>
  <c r="AT387" i="13"/>
  <c r="H35" i="13"/>
  <c r="L63" i="13"/>
  <c r="AD290" i="13"/>
  <c r="BQ414" i="13"/>
  <c r="A11" i="13"/>
  <c r="BF400" i="13"/>
  <c r="BR389" i="13"/>
  <c r="BQ362" i="13"/>
  <c r="AT395" i="13"/>
  <c r="BJ493" i="13"/>
  <c r="AE351" i="13"/>
  <c r="BE304" i="13"/>
  <c r="I25" i="13"/>
  <c r="BD384" i="13"/>
  <c r="AN175" i="13"/>
  <c r="AM468" i="13"/>
  <c r="BL159" i="13"/>
  <c r="C195" i="13"/>
  <c r="AO291" i="13"/>
  <c r="R449" i="13"/>
  <c r="AK367" i="13"/>
  <c r="BI287" i="13"/>
  <c r="AG367" i="13"/>
  <c r="AC272" i="13"/>
  <c r="BT240" i="13"/>
  <c r="BV300" i="13"/>
  <c r="BK271" i="13"/>
  <c r="AB195" i="13"/>
  <c r="K303" i="13"/>
  <c r="BS161" i="13"/>
  <c r="S207" i="13"/>
  <c r="H445" i="13"/>
  <c r="AQ179" i="13"/>
  <c r="G68" i="13"/>
  <c r="AY242" i="13"/>
  <c r="AL467" i="13"/>
  <c r="BO295" i="13"/>
  <c r="AG130" i="13"/>
  <c r="W428" i="13"/>
  <c r="AC390" i="13"/>
  <c r="AQ416" i="13"/>
  <c r="AP240" i="13"/>
  <c r="BL442" i="13"/>
  <c r="BO188" i="13"/>
  <c r="BW381" i="13"/>
  <c r="K427" i="13"/>
  <c r="S1" i="13"/>
  <c r="AM226" i="13"/>
  <c r="B472" i="13"/>
  <c r="M206" i="13"/>
  <c r="M244" i="13"/>
  <c r="S190" i="13"/>
  <c r="AR306" i="13"/>
  <c r="T138" i="13"/>
  <c r="AX440" i="13"/>
  <c r="AQ183" i="13"/>
  <c r="AN159" i="13"/>
  <c r="AO357" i="13"/>
  <c r="AI54" i="13"/>
  <c r="AM4" i="13"/>
  <c r="BA372" i="13"/>
  <c r="BC434" i="13"/>
  <c r="AV188" i="13"/>
  <c r="BO276" i="13"/>
  <c r="BK442" i="13"/>
  <c r="BO77" i="13"/>
  <c r="E47" i="13"/>
  <c r="BH455" i="13"/>
  <c r="AJ494" i="13"/>
  <c r="K132" i="13"/>
  <c r="I28" i="13"/>
  <c r="BL63" i="13"/>
  <c r="H438" i="13"/>
  <c r="AN250" i="13"/>
  <c r="AH126" i="13"/>
  <c r="BP176" i="13"/>
  <c r="BJ80" i="13"/>
  <c r="H207" i="13"/>
  <c r="AV404" i="13"/>
  <c r="J12" i="13"/>
  <c r="Q394" i="13"/>
  <c r="AV421" i="13"/>
  <c r="AC386" i="13"/>
  <c r="BD499" i="13"/>
  <c r="AC459" i="13"/>
  <c r="D404" i="13"/>
  <c r="D115" i="13"/>
  <c r="AP196" i="13"/>
  <c r="BD315" i="13"/>
  <c r="BJ10" i="13"/>
  <c r="AF102" i="13"/>
  <c r="BE456" i="13"/>
  <c r="AT501" i="13"/>
  <c r="P327" i="13"/>
  <c r="I383" i="13"/>
  <c r="BC134" i="13"/>
  <c r="AO55" i="13"/>
  <c r="G171" i="13"/>
  <c r="AH210" i="13"/>
  <c r="AC162" i="13"/>
  <c r="AU360" i="13"/>
  <c r="R132" i="13"/>
  <c r="P238" i="13"/>
  <c r="T493" i="13"/>
  <c r="BV346" i="13"/>
  <c r="V75" i="13"/>
  <c r="BW445" i="13"/>
  <c r="AN186" i="13"/>
  <c r="V456" i="13"/>
  <c r="AX320" i="13"/>
  <c r="AT246" i="13"/>
  <c r="AT10" i="13"/>
  <c r="AE81" i="13"/>
  <c r="A151" i="13"/>
  <c r="AQ62" i="13"/>
  <c r="BO173" i="13"/>
  <c r="F328" i="13"/>
  <c r="X383" i="13"/>
  <c r="C436" i="13"/>
  <c r="BM424" i="13"/>
  <c r="O3" i="13"/>
  <c r="U207" i="13"/>
  <c r="AY376" i="13"/>
  <c r="AM397" i="13"/>
  <c r="Q209" i="13"/>
  <c r="C343" i="13"/>
  <c r="L267" i="13"/>
  <c r="G101" i="13"/>
  <c r="BK493" i="13"/>
  <c r="AG195" i="13"/>
  <c r="AI441" i="13"/>
  <c r="BJ405" i="13"/>
  <c r="AA141" i="13"/>
  <c r="AV451" i="13"/>
  <c r="X24" i="13"/>
  <c r="BR344" i="13"/>
  <c r="AG405" i="13"/>
  <c r="BC286" i="13"/>
  <c r="B417" i="13"/>
  <c r="O127" i="13"/>
  <c r="AH26" i="13"/>
  <c r="BU65" i="13"/>
  <c r="D74" i="13"/>
  <c r="AL371" i="13"/>
  <c r="AN355" i="13"/>
  <c r="AV4" i="13"/>
  <c r="BC164" i="13"/>
  <c r="BW23" i="13"/>
  <c r="BA331" i="13"/>
  <c r="P368" i="13"/>
  <c r="AI125" i="13"/>
  <c r="BW468" i="13"/>
  <c r="W157" i="13"/>
  <c r="BV302" i="13"/>
  <c r="R298" i="13"/>
  <c r="W64" i="13"/>
  <c r="AT355" i="13"/>
  <c r="AL350" i="13"/>
  <c r="X239" i="13"/>
  <c r="M224" i="13"/>
  <c r="AF432" i="13"/>
  <c r="AY229" i="13"/>
  <c r="BA192" i="13"/>
  <c r="G426" i="13"/>
  <c r="V439" i="13"/>
  <c r="AO156" i="13"/>
  <c r="P297" i="13"/>
  <c r="C354" i="13"/>
  <c r="AM150" i="13"/>
  <c r="BA247" i="13"/>
  <c r="BU350" i="13"/>
  <c r="BW192" i="13"/>
  <c r="AU56" i="13"/>
  <c r="BS312" i="13"/>
  <c r="AC36" i="13"/>
  <c r="BV486" i="13"/>
  <c r="BW54" i="13"/>
  <c r="BI409" i="13"/>
  <c r="BP244" i="13"/>
  <c r="BV484" i="13"/>
  <c r="Z31" i="13"/>
  <c r="I204" i="13"/>
  <c r="C319" i="13"/>
  <c r="AH484" i="13"/>
  <c r="BM235" i="13"/>
  <c r="BN446" i="13"/>
  <c r="AH441" i="13"/>
  <c r="AQ399" i="13"/>
  <c r="AP350" i="13"/>
  <c r="AZ381" i="13"/>
  <c r="AZ414" i="13"/>
  <c r="BN298" i="13"/>
  <c r="AF244" i="13"/>
  <c r="AX71" i="13"/>
  <c r="AB482" i="13"/>
  <c r="Q482" i="13"/>
  <c r="BW460" i="13"/>
  <c r="K62" i="13"/>
  <c r="AI415" i="13"/>
  <c r="H385" i="13"/>
  <c r="AG88" i="13"/>
  <c r="AX467" i="13"/>
  <c r="BN278" i="13"/>
  <c r="U468" i="13"/>
  <c r="BJ215" i="13"/>
  <c r="BO303" i="13"/>
  <c r="BA163" i="13"/>
  <c r="BM87" i="13"/>
  <c r="BT456" i="13"/>
  <c r="A2" i="13"/>
  <c r="F434" i="13"/>
  <c r="B377" i="13"/>
  <c r="AU90" i="13"/>
  <c r="BH489" i="13"/>
  <c r="D341" i="13"/>
  <c r="AR242" i="13"/>
  <c r="Y315" i="13"/>
  <c r="AH17" i="13"/>
  <c r="AM443" i="13"/>
  <c r="BD249" i="13"/>
  <c r="AF365" i="13"/>
  <c r="AA200" i="13"/>
  <c r="BF40" i="13"/>
  <c r="S433" i="13"/>
  <c r="AL7" i="13"/>
  <c r="A332" i="13"/>
  <c r="AH89" i="13"/>
  <c r="BO272" i="13"/>
  <c r="S425" i="13"/>
  <c r="K439" i="13"/>
  <c r="W408" i="13"/>
  <c r="BR243" i="13"/>
  <c r="G413" i="13"/>
  <c r="G475" i="13"/>
  <c r="AF444" i="13"/>
  <c r="BO150" i="13"/>
  <c r="J121" i="13"/>
  <c r="BH327" i="13"/>
  <c r="BU318" i="13"/>
  <c r="BG46" i="13"/>
  <c r="O494" i="13"/>
  <c r="U262" i="13"/>
  <c r="BD326" i="13"/>
  <c r="BP375" i="13"/>
  <c r="I9" i="13"/>
  <c r="BB238" i="13"/>
  <c r="T208" i="13"/>
  <c r="AU262" i="13"/>
  <c r="X386" i="13"/>
  <c r="P348" i="13"/>
  <c r="AV123" i="13"/>
  <c r="AJ293" i="13"/>
  <c r="AA53" i="13"/>
  <c r="H492" i="13"/>
  <c r="J455" i="13"/>
  <c r="J341" i="13"/>
  <c r="AE122" i="13"/>
  <c r="BP119" i="13"/>
  <c r="AQ427" i="13"/>
  <c r="X141" i="13"/>
  <c r="BR25" i="13"/>
  <c r="BW253" i="13"/>
  <c r="AC466" i="13"/>
  <c r="BJ476" i="13"/>
  <c r="V258" i="13"/>
  <c r="Q301" i="13"/>
  <c r="Q334" i="13"/>
  <c r="C326" i="13"/>
  <c r="X227" i="13"/>
  <c r="AD49" i="13"/>
  <c r="A387" i="13"/>
  <c r="B195" i="13"/>
  <c r="V496" i="13"/>
  <c r="BO308" i="13"/>
  <c r="W7" i="13"/>
  <c r="BW397" i="13"/>
  <c r="U281" i="13"/>
  <c r="AX375" i="13"/>
  <c r="AC186" i="13"/>
  <c r="U476" i="13"/>
  <c r="K359" i="13"/>
  <c r="AQ490" i="13"/>
  <c r="N207" i="13"/>
  <c r="L241" i="13"/>
  <c r="X284" i="13"/>
  <c r="BN109" i="13"/>
  <c r="AX263" i="13"/>
  <c r="A370" i="13"/>
  <c r="F412" i="13"/>
  <c r="V40" i="13"/>
  <c r="F302" i="13"/>
  <c r="BC63" i="13"/>
  <c r="AN201" i="13"/>
  <c r="AD451" i="13"/>
  <c r="BM407" i="13"/>
  <c r="B217" i="13"/>
  <c r="C223" i="13"/>
  <c r="BU364" i="13"/>
  <c r="P155" i="13"/>
  <c r="BF129" i="13"/>
  <c r="AE284" i="13"/>
  <c r="J248" i="13"/>
  <c r="BM255" i="13"/>
  <c r="BC288" i="13"/>
  <c r="AV268" i="13"/>
  <c r="AK239" i="13"/>
  <c r="BB24" i="13"/>
  <c r="AA444" i="13"/>
  <c r="AP319" i="13"/>
  <c r="AV100" i="13"/>
  <c r="AH220" i="13"/>
  <c r="L493" i="13"/>
  <c r="BO404" i="13"/>
  <c r="V119" i="13"/>
  <c r="BI219" i="13"/>
  <c r="BV166" i="13"/>
  <c r="E344" i="13"/>
  <c r="BK186" i="13"/>
  <c r="AF282" i="13"/>
  <c r="L172" i="13"/>
  <c r="V141" i="13"/>
  <c r="K281" i="13"/>
  <c r="AU226" i="13"/>
  <c r="BI312" i="13"/>
  <c r="AW150" i="13"/>
  <c r="R262" i="13"/>
  <c r="BJ347" i="13"/>
  <c r="AI212" i="13"/>
  <c r="AG255" i="13"/>
  <c r="BK191" i="13"/>
  <c r="J283" i="13"/>
  <c r="C97" i="13"/>
  <c r="AL357" i="13"/>
  <c r="BS188" i="13"/>
  <c r="BK421" i="13"/>
  <c r="BM324" i="13"/>
  <c r="T256" i="13"/>
  <c r="BG304" i="13"/>
  <c r="AE501" i="13"/>
  <c r="L54" i="13"/>
  <c r="BA135" i="13"/>
  <c r="AN466" i="13"/>
  <c r="AN224" i="13"/>
  <c r="O117" i="13"/>
  <c r="R450" i="13"/>
  <c r="BH295" i="13"/>
  <c r="BG164" i="13"/>
  <c r="AV227" i="13"/>
  <c r="AN21" i="13"/>
  <c r="BN172" i="13"/>
  <c r="BR329" i="13"/>
  <c r="BN231" i="13"/>
  <c r="AB217" i="13"/>
  <c r="BI238" i="13"/>
  <c r="BU161" i="13"/>
  <c r="S132" i="13"/>
  <c r="K264" i="13"/>
  <c r="S276" i="13"/>
  <c r="AF480" i="13"/>
  <c r="AE133" i="13"/>
  <c r="AY13" i="13"/>
  <c r="AB280" i="13"/>
  <c r="AC222" i="13"/>
  <c r="AQ484" i="13"/>
  <c r="AY332" i="13"/>
  <c r="AM367" i="13"/>
  <c r="J277" i="13"/>
  <c r="BT299" i="13"/>
  <c r="BB251" i="13"/>
  <c r="N364" i="13"/>
  <c r="R424" i="13"/>
  <c r="C401" i="13"/>
  <c r="AU222" i="13"/>
  <c r="M9" i="13"/>
  <c r="BI332" i="13"/>
  <c r="K406" i="13"/>
  <c r="BP6" i="13"/>
  <c r="M479" i="13"/>
  <c r="T325" i="13"/>
  <c r="K445" i="13"/>
  <c r="B348" i="13"/>
  <c r="BJ401" i="13"/>
  <c r="BL189" i="13"/>
  <c r="AX406" i="13"/>
  <c r="BT382" i="13"/>
  <c r="Y7" i="13"/>
  <c r="AJ312" i="13"/>
  <c r="O486" i="13"/>
  <c r="AD92" i="13"/>
  <c r="BW317" i="13"/>
  <c r="BP264" i="13"/>
  <c r="AS151" i="13"/>
  <c r="K202" i="13"/>
  <c r="BF325" i="13"/>
  <c r="AX411" i="13"/>
  <c r="BV151" i="13"/>
  <c r="BQ103" i="13"/>
  <c r="M300" i="13"/>
  <c r="U400" i="13"/>
  <c r="M19" i="13"/>
  <c r="R480" i="13"/>
  <c r="AG368" i="13"/>
  <c r="BW256" i="13"/>
  <c r="BP428" i="13"/>
  <c r="M22" i="13"/>
  <c r="H497" i="13"/>
  <c r="Y18" i="13"/>
  <c r="T369" i="13"/>
  <c r="AU341" i="13"/>
  <c r="AR387" i="13"/>
  <c r="N162" i="13"/>
  <c r="N298" i="13"/>
  <c r="AQ256" i="13"/>
  <c r="BL262" i="13"/>
  <c r="S195" i="13"/>
  <c r="X154" i="13"/>
  <c r="AI264" i="13"/>
  <c r="V428" i="13"/>
  <c r="Q254" i="13"/>
  <c r="A414" i="13"/>
  <c r="BU253" i="13"/>
  <c r="A247" i="13"/>
  <c r="BJ445" i="13"/>
  <c r="N390" i="13"/>
  <c r="Y388" i="13"/>
  <c r="F420" i="13"/>
  <c r="U371" i="13"/>
  <c r="BP472" i="13"/>
  <c r="BQ157" i="13"/>
  <c r="O39" i="13"/>
  <c r="BM243" i="13"/>
  <c r="S473" i="13"/>
  <c r="U244" i="13"/>
  <c r="AJ221" i="13"/>
  <c r="BL369" i="13"/>
  <c r="AG247" i="13"/>
  <c r="E481" i="13"/>
  <c r="E213" i="13"/>
  <c r="AM296" i="13"/>
  <c r="AK12" i="13"/>
  <c r="BG360" i="13"/>
  <c r="AI243" i="13"/>
  <c r="L126" i="13"/>
  <c r="S49" i="13"/>
  <c r="AR206" i="13"/>
  <c r="E454" i="13"/>
  <c r="U55" i="13"/>
  <c r="BP248" i="13"/>
  <c r="BS230" i="13"/>
  <c r="BQ373" i="13"/>
  <c r="AJ458" i="13"/>
  <c r="BI395" i="13"/>
  <c r="AY439" i="13"/>
  <c r="BA452" i="13"/>
  <c r="AQ472" i="13"/>
  <c r="BP361" i="13"/>
  <c r="BL200" i="13"/>
  <c r="AV327" i="13"/>
  <c r="H249" i="13"/>
  <c r="BN7" i="13"/>
  <c r="N392" i="13"/>
  <c r="BA441" i="13"/>
  <c r="AP158" i="13"/>
  <c r="AG366" i="13"/>
  <c r="N406" i="13"/>
  <c r="AH197" i="13"/>
  <c r="BM262" i="13"/>
  <c r="B382" i="13"/>
  <c r="V268" i="13"/>
  <c r="BR69" i="13"/>
  <c r="BN304" i="13"/>
  <c r="BR273" i="13"/>
  <c r="BL294" i="13"/>
  <c r="BO196" i="13"/>
  <c r="V427" i="13"/>
  <c r="U408" i="13"/>
  <c r="AJ242" i="13"/>
  <c r="AY470" i="13"/>
  <c r="BE146" i="13"/>
  <c r="AP273" i="13"/>
  <c r="F203" i="13"/>
  <c r="BK250" i="13"/>
  <c r="AT212" i="13"/>
  <c r="B277" i="13"/>
  <c r="B354" i="13"/>
  <c r="BS483" i="13"/>
  <c r="S426" i="13"/>
  <c r="AE207" i="13"/>
  <c r="BC400" i="13"/>
  <c r="BT150" i="13"/>
  <c r="AZ1" i="13"/>
  <c r="AN302" i="13"/>
  <c r="AV326" i="13"/>
  <c r="BW328" i="13"/>
  <c r="AU362" i="13"/>
  <c r="BK361" i="13"/>
  <c r="BL473" i="13"/>
  <c r="I19" i="13"/>
  <c r="C473" i="13"/>
  <c r="BF302" i="13"/>
  <c r="B341" i="13"/>
  <c r="AR156" i="13"/>
  <c r="BF109" i="13"/>
  <c r="X118" i="13"/>
  <c r="AA180" i="13"/>
  <c r="J334" i="13"/>
  <c r="M321" i="13"/>
  <c r="AL498" i="13"/>
  <c r="BN492" i="13"/>
  <c r="W211" i="13"/>
  <c r="AT294" i="13"/>
  <c r="BS264" i="13"/>
  <c r="AS206" i="13"/>
  <c r="BE382" i="13"/>
  <c r="BT384" i="13"/>
  <c r="BB260" i="13"/>
  <c r="AC458" i="13"/>
  <c r="N434" i="13"/>
  <c r="AT142" i="13"/>
  <c r="M384" i="13"/>
  <c r="BR387" i="13"/>
  <c r="AE260" i="13"/>
  <c r="BS290" i="13"/>
  <c r="AQ254" i="13"/>
  <c r="BR147" i="13"/>
  <c r="AE36" i="13"/>
  <c r="AW51" i="13"/>
  <c r="N245" i="13"/>
  <c r="AS437" i="13"/>
  <c r="AQ42" i="13"/>
  <c r="K274" i="13"/>
  <c r="BE207" i="13"/>
  <c r="AI191" i="13"/>
  <c r="BP321" i="13"/>
  <c r="AH116" i="13"/>
  <c r="AI320" i="13"/>
  <c r="W77" i="13"/>
  <c r="BC89" i="13"/>
  <c r="AA310" i="13"/>
  <c r="BH194" i="13"/>
  <c r="AG491" i="13"/>
  <c r="AT5" i="13"/>
  <c r="AL339" i="13"/>
  <c r="T326" i="13"/>
  <c r="AL492" i="13"/>
  <c r="K238" i="13"/>
  <c r="U284" i="13"/>
  <c r="AF489" i="13"/>
  <c r="P233" i="13"/>
  <c r="AG80" i="13"/>
  <c r="Y104" i="13"/>
  <c r="BK59" i="13"/>
  <c r="BI408" i="13"/>
  <c r="F234" i="13"/>
  <c r="R205" i="13"/>
  <c r="BK494" i="13"/>
  <c r="AW426" i="13"/>
  <c r="AG90" i="13"/>
  <c r="BB149" i="13"/>
  <c r="G492" i="13"/>
  <c r="BW403" i="13"/>
  <c r="Y406" i="13"/>
  <c r="AX65" i="13"/>
  <c r="BF478" i="13"/>
  <c r="BB165" i="13"/>
  <c r="J463" i="13"/>
  <c r="BB341" i="13"/>
  <c r="AR486" i="13"/>
  <c r="AY499" i="13"/>
  <c r="N342" i="13"/>
  <c r="AM347" i="13"/>
  <c r="BK492" i="13"/>
  <c r="A13" i="13"/>
  <c r="W186" i="13"/>
  <c r="BI314" i="13"/>
  <c r="L473" i="13"/>
  <c r="BW9" i="13"/>
  <c r="BL452" i="13"/>
  <c r="AS327" i="13"/>
  <c r="AD277" i="13"/>
  <c r="AK461" i="13"/>
  <c r="P94" i="13"/>
  <c r="A19" i="13"/>
  <c r="D354" i="13"/>
  <c r="AF197" i="13"/>
  <c r="BQ395" i="13"/>
  <c r="AW391" i="13"/>
  <c r="BW428" i="13"/>
  <c r="BW150" i="13"/>
  <c r="AY184" i="13"/>
  <c r="AZ395" i="13"/>
  <c r="Z318" i="13"/>
  <c r="AP499" i="13"/>
  <c r="AD60" i="13"/>
  <c r="BL474" i="13"/>
  <c r="H446" i="13"/>
  <c r="BO74" i="13"/>
  <c r="BV376" i="13"/>
  <c r="BD441" i="13"/>
  <c r="AF240" i="13"/>
  <c r="F267" i="13"/>
  <c r="AL90" i="13"/>
  <c r="BJ275" i="13"/>
  <c r="J340" i="13"/>
  <c r="Q177" i="13"/>
  <c r="X487" i="13"/>
  <c r="B181" i="13"/>
  <c r="AO434" i="13"/>
  <c r="BW330" i="13"/>
  <c r="U480" i="13"/>
  <c r="E338" i="13"/>
  <c r="C15" i="13"/>
  <c r="BO339" i="13"/>
  <c r="BK275" i="13"/>
  <c r="V438" i="13"/>
  <c r="AE495" i="13"/>
  <c r="R61" i="13"/>
  <c r="AF419" i="13"/>
  <c r="BA360" i="13"/>
  <c r="Z361" i="13"/>
  <c r="V331" i="13"/>
  <c r="BE458" i="13"/>
  <c r="E188" i="13"/>
  <c r="AE473" i="13"/>
  <c r="BF467" i="13"/>
  <c r="L386" i="13"/>
  <c r="AM445" i="13"/>
  <c r="BB268" i="13"/>
  <c r="AJ372" i="13"/>
  <c r="C407" i="13"/>
  <c r="AE95" i="13"/>
  <c r="AJ286" i="13"/>
  <c r="E284" i="13"/>
  <c r="V284" i="13"/>
  <c r="AL474" i="13"/>
  <c r="AH401" i="13"/>
  <c r="AM240" i="13"/>
  <c r="AZ342" i="13"/>
  <c r="R56" i="13"/>
  <c r="BE342" i="13"/>
  <c r="BG113" i="13"/>
  <c r="X431" i="13"/>
  <c r="C443" i="13"/>
  <c r="BK317" i="13"/>
  <c r="BO185" i="13"/>
  <c r="AW70" i="13"/>
  <c r="AR272" i="13"/>
  <c r="AH458" i="13"/>
  <c r="H251" i="13"/>
  <c r="BG404" i="13"/>
  <c r="M477" i="13"/>
  <c r="AX89" i="13"/>
  <c r="AQ455" i="13"/>
  <c r="BN482" i="13"/>
  <c r="U13" i="13"/>
  <c r="BQ14" i="13"/>
  <c r="BD150" i="13"/>
  <c r="AS385" i="13"/>
  <c r="C207" i="13"/>
  <c r="AG70" i="13"/>
  <c r="AP2" i="13"/>
  <c r="BL472" i="13"/>
  <c r="O249" i="13"/>
  <c r="BR249" i="13"/>
  <c r="BP501" i="13"/>
  <c r="R436" i="13"/>
  <c r="AL265" i="13"/>
  <c r="AU308" i="13"/>
  <c r="W360" i="13"/>
  <c r="AU402" i="13"/>
  <c r="AF41" i="13"/>
  <c r="BB89" i="13"/>
  <c r="AV245" i="13"/>
  <c r="AM326" i="13"/>
  <c r="BV246" i="13"/>
  <c r="E495" i="13"/>
  <c r="AL10" i="13"/>
  <c r="AA352" i="13"/>
  <c r="AH151" i="13"/>
  <c r="T422" i="13"/>
  <c r="BR492" i="13"/>
  <c r="AW425" i="13"/>
  <c r="BW324" i="13"/>
  <c r="BT373" i="13"/>
  <c r="L121" i="13"/>
  <c r="N497" i="13"/>
  <c r="N437" i="13"/>
  <c r="BB501" i="13"/>
  <c r="AB450" i="13"/>
  <c r="BU137" i="13"/>
  <c r="BL495" i="13"/>
  <c r="N251" i="13"/>
  <c r="BM349" i="13"/>
  <c r="BF221" i="13"/>
  <c r="AR334" i="13"/>
  <c r="AT198" i="13"/>
  <c r="H229" i="13"/>
  <c r="AW460" i="13"/>
  <c r="Z285" i="13"/>
  <c r="BR496" i="13"/>
  <c r="K410" i="13"/>
  <c r="BB101" i="13"/>
  <c r="BL276" i="13"/>
  <c r="BP239" i="13"/>
  <c r="AS365" i="13"/>
  <c r="B145" i="13"/>
  <c r="AT439" i="13"/>
  <c r="BG437" i="13"/>
  <c r="BM406" i="13"/>
  <c r="B494" i="13"/>
  <c r="Q201" i="13"/>
  <c r="AJ329" i="13"/>
  <c r="AA279" i="13"/>
  <c r="AA350" i="13"/>
  <c r="AZ192" i="13"/>
  <c r="BK192" i="13"/>
  <c r="AB469" i="13"/>
  <c r="AD202" i="13"/>
  <c r="S63" i="13"/>
  <c r="BR500" i="13"/>
  <c r="AA455" i="13"/>
  <c r="BT319" i="13"/>
  <c r="BN198" i="13"/>
  <c r="BM285" i="13"/>
  <c r="AN444" i="13"/>
  <c r="AY413" i="13"/>
  <c r="BD304" i="13"/>
  <c r="BN113" i="13"/>
  <c r="AZ464" i="13"/>
  <c r="AJ363" i="13"/>
  <c r="AH274" i="13"/>
  <c r="H287" i="13"/>
  <c r="BA439" i="13"/>
  <c r="AV445" i="13"/>
  <c r="A469" i="13"/>
  <c r="AW467" i="13"/>
  <c r="V95" i="13"/>
  <c r="AY465" i="13"/>
  <c r="BA352" i="13"/>
  <c r="BN333" i="13"/>
  <c r="AT320" i="13"/>
  <c r="A493" i="13"/>
  <c r="BU434" i="13"/>
  <c r="S335" i="13"/>
  <c r="S400" i="13"/>
  <c r="AF247" i="13"/>
  <c r="AZ227" i="13"/>
  <c r="S331" i="13"/>
  <c r="BN495" i="13"/>
  <c r="AL202" i="13"/>
  <c r="BK369" i="13"/>
  <c r="T397" i="13"/>
  <c r="AM208" i="13"/>
  <c r="BC33" i="13"/>
  <c r="BN291" i="13"/>
  <c r="BU312" i="13"/>
  <c r="BJ411" i="13"/>
  <c r="E437" i="13"/>
  <c r="BL433" i="13"/>
  <c r="BH269" i="13"/>
  <c r="V201" i="13"/>
  <c r="AZ482" i="13"/>
  <c r="AE125" i="13"/>
  <c r="AJ234" i="13"/>
  <c r="Q494" i="13"/>
  <c r="AG228" i="13"/>
  <c r="AO325" i="13"/>
  <c r="E9" i="13"/>
  <c r="AD362" i="13"/>
  <c r="G276" i="13"/>
  <c r="A290" i="13"/>
  <c r="BG166" i="13"/>
  <c r="U213" i="13"/>
  <c r="L453" i="13"/>
  <c r="W370" i="13"/>
  <c r="BE240" i="13"/>
  <c r="H247" i="13"/>
  <c r="AA282" i="13"/>
  <c r="AZ236" i="13"/>
  <c r="N247" i="13"/>
  <c r="P134" i="13"/>
  <c r="Z46" i="13"/>
  <c r="AB129" i="13"/>
  <c r="K403" i="13"/>
  <c r="BV445" i="13"/>
  <c r="AT65" i="13"/>
  <c r="AW454" i="13"/>
  <c r="AR472" i="13"/>
  <c r="BB499" i="13"/>
  <c r="AN457" i="13"/>
  <c r="D331" i="13"/>
  <c r="J313" i="13"/>
  <c r="K183" i="13"/>
  <c r="BJ362" i="13"/>
  <c r="BG35" i="13"/>
  <c r="BF134" i="13"/>
  <c r="BH275" i="13"/>
  <c r="AE164" i="13"/>
  <c r="BJ394" i="13"/>
  <c r="U191" i="13"/>
  <c r="AC339" i="13"/>
  <c r="BW86" i="13"/>
  <c r="T487" i="13"/>
  <c r="AJ466" i="13"/>
  <c r="AL228" i="13"/>
  <c r="AG449" i="13"/>
  <c r="AU214" i="13"/>
  <c r="AI429" i="13"/>
  <c r="BM110" i="13"/>
  <c r="P470" i="13"/>
  <c r="E451" i="13"/>
  <c r="Q349" i="13"/>
  <c r="R234" i="13"/>
  <c r="Z314" i="13"/>
  <c r="AH209" i="13"/>
  <c r="C247" i="13"/>
  <c r="BU439" i="13"/>
  <c r="B384" i="13"/>
  <c r="BG318" i="13"/>
  <c r="AN179" i="13"/>
  <c r="S302" i="13"/>
  <c r="A446" i="13"/>
  <c r="U475" i="13"/>
  <c r="V172" i="13"/>
  <c r="AP417" i="13"/>
  <c r="BI329" i="13"/>
  <c r="BI418" i="13"/>
  <c r="BO422" i="13"/>
  <c r="BJ379" i="13"/>
  <c r="AY306" i="13"/>
  <c r="BD161" i="13"/>
  <c r="Y231" i="13"/>
  <c r="AR441" i="13"/>
  <c r="AD177" i="13"/>
  <c r="AJ239" i="13"/>
  <c r="W493" i="13"/>
  <c r="BJ241" i="13"/>
  <c r="BN212" i="13"/>
  <c r="BG239" i="13"/>
  <c r="AH238" i="13"/>
  <c r="AC414" i="13"/>
  <c r="Q11" i="13"/>
  <c r="AC79" i="13"/>
  <c r="BL307" i="13"/>
  <c r="AZ388" i="13"/>
  <c r="BQ372" i="13"/>
  <c r="BD336" i="13"/>
  <c r="AF257" i="13"/>
  <c r="F219" i="13"/>
  <c r="AL466" i="13"/>
  <c r="F133" i="13"/>
  <c r="AO220" i="13"/>
  <c r="AE54" i="13"/>
  <c r="AP364" i="13"/>
  <c r="BS454" i="13"/>
  <c r="BB483" i="13"/>
  <c r="BS385" i="13"/>
  <c r="BR3" i="13"/>
  <c r="Y455" i="13"/>
  <c r="AP276" i="13"/>
  <c r="AR202" i="13"/>
  <c r="L158" i="13"/>
  <c r="C275" i="13"/>
  <c r="T101" i="13"/>
  <c r="BJ69" i="13"/>
  <c r="BC306" i="13"/>
  <c r="Q491" i="13"/>
  <c r="Q296" i="13"/>
  <c r="AQ361" i="13"/>
  <c r="BL139" i="13"/>
  <c r="BO387" i="13"/>
  <c r="AK418" i="13"/>
  <c r="U485" i="13"/>
  <c r="BC140" i="13"/>
  <c r="O343" i="13"/>
  <c r="K338" i="13"/>
  <c r="X234" i="13"/>
  <c r="AE254" i="13"/>
  <c r="BK245" i="13"/>
  <c r="AT292" i="13"/>
  <c r="E210" i="13"/>
  <c r="AI411" i="13"/>
  <c r="L178" i="13"/>
  <c r="BT257" i="13"/>
  <c r="AT463" i="13"/>
  <c r="AN210" i="13"/>
  <c r="R191" i="13"/>
  <c r="V289" i="13"/>
  <c r="BK341" i="13"/>
  <c r="AF381" i="13"/>
  <c r="AO219" i="13"/>
  <c r="BI387" i="13"/>
  <c r="AU310" i="13"/>
  <c r="AD82" i="13"/>
  <c r="T416" i="13"/>
  <c r="BE43" i="13"/>
  <c r="AM360" i="13"/>
  <c r="AC164" i="13"/>
  <c r="Z179" i="13"/>
  <c r="AT91" i="13"/>
  <c r="W386" i="13"/>
  <c r="A81" i="13"/>
  <c r="U353" i="13"/>
  <c r="B230" i="13"/>
  <c r="M266" i="13"/>
  <c r="AC25" i="13"/>
  <c r="BB353" i="13"/>
  <c r="F325" i="13"/>
  <c r="BD447" i="13"/>
  <c r="K127" i="13"/>
  <c r="J343" i="13"/>
  <c r="L389" i="13"/>
  <c r="BK154" i="13"/>
  <c r="A458" i="13"/>
  <c r="BW369" i="13"/>
  <c r="BD493" i="13"/>
  <c r="AB445" i="13"/>
  <c r="D141" i="13"/>
  <c r="A150" i="13"/>
  <c r="AA277" i="13"/>
  <c r="BN184" i="13"/>
  <c r="AH97" i="13"/>
  <c r="AZ173" i="13"/>
  <c r="AE468" i="13"/>
  <c r="AT418" i="13"/>
  <c r="BS417" i="13"/>
  <c r="BB447" i="13"/>
  <c r="AE486" i="13"/>
  <c r="Y485" i="13"/>
  <c r="AM352" i="13"/>
  <c r="E266" i="13"/>
  <c r="BA494" i="13"/>
  <c r="AY249" i="13"/>
  <c r="AE287" i="13"/>
  <c r="AX183" i="13"/>
  <c r="AJ408" i="13"/>
  <c r="U114" i="13"/>
  <c r="AG468" i="13"/>
  <c r="BC393" i="13"/>
  <c r="AS218" i="13"/>
  <c r="AS367" i="13"/>
  <c r="BI127" i="13"/>
  <c r="T242" i="13"/>
  <c r="U379" i="13"/>
  <c r="AE99" i="13"/>
  <c r="BA171" i="13"/>
  <c r="AH77" i="13"/>
  <c r="H70" i="13"/>
  <c r="BU475" i="13"/>
  <c r="AM374" i="13"/>
  <c r="AC374" i="13"/>
  <c r="AJ349" i="13"/>
  <c r="AY12" i="13"/>
  <c r="AI397" i="13"/>
  <c r="AK497" i="13"/>
  <c r="BD395" i="13"/>
  <c r="BQ427" i="13"/>
  <c r="BA213" i="13"/>
  <c r="R468" i="13"/>
  <c r="T287" i="13"/>
  <c r="BL329" i="13"/>
  <c r="L152" i="13"/>
  <c r="AU293" i="13"/>
  <c r="BG262" i="13"/>
  <c r="BQ445" i="13"/>
  <c r="Y464" i="13"/>
  <c r="AC395" i="13"/>
  <c r="AJ121" i="13"/>
  <c r="X45" i="13"/>
  <c r="M448" i="13"/>
  <c r="G293" i="13"/>
  <c r="BU6" i="13"/>
  <c r="BF164" i="13"/>
  <c r="AB458" i="13"/>
  <c r="BB492" i="13"/>
  <c r="AN483" i="13"/>
  <c r="BM426" i="13"/>
  <c r="AQ412" i="13"/>
  <c r="AL131" i="13"/>
  <c r="P413" i="13"/>
  <c r="H321" i="13"/>
  <c r="AV89" i="13"/>
  <c r="AN365" i="13"/>
  <c r="D187" i="13"/>
  <c r="T94" i="13"/>
  <c r="AY459" i="13"/>
  <c r="AW261" i="13"/>
  <c r="C494" i="13"/>
  <c r="AM291" i="13"/>
  <c r="BD216" i="13"/>
  <c r="Y488" i="13"/>
  <c r="O432" i="13"/>
  <c r="I488" i="13"/>
  <c r="K462" i="13"/>
  <c r="L259" i="13"/>
  <c r="J155" i="13"/>
  <c r="Z129" i="13"/>
  <c r="BN235" i="13"/>
  <c r="AS191" i="13"/>
  <c r="AF308" i="13"/>
  <c r="T354" i="13"/>
  <c r="AI239" i="13"/>
  <c r="S389" i="13"/>
  <c r="BO190" i="13"/>
  <c r="BA147" i="13"/>
  <c r="AO367" i="13"/>
  <c r="G323" i="13"/>
  <c r="AG467" i="13"/>
  <c r="AR134" i="13"/>
  <c r="AY383" i="13"/>
  <c r="S441" i="13"/>
  <c r="BA459" i="13"/>
  <c r="AW8" i="13"/>
  <c r="I464" i="13"/>
  <c r="K497" i="13"/>
  <c r="AS482" i="13"/>
  <c r="AA207" i="13"/>
  <c r="BG442" i="13"/>
  <c r="AQ489" i="13"/>
  <c r="U266" i="13"/>
  <c r="L6" i="13"/>
  <c r="BR242" i="13"/>
  <c r="M424" i="13"/>
  <c r="BH415" i="13"/>
  <c r="AO197" i="13"/>
  <c r="AX123" i="13"/>
  <c r="Q324" i="13"/>
  <c r="BQ265" i="13"/>
  <c r="Y62" i="13"/>
  <c r="AV221" i="13"/>
  <c r="AU453" i="13"/>
  <c r="AB127" i="13"/>
  <c r="BI266" i="13"/>
  <c r="K22" i="13"/>
  <c r="V408" i="13"/>
  <c r="AC166" i="13"/>
  <c r="AV183" i="13"/>
  <c r="J238" i="13"/>
  <c r="BL314" i="13"/>
  <c r="Q401" i="13"/>
  <c r="S444" i="13"/>
  <c r="BE272" i="13"/>
  <c r="BI251" i="13"/>
  <c r="P51" i="13"/>
  <c r="E347" i="13"/>
  <c r="AG404" i="13"/>
  <c r="AP495" i="13"/>
  <c r="AH20" i="13"/>
  <c r="X35" i="13"/>
  <c r="AX330" i="13"/>
  <c r="F170" i="13"/>
  <c r="AI163" i="13"/>
  <c r="BD460" i="13"/>
  <c r="BL370" i="13"/>
  <c r="BJ32" i="13"/>
  <c r="AS266" i="13"/>
  <c r="AE238" i="13"/>
  <c r="BN469" i="13"/>
  <c r="AI465" i="13"/>
  <c r="BQ360" i="13"/>
  <c r="AS476" i="13"/>
  <c r="AT190" i="13"/>
  <c r="J177" i="13"/>
  <c r="BW113" i="13"/>
  <c r="BF358" i="13"/>
  <c r="N140" i="13"/>
  <c r="BC390" i="13"/>
  <c r="BS341" i="13"/>
  <c r="M390" i="13"/>
  <c r="BN225" i="13"/>
  <c r="Z375" i="13"/>
  <c r="BB255" i="13"/>
  <c r="AK460" i="13"/>
  <c r="AS305" i="13"/>
  <c r="D77" i="13"/>
  <c r="E341" i="13"/>
  <c r="H165" i="13"/>
  <c r="AQ114" i="13"/>
  <c r="BF405" i="13"/>
  <c r="AX87" i="13"/>
  <c r="AV321" i="13"/>
  <c r="BR431" i="13"/>
  <c r="S423" i="13"/>
  <c r="BT406" i="13"/>
  <c r="AI460" i="13"/>
  <c r="D196" i="13"/>
  <c r="BC258" i="13"/>
  <c r="Y246" i="13"/>
  <c r="AW420" i="13"/>
  <c r="L230" i="13"/>
  <c r="BE371" i="13"/>
  <c r="Q263" i="13"/>
  <c r="AT409" i="13"/>
  <c r="AL242" i="13"/>
  <c r="D188" i="13"/>
  <c r="AA401" i="13"/>
  <c r="AY22" i="13"/>
  <c r="AB322" i="13"/>
  <c r="S214" i="13"/>
  <c r="B342" i="13"/>
  <c r="AS284" i="13"/>
  <c r="AV318" i="13"/>
  <c r="BA491" i="13"/>
  <c r="E466" i="13"/>
  <c r="BV268" i="13"/>
  <c r="R218" i="13"/>
  <c r="BH384" i="13"/>
  <c r="AS148" i="13"/>
  <c r="V246" i="13"/>
  <c r="Q234" i="13"/>
  <c r="AA197" i="13"/>
  <c r="B117" i="13"/>
  <c r="AF7" i="13"/>
  <c r="BL129" i="13"/>
  <c r="AB432" i="13"/>
  <c r="W309" i="13"/>
  <c r="AG476" i="13"/>
  <c r="AW488" i="13"/>
  <c r="W135" i="13"/>
  <c r="BH5" i="13"/>
  <c r="BK319" i="13"/>
  <c r="BN160" i="13"/>
  <c r="BN366" i="13"/>
  <c r="P242" i="13"/>
  <c r="AK499" i="13"/>
  <c r="BS452" i="13"/>
  <c r="Y404" i="13"/>
  <c r="BO302" i="13"/>
  <c r="V101" i="13"/>
  <c r="T466" i="13"/>
  <c r="D486" i="13"/>
  <c r="AH4" i="13"/>
  <c r="BN415" i="13"/>
  <c r="AA125" i="13"/>
  <c r="AJ414" i="13"/>
  <c r="R379" i="13"/>
  <c r="X254" i="13"/>
  <c r="BF372" i="13"/>
  <c r="AJ431" i="13"/>
  <c r="X415" i="13"/>
  <c r="BB484" i="13"/>
  <c r="AH470" i="13"/>
  <c r="BI484" i="13"/>
  <c r="BO175" i="13"/>
  <c r="AJ218" i="13"/>
  <c r="AZ228" i="13"/>
  <c r="K38" i="13"/>
  <c r="BV287" i="13"/>
  <c r="BM341" i="13"/>
  <c r="AT445" i="13"/>
  <c r="AD317" i="13"/>
  <c r="L96" i="13"/>
  <c r="Q411" i="13"/>
  <c r="AZ405" i="13"/>
  <c r="BT472" i="13"/>
  <c r="AI170" i="13"/>
  <c r="BQ486" i="13"/>
  <c r="G410" i="13"/>
  <c r="H426" i="13"/>
  <c r="D470" i="13"/>
  <c r="AM323" i="13"/>
  <c r="V222" i="13"/>
  <c r="BU462" i="13"/>
  <c r="AT312" i="13"/>
  <c r="AC348" i="13"/>
  <c r="B288" i="13"/>
  <c r="BU5" i="13"/>
  <c r="BH484" i="13"/>
  <c r="O227" i="13"/>
  <c r="V323" i="13"/>
  <c r="AU61" i="13"/>
  <c r="AU99" i="13"/>
  <c r="BG206" i="13"/>
  <c r="X176" i="13"/>
  <c r="C435" i="13"/>
  <c r="AS231" i="13"/>
  <c r="B83" i="13"/>
  <c r="Z93" i="13"/>
  <c r="P5" i="13"/>
  <c r="M108" i="13"/>
  <c r="BL7" i="13"/>
  <c r="BU487" i="13"/>
  <c r="AS11" i="13"/>
  <c r="S28" i="13"/>
  <c r="AM315" i="13"/>
  <c r="BM33" i="13"/>
  <c r="AC419" i="13"/>
  <c r="U273" i="13"/>
  <c r="AM235" i="13"/>
  <c r="AD479" i="13"/>
  <c r="K88" i="13"/>
  <c r="AF62" i="13"/>
  <c r="BR169" i="13"/>
  <c r="G286" i="13"/>
  <c r="W426" i="13"/>
  <c r="I96" i="13"/>
  <c r="AA451" i="13"/>
  <c r="AW18" i="13"/>
  <c r="BJ63" i="13"/>
  <c r="Y438" i="13"/>
  <c r="AW57" i="13"/>
  <c r="P462" i="13"/>
  <c r="N150" i="13"/>
  <c r="F392" i="13"/>
  <c r="AO94" i="13"/>
  <c r="M488" i="13"/>
  <c r="AB465" i="13"/>
  <c r="AL465" i="13"/>
  <c r="AE436" i="13"/>
  <c r="T300" i="13"/>
  <c r="BD369" i="13"/>
  <c r="AG182" i="13"/>
  <c r="AV415" i="13"/>
  <c r="AG442" i="13"/>
  <c r="AR326" i="13"/>
  <c r="D270" i="13"/>
  <c r="K261" i="13"/>
  <c r="AE273" i="13"/>
  <c r="BM403" i="13"/>
  <c r="N336" i="13"/>
  <c r="BR414" i="13"/>
  <c r="F276" i="13"/>
  <c r="BV218" i="13"/>
  <c r="AP376" i="13"/>
  <c r="M299" i="13"/>
  <c r="AM461" i="13"/>
  <c r="AT420" i="13"/>
  <c r="AK240" i="13"/>
  <c r="AW188" i="13"/>
  <c r="BC337" i="13"/>
  <c r="Q171" i="13"/>
  <c r="AS22" i="13"/>
  <c r="AS352" i="13"/>
  <c r="BP147" i="13"/>
  <c r="F60" i="13"/>
  <c r="BW358" i="13"/>
  <c r="G340" i="13"/>
  <c r="BQ107" i="13"/>
  <c r="BH274" i="13"/>
  <c r="AP97" i="13"/>
  <c r="BA370" i="13"/>
  <c r="BV204" i="13"/>
  <c r="AO224" i="13"/>
  <c r="AE61" i="13"/>
  <c r="AM71" i="13"/>
  <c r="BT230" i="13"/>
  <c r="BH135" i="13"/>
  <c r="AH186" i="13"/>
  <c r="BO72" i="13"/>
  <c r="AC22" i="13"/>
  <c r="AM193" i="13"/>
  <c r="AP105" i="13"/>
  <c r="AW320" i="13"/>
  <c r="K237" i="13"/>
  <c r="BT379" i="13"/>
  <c r="P474" i="13"/>
  <c r="BD448" i="13"/>
  <c r="K175" i="13"/>
  <c r="BC127" i="13"/>
  <c r="I234" i="13"/>
  <c r="AO379" i="13"/>
  <c r="BF441" i="13"/>
  <c r="BJ335" i="13"/>
  <c r="AN469" i="13"/>
  <c r="AE306" i="13"/>
  <c r="H353" i="13"/>
  <c r="U315" i="13"/>
  <c r="V499" i="13"/>
  <c r="W352" i="13"/>
  <c r="AB293" i="13"/>
  <c r="BK284" i="13"/>
  <c r="BV456" i="13"/>
  <c r="BV277" i="13"/>
  <c r="AC496" i="13"/>
  <c r="R337" i="13"/>
  <c r="AN278" i="13"/>
  <c r="AW91" i="13"/>
  <c r="BQ308" i="13"/>
  <c r="BS461" i="13"/>
  <c r="A309" i="13"/>
  <c r="AL87" i="13"/>
  <c r="AA283" i="13"/>
  <c r="AO237" i="13"/>
  <c r="AG181" i="13"/>
  <c r="U253" i="13"/>
  <c r="AB257" i="13"/>
  <c r="BW390" i="13"/>
  <c r="AI167" i="13"/>
  <c r="BQ281" i="13"/>
  <c r="Q100" i="13"/>
  <c r="BC484" i="13"/>
  <c r="AZ99" i="13"/>
  <c r="AL352" i="13"/>
  <c r="R288" i="13"/>
  <c r="G265" i="13"/>
  <c r="BI296" i="13"/>
  <c r="BK427" i="13"/>
  <c r="AN335" i="13"/>
  <c r="P283" i="13"/>
  <c r="Z192" i="13"/>
  <c r="AZ349" i="13"/>
  <c r="AS86" i="13"/>
  <c r="N339" i="13"/>
  <c r="BH404" i="13"/>
  <c r="AD248" i="13"/>
  <c r="AP295" i="13"/>
  <c r="AP201" i="13"/>
  <c r="AE463" i="13"/>
  <c r="BT300" i="13"/>
  <c r="BO327" i="13"/>
  <c r="AH422" i="13"/>
  <c r="AL396" i="13"/>
  <c r="AY96" i="13"/>
  <c r="BU349" i="13"/>
  <c r="V164" i="13"/>
  <c r="BR253" i="13"/>
  <c r="AH373" i="13"/>
  <c r="BH231" i="13"/>
  <c r="BV379" i="13"/>
  <c r="BC310" i="13"/>
  <c r="AG319" i="13"/>
  <c r="BI460" i="13"/>
  <c r="M101" i="13"/>
  <c r="A462" i="13"/>
  <c r="AN408" i="13"/>
  <c r="U193" i="13"/>
  <c r="AM178" i="13"/>
  <c r="Z352" i="13"/>
  <c r="AZ487" i="13"/>
  <c r="AK256" i="13"/>
  <c r="BW131" i="13"/>
  <c r="AJ412" i="13"/>
  <c r="L425" i="13"/>
  <c r="BG115" i="13"/>
  <c r="G332" i="13"/>
  <c r="BC444" i="13"/>
  <c r="U115" i="13"/>
  <c r="AR267" i="13"/>
  <c r="AC9" i="13"/>
  <c r="AT443" i="13"/>
  <c r="I78" i="13"/>
  <c r="T390" i="13"/>
  <c r="T72" i="13"/>
  <c r="BM485" i="13"/>
  <c r="BR340" i="13"/>
  <c r="BO432" i="13"/>
  <c r="J429" i="13"/>
  <c r="I167" i="13"/>
  <c r="W191" i="13"/>
  <c r="BP449" i="13"/>
  <c r="BD340" i="13"/>
  <c r="BJ388" i="13"/>
  <c r="AG347" i="13"/>
  <c r="V98" i="13"/>
  <c r="BH320" i="13"/>
  <c r="L193" i="13"/>
  <c r="AH143" i="13"/>
  <c r="Z107" i="13"/>
  <c r="BE267" i="13"/>
  <c r="AW312" i="13"/>
  <c r="BM284" i="13"/>
  <c r="AE210" i="13"/>
  <c r="BU404" i="13"/>
  <c r="BA75" i="13"/>
  <c r="AF440" i="13"/>
  <c r="O216" i="13"/>
  <c r="R273" i="13"/>
  <c r="BN373" i="13"/>
  <c r="BG198" i="13"/>
  <c r="BP25" i="13"/>
  <c r="G262" i="13"/>
  <c r="BE468" i="13"/>
  <c r="N350" i="13"/>
  <c r="AD348" i="13"/>
  <c r="AD473" i="13"/>
  <c r="BC468" i="13"/>
  <c r="BO412" i="13"/>
  <c r="BU262" i="13"/>
  <c r="BI100" i="13"/>
  <c r="Z428" i="13"/>
  <c r="AH281" i="13"/>
  <c r="J135" i="13"/>
  <c r="BC296" i="13"/>
  <c r="BI186" i="13"/>
  <c r="AM329" i="13"/>
  <c r="AV373" i="13"/>
  <c r="AF479" i="13"/>
  <c r="G327" i="13"/>
  <c r="AS494" i="13"/>
  <c r="C138" i="13"/>
  <c r="BM47" i="13"/>
  <c r="AQ500" i="13"/>
  <c r="AB225" i="13"/>
  <c r="AE297" i="13"/>
  <c r="X454" i="13"/>
  <c r="BT395" i="13"/>
  <c r="BI209" i="13"/>
  <c r="G217" i="13"/>
  <c r="BH452" i="13"/>
  <c r="AZ413" i="13"/>
  <c r="S212" i="13"/>
  <c r="T14" i="13"/>
  <c r="BP470" i="13"/>
  <c r="AD281" i="13"/>
  <c r="BC294" i="13"/>
  <c r="BF419" i="13"/>
  <c r="Q472" i="13"/>
  <c r="J312" i="13"/>
  <c r="P354" i="13"/>
  <c r="F308" i="13"/>
  <c r="V135" i="13"/>
  <c r="AT44" i="13"/>
  <c r="A346" i="13"/>
  <c r="BH268" i="13"/>
  <c r="U63" i="13"/>
  <c r="BQ384" i="13"/>
  <c r="BB338" i="13"/>
  <c r="Q353" i="13"/>
  <c r="AB30" i="13"/>
  <c r="AE340" i="13"/>
  <c r="BU414" i="13"/>
  <c r="BR226" i="13"/>
  <c r="V288" i="13"/>
  <c r="AJ123" i="13"/>
  <c r="BE322" i="13"/>
  <c r="BW207" i="13"/>
  <c r="BN292" i="13"/>
  <c r="P477" i="13"/>
  <c r="BK326" i="13"/>
  <c r="J364" i="13"/>
  <c r="BH492" i="13"/>
  <c r="BC300" i="13"/>
  <c r="M258" i="13"/>
  <c r="AX309" i="13"/>
  <c r="AO488" i="13"/>
  <c r="BJ156" i="13"/>
  <c r="BQ221" i="13"/>
  <c r="BS462" i="13"/>
  <c r="G324" i="13"/>
  <c r="BG290" i="13"/>
  <c r="M337" i="13"/>
  <c r="AV126" i="13"/>
  <c r="BV116" i="13"/>
  <c r="B484" i="13"/>
  <c r="AL362" i="13"/>
  <c r="S418" i="13"/>
  <c r="AE93" i="13"/>
  <c r="J434" i="13"/>
  <c r="Z391" i="13"/>
  <c r="N452" i="13"/>
  <c r="V294" i="13"/>
  <c r="BB152" i="13"/>
  <c r="AE429" i="13"/>
  <c r="BE455" i="13"/>
  <c r="BQ75" i="13"/>
  <c r="L350" i="13"/>
  <c r="I245" i="13"/>
  <c r="C355" i="13"/>
  <c r="M191" i="13"/>
  <c r="AB167" i="13"/>
  <c r="BG217" i="13"/>
  <c r="AY484" i="13"/>
  <c r="BS162" i="13"/>
  <c r="AM455" i="13"/>
  <c r="BD432" i="13"/>
  <c r="L405" i="13"/>
  <c r="AJ196" i="13"/>
  <c r="AA417" i="13"/>
  <c r="AY442" i="13"/>
  <c r="AL234" i="13"/>
  <c r="S374" i="13"/>
  <c r="AY372" i="13"/>
  <c r="AW417" i="13"/>
  <c r="BU226" i="13"/>
  <c r="BR337" i="13"/>
  <c r="AQ381" i="13"/>
  <c r="AJ342" i="13"/>
  <c r="AG455" i="13"/>
  <c r="BS211" i="13"/>
  <c r="AU113" i="13"/>
  <c r="N381" i="13"/>
  <c r="AW498" i="13"/>
  <c r="BM318" i="13"/>
  <c r="BU370" i="13"/>
  <c r="BM72" i="13"/>
  <c r="F244" i="13"/>
  <c r="BV407" i="13"/>
  <c r="S183" i="13"/>
  <c r="AM411" i="13"/>
  <c r="C397" i="13"/>
  <c r="Y116" i="13"/>
  <c r="BL182" i="13"/>
  <c r="R385" i="13"/>
  <c r="AW294" i="13"/>
  <c r="AG334" i="13"/>
  <c r="BF384" i="13"/>
  <c r="BC205" i="13"/>
  <c r="AU19" i="13"/>
  <c r="AB333" i="13"/>
  <c r="AS492" i="13"/>
  <c r="BW84" i="13"/>
  <c r="A285" i="13"/>
  <c r="AR176" i="13"/>
  <c r="BD425" i="13"/>
  <c r="BU22" i="13"/>
  <c r="AQ154" i="13"/>
  <c r="AK443" i="13"/>
  <c r="BO343" i="13"/>
  <c r="AO87" i="13"/>
  <c r="AU349" i="13"/>
  <c r="G458" i="13"/>
  <c r="AI458" i="13"/>
  <c r="BV199" i="13"/>
  <c r="BK278" i="13"/>
  <c r="BE244" i="13"/>
  <c r="AV266" i="13"/>
  <c r="BA390" i="13"/>
  <c r="BR367" i="13"/>
  <c r="BO455" i="13"/>
  <c r="BC372" i="13"/>
  <c r="BI246" i="13"/>
  <c r="AW379" i="13"/>
  <c r="AD478" i="13"/>
  <c r="AM254" i="13"/>
  <c r="AF391" i="13"/>
  <c r="Q7" i="13"/>
  <c r="T228" i="13"/>
  <c r="J234" i="13"/>
  <c r="BU270" i="13"/>
  <c r="A359" i="13"/>
  <c r="B272" i="13"/>
  <c r="W404" i="13"/>
  <c r="BN403" i="13"/>
  <c r="AB459" i="13"/>
  <c r="BR366" i="13"/>
  <c r="BV115" i="13"/>
  <c r="AZ382" i="13"/>
  <c r="K153" i="13"/>
  <c r="AX238" i="13"/>
  <c r="AP411" i="13"/>
  <c r="AX397" i="13"/>
  <c r="AD481" i="13"/>
  <c r="BE156" i="13"/>
  <c r="BD189" i="13"/>
  <c r="AG483" i="13"/>
  <c r="Q474" i="13"/>
  <c r="BA296" i="13"/>
  <c r="BS274" i="13"/>
  <c r="AH455" i="13"/>
  <c r="Z19" i="5"/>
  <c r="Y19" i="5"/>
  <c r="X11" i="5"/>
  <c r="X33" i="5"/>
  <c r="Z33" i="5" s="1"/>
  <c r="DE27" i="11"/>
  <c r="DD27" i="11"/>
  <c r="X49" i="5"/>
  <c r="AC28" i="11"/>
  <c r="E24" i="12" s="1"/>
  <c r="F24" i="12" s="1"/>
  <c r="AC27" i="11"/>
  <c r="DB27" i="11"/>
  <c r="DB28" i="11" s="1"/>
  <c r="DC27" i="11"/>
  <c r="X54" i="5"/>
  <c r="X31" i="5"/>
  <c r="X41" i="5"/>
  <c r="X52" i="5"/>
  <c r="AC40" i="11"/>
  <c r="AC39" i="11"/>
  <c r="X75" i="5"/>
  <c r="BA28" i="11"/>
  <c r="T24" i="12" s="1"/>
  <c r="U24" i="12" s="1"/>
  <c r="BA27" i="11"/>
  <c r="T23" i="12" s="1"/>
  <c r="U23" i="12" s="1"/>
  <c r="N11" i="12"/>
  <c r="O11" i="12" s="1"/>
  <c r="BY2" i="7"/>
  <c r="AS21" i="11"/>
  <c r="Y68" i="5"/>
  <c r="X55" i="5"/>
  <c r="DB19" i="11"/>
  <c r="DD19" i="11"/>
  <c r="AC21" i="11"/>
  <c r="CO19" i="11"/>
  <c r="E11" i="12"/>
  <c r="F11" i="12" s="1"/>
  <c r="BW2" i="7"/>
  <c r="DE19" i="11"/>
  <c r="DC19" i="11"/>
  <c r="X37" i="5"/>
  <c r="BA35" i="11"/>
  <c r="BA36" i="11"/>
  <c r="X51" i="5"/>
  <c r="AC36" i="11"/>
  <c r="AC35" i="11"/>
  <c r="X27" i="5"/>
  <c r="X40" i="5"/>
  <c r="Z40" i="5" s="1"/>
  <c r="X8" i="5"/>
  <c r="AC31" i="11"/>
  <c r="X53" i="5"/>
  <c r="AC32" i="11"/>
  <c r="AK39" i="11"/>
  <c r="AK40" i="11"/>
  <c r="X70" i="5"/>
  <c r="X16" i="5"/>
  <c r="Q2" i="7"/>
  <c r="T12" i="12"/>
  <c r="U12" i="12" s="1"/>
  <c r="AS40" i="11"/>
  <c r="AS39" i="11"/>
  <c r="X7" i="5"/>
  <c r="X69" i="5"/>
  <c r="X50" i="5"/>
  <c r="X24" i="5"/>
  <c r="Z24" i="5" s="1"/>
  <c r="AS35" i="11"/>
  <c r="AS36" i="11"/>
  <c r="X45" i="5"/>
  <c r="Z45" i="5" s="1"/>
  <c r="BZ2" i="7"/>
  <c r="BA21" i="11"/>
  <c r="T11" i="12"/>
  <c r="U11" i="12" s="1"/>
  <c r="X44" i="5"/>
  <c r="Z57" i="5"/>
  <c r="Y57" i="5"/>
  <c r="X23" i="5"/>
  <c r="Z23" i="5" s="1"/>
  <c r="BA32" i="11"/>
  <c r="BA31" i="11"/>
  <c r="X34" i="5"/>
  <c r="X18" i="5"/>
  <c r="X22" i="5"/>
  <c r="X73" i="5"/>
  <c r="X26" i="5"/>
  <c r="N12" i="12"/>
  <c r="O12" i="12" s="1"/>
  <c r="P2" i="7"/>
  <c r="AK27" i="11"/>
  <c r="H23" i="12" s="1"/>
  <c r="I23" i="12" s="1"/>
  <c r="AK28" i="11"/>
  <c r="H24" i="12" s="1"/>
  <c r="I24" i="12" s="1"/>
  <c r="H12" i="12"/>
  <c r="I12" i="12" s="1"/>
  <c r="O2" i="7"/>
  <c r="X56" i="5"/>
  <c r="X61" i="5"/>
  <c r="X59" i="5"/>
  <c r="C202" i="13" l="1"/>
  <c r="H105" i="13"/>
  <c r="BJ94" i="13"/>
  <c r="H39" i="13"/>
  <c r="L23" i="13"/>
  <c r="BI71" i="13"/>
  <c r="BL368" i="13"/>
  <c r="BD136" i="13"/>
  <c r="G97" i="13"/>
  <c r="AI136" i="13"/>
  <c r="J120" i="13"/>
  <c r="AV21" i="13"/>
  <c r="Q115" i="13"/>
  <c r="K56" i="13"/>
  <c r="AF124" i="13"/>
  <c r="BA57" i="13"/>
  <c r="K125" i="13"/>
  <c r="AD239" i="13"/>
  <c r="BR51" i="13"/>
  <c r="AW74" i="13"/>
  <c r="BM162" i="13"/>
  <c r="BC81" i="13"/>
  <c r="E54" i="13"/>
  <c r="BI90" i="13"/>
  <c r="AJ80" i="13"/>
  <c r="AD29" i="13"/>
  <c r="P388" i="13"/>
  <c r="J55" i="13"/>
  <c r="E61" i="13"/>
  <c r="BU131" i="13"/>
  <c r="AY31" i="13"/>
  <c r="BT89" i="13"/>
  <c r="AR373" i="13"/>
  <c r="V91" i="13"/>
  <c r="BH197" i="13"/>
  <c r="C13" i="13"/>
  <c r="S108" i="13"/>
  <c r="BT111" i="13"/>
  <c r="Z322" i="13"/>
  <c r="P60" i="13"/>
  <c r="AR104" i="13"/>
  <c r="BB154" i="13"/>
  <c r="BR49" i="13"/>
  <c r="AE67" i="13"/>
  <c r="BM61" i="13"/>
  <c r="V55" i="13"/>
  <c r="BK40" i="13"/>
  <c r="I183" i="13"/>
  <c r="AP70" i="13"/>
  <c r="BK103" i="13"/>
  <c r="BA25" i="13"/>
  <c r="H120" i="13"/>
  <c r="BD148" i="13"/>
  <c r="AK92" i="13"/>
  <c r="BW60" i="13"/>
  <c r="AI74" i="13"/>
  <c r="AA127" i="13"/>
  <c r="BA28" i="13"/>
  <c r="R55" i="13"/>
  <c r="AG220" i="13"/>
  <c r="BE138" i="13"/>
  <c r="AF49" i="13"/>
  <c r="AZ38" i="13"/>
  <c r="AM40" i="13"/>
  <c r="V63" i="13"/>
  <c r="A79" i="13"/>
  <c r="AJ337" i="13"/>
  <c r="BQ184" i="13"/>
  <c r="F118" i="13"/>
  <c r="AG458" i="13"/>
  <c r="G198" i="13"/>
  <c r="AK25" i="13"/>
  <c r="AZ112" i="13"/>
  <c r="AM113" i="13"/>
  <c r="AQ119" i="13"/>
  <c r="AW37" i="13"/>
  <c r="D152" i="13"/>
  <c r="J354" i="13"/>
  <c r="B110" i="13"/>
  <c r="BW67" i="13"/>
  <c r="N346" i="13"/>
  <c r="AO493" i="13"/>
  <c r="BK83" i="13"/>
  <c r="BE216" i="13"/>
  <c r="W59" i="13"/>
  <c r="E32" i="13"/>
  <c r="F59" i="13"/>
  <c r="AR68" i="13"/>
  <c r="AD131" i="13"/>
  <c r="BO254" i="13"/>
  <c r="I142" i="13"/>
  <c r="BQ164" i="13"/>
  <c r="AZ123" i="13"/>
  <c r="L171" i="13"/>
  <c r="E439" i="13"/>
  <c r="AC87" i="13"/>
  <c r="AU161" i="13"/>
  <c r="BG48" i="13"/>
  <c r="L124" i="13"/>
  <c r="BT71" i="13"/>
  <c r="AF156" i="13"/>
  <c r="AI116" i="13"/>
  <c r="AI94" i="13"/>
  <c r="BF38" i="13"/>
  <c r="BK4" i="13"/>
  <c r="BF78" i="13"/>
  <c r="T87" i="13"/>
  <c r="I62" i="13"/>
  <c r="I8" i="13"/>
  <c r="BH112" i="13"/>
  <c r="Z97" i="13"/>
  <c r="M336" i="13"/>
  <c r="AD69" i="13"/>
  <c r="BI146" i="13"/>
  <c r="AD111" i="13"/>
  <c r="N19" i="13"/>
  <c r="U48" i="13"/>
  <c r="BI118" i="13"/>
  <c r="N74" i="13"/>
  <c r="AJ72" i="13"/>
  <c r="BM113" i="13"/>
  <c r="G120" i="13"/>
  <c r="AQ108" i="13"/>
  <c r="BF30" i="13"/>
  <c r="U84" i="13"/>
  <c r="AO31" i="13"/>
  <c r="AZ30" i="13"/>
  <c r="BM96" i="13"/>
  <c r="AT34" i="13"/>
  <c r="J182" i="13"/>
  <c r="BG81" i="13"/>
  <c r="AI184" i="13"/>
  <c r="AY25" i="13"/>
  <c r="H48" i="13"/>
  <c r="AI269" i="13"/>
  <c r="M105" i="13"/>
  <c r="AD12" i="13"/>
  <c r="Q16" i="13"/>
  <c r="H63" i="13"/>
  <c r="BL17" i="13"/>
  <c r="BQ82" i="13"/>
  <c r="BA405" i="13"/>
  <c r="BF106" i="13"/>
  <c r="BJ50" i="13"/>
  <c r="D210" i="13"/>
  <c r="B414" i="13"/>
  <c r="BI36" i="13"/>
  <c r="U54" i="13"/>
  <c r="BC77" i="13"/>
  <c r="N67" i="13"/>
  <c r="BC138" i="13"/>
  <c r="BD211" i="13"/>
  <c r="T54" i="13"/>
  <c r="BO20" i="13"/>
  <c r="AV26" i="13"/>
  <c r="BQ141" i="13"/>
  <c r="AW124" i="13"/>
  <c r="BI124" i="13"/>
  <c r="A73" i="13"/>
  <c r="BK24" i="13"/>
  <c r="AB59" i="13"/>
  <c r="BA17" i="13"/>
  <c r="O69" i="13"/>
  <c r="AM27" i="13"/>
  <c r="BC94" i="13"/>
  <c r="AG126" i="13"/>
  <c r="AC63" i="13"/>
  <c r="M117" i="13"/>
  <c r="Y322" i="13"/>
  <c r="Y67" i="5"/>
  <c r="CO31" i="11"/>
  <c r="CO32" i="11" s="1"/>
  <c r="CO35" i="11"/>
  <c r="CO36" i="11" s="1"/>
  <c r="Y71" i="5"/>
  <c r="Y61" i="5"/>
  <c r="Z61" i="5"/>
  <c r="Z54" i="5"/>
  <c r="Y54" i="5"/>
  <c r="Z34" i="5"/>
  <c r="Y34" i="5"/>
  <c r="CL2" i="7"/>
  <c r="T13" i="12"/>
  <c r="U13" i="12" s="1"/>
  <c r="Y37" i="5"/>
  <c r="Z37" i="5"/>
  <c r="Z63" i="5"/>
  <c r="Y63" i="5"/>
  <c r="Y59" i="5"/>
  <c r="Z59" i="5"/>
  <c r="Y22" i="5"/>
  <c r="Z22" i="5"/>
  <c r="Y44" i="5"/>
  <c r="Z44" i="5"/>
  <c r="Z50" i="5"/>
  <c r="Y50" i="5"/>
  <c r="Y70" i="5"/>
  <c r="Z70" i="5"/>
  <c r="Z53" i="5"/>
  <c r="Y53" i="5"/>
  <c r="Y27" i="5"/>
  <c r="Z27" i="5"/>
  <c r="DF19" i="11"/>
  <c r="DJ19" i="11" s="1"/>
  <c r="AX11" i="12"/>
  <c r="AY11" i="12" s="1"/>
  <c r="DI19" i="11"/>
  <c r="DH19" i="11"/>
  <c r="DE21" i="11"/>
  <c r="DG19" i="11"/>
  <c r="DE20" i="11"/>
  <c r="W11" i="12"/>
  <c r="X11" i="12" s="1"/>
  <c r="CI2" i="7"/>
  <c r="E13" i="12"/>
  <c r="F13" i="12" s="1"/>
  <c r="CO39" i="11"/>
  <c r="CO40" i="11" s="1"/>
  <c r="Z31" i="5"/>
  <c r="Y31" i="5"/>
  <c r="E23" i="12"/>
  <c r="F23" i="12" s="1"/>
  <c r="CO27" i="11"/>
  <c r="CO28" i="11" s="1"/>
  <c r="BY18" i="11" s="1"/>
  <c r="AX23" i="12"/>
  <c r="AY23" i="12" s="1"/>
  <c r="DI27" i="11"/>
  <c r="DI28" i="11" s="1"/>
  <c r="DH27" i="11"/>
  <c r="DH28" i="11" s="1"/>
  <c r="DJ27" i="11"/>
  <c r="DF27" i="11"/>
  <c r="DF28" i="11" s="1"/>
  <c r="DG27" i="11"/>
  <c r="DG28" i="11" s="1"/>
  <c r="W23" i="12"/>
  <c r="X23" i="12" s="1"/>
  <c r="DE28" i="11"/>
  <c r="Y60" i="5"/>
  <c r="Z60" i="5"/>
  <c r="Z74" i="5"/>
  <c r="Y74" i="5"/>
  <c r="Y7" i="5"/>
  <c r="Z7" i="5"/>
  <c r="DB21" i="11"/>
  <c r="DB20" i="11"/>
  <c r="N13" i="12"/>
  <c r="O13" i="12" s="1"/>
  <c r="CK2" i="7"/>
  <c r="Y52" i="5"/>
  <c r="Z52" i="5"/>
  <c r="DC28" i="11"/>
  <c r="K24" i="12" s="1"/>
  <c r="L24" i="12" s="1"/>
  <c r="K23" i="12"/>
  <c r="L23" i="12" s="1"/>
  <c r="Y11" i="5"/>
  <c r="Z11" i="5"/>
  <c r="Y15" i="5"/>
  <c r="Z15" i="5"/>
  <c r="Z62" i="5"/>
  <c r="Y62" i="5"/>
  <c r="Z18" i="5"/>
  <c r="Y18" i="5"/>
  <c r="Y69" i="5"/>
  <c r="Z69" i="5"/>
  <c r="DD20" i="11"/>
  <c r="Q12" i="12" s="1"/>
  <c r="R12" i="12" s="1"/>
  <c r="Q11" i="12"/>
  <c r="R11" i="12" s="1"/>
  <c r="DD21" i="11"/>
  <c r="Q13" i="12" s="1"/>
  <c r="R13" i="12" s="1"/>
  <c r="Z72" i="5"/>
  <c r="Y72" i="5"/>
  <c r="Y56" i="5"/>
  <c r="Z56" i="5"/>
  <c r="Y26" i="5"/>
  <c r="Z26" i="5"/>
  <c r="Y8" i="5"/>
  <c r="Z8" i="5"/>
  <c r="Z49" i="5"/>
  <c r="Y49" i="5"/>
  <c r="Y73" i="5"/>
  <c r="Z73" i="5"/>
  <c r="Z16" i="5"/>
  <c r="Y16" i="5"/>
  <c r="Y51" i="5"/>
  <c r="Z51" i="5"/>
  <c r="DC20" i="11"/>
  <c r="K12" i="12" s="1"/>
  <c r="L12" i="12" s="1"/>
  <c r="DC21" i="11"/>
  <c r="K13" i="12" s="1"/>
  <c r="L13" i="12" s="1"/>
  <c r="K11" i="12"/>
  <c r="L11" i="12" s="1"/>
  <c r="BY21" i="11"/>
  <c r="CG2" i="7" s="1"/>
  <c r="CO20" i="11"/>
  <c r="CA2" i="7"/>
  <c r="CO21" i="11"/>
  <c r="Y55" i="5"/>
  <c r="Z55" i="5"/>
  <c r="Z75" i="5"/>
  <c r="Y75" i="5"/>
  <c r="Z41" i="5"/>
  <c r="Y41" i="5"/>
  <c r="Q23" i="12"/>
  <c r="R23" i="12" s="1"/>
  <c r="DD28" i="11"/>
  <c r="Q24" i="12" s="1"/>
  <c r="R24" i="12" s="1"/>
  <c r="CJ2" i="7"/>
  <c r="H13" i="12"/>
  <c r="I13" i="12" s="1"/>
  <c r="Y43" i="5"/>
  <c r="Z43" i="5"/>
  <c r="Y58" i="5"/>
  <c r="Z58" i="5"/>
  <c r="BY16" i="11" l="1"/>
  <c r="CH2" i="7"/>
  <c r="DG21" i="11"/>
  <c r="W13" i="12"/>
  <c r="X13" i="12" s="1"/>
  <c r="DH21" i="11"/>
  <c r="DF21" i="11"/>
  <c r="DJ21" i="11" s="1"/>
  <c r="AB21" i="11" s="1"/>
  <c r="DI21" i="11"/>
  <c r="AX13" i="12"/>
  <c r="AY13" i="12" s="1"/>
  <c r="BY17" i="11"/>
  <c r="R2" i="7"/>
  <c r="AX24" i="12"/>
  <c r="AY24" i="12" s="1"/>
  <c r="DJ28" i="11"/>
  <c r="AB28" i="11" s="1"/>
  <c r="W24" i="12"/>
  <c r="X24" i="12" s="1"/>
  <c r="DI20" i="11"/>
  <c r="DG20" i="11"/>
  <c r="W12" i="12"/>
  <c r="X12" i="12" s="1"/>
  <c r="DH20" i="11"/>
  <c r="DF20" i="11"/>
  <c r="DJ20" i="11" s="1"/>
  <c r="AB20" i="11" s="1"/>
  <c r="AX12" i="12"/>
  <c r="AY12" i="12" s="1"/>
</calcChain>
</file>

<file path=xl/comments1.xml><?xml version="1.0" encoding="utf-8"?>
<comments xmlns="http://schemas.openxmlformats.org/spreadsheetml/2006/main">
  <authors>
    <author>JH</author>
  </authors>
  <commentList>
    <comment ref="B6" authorId="0" shapeId="0">
      <text>
        <r>
          <rPr>
            <sz val="12"/>
            <color indexed="81"/>
            <rFont val="Tahoma"/>
            <family val="2"/>
          </rPr>
          <t>Total amount of federal funds requested if this is an application for funding. If a grantee, then enter the amount of the actual grant award.</t>
        </r>
      </text>
    </comment>
    <comment ref="AA6" authorId="0" shapeId="0">
      <text>
        <r>
          <rPr>
            <sz val="12"/>
            <color indexed="81"/>
            <rFont val="Tahoma"/>
            <family val="2"/>
          </rPr>
          <t>The beginning date of the grant award period of performance.</t>
        </r>
      </text>
    </comment>
    <comment ref="BB6" authorId="0" shapeId="0">
      <text>
        <r>
          <rPr>
            <sz val="12"/>
            <color indexed="81"/>
            <rFont val="Tahoma"/>
            <family val="2"/>
          </rPr>
          <t>The form MUST BE LOCKED once the user has entered the planned values and verified the accuracy of these figures. Contact your GOTR to modify locked values.</t>
        </r>
      </text>
    </comment>
    <comment ref="AA7" authorId="0" shapeId="0">
      <text>
        <r>
          <rPr>
            <sz val="12"/>
            <color indexed="81"/>
            <rFont val="Tahoma"/>
            <family val="2"/>
          </rPr>
          <t>The ending date for the grant award period of performance.</t>
        </r>
      </text>
    </comment>
    <comment ref="B9" authorId="0" shapeId="0">
      <text>
        <r>
          <rPr>
            <sz val="12"/>
            <color indexed="81"/>
            <rFont val="Tahoma"/>
            <family val="2"/>
          </rPr>
          <t>Enter the name of your agency or organization.</t>
        </r>
      </text>
    </comment>
    <comment ref="BB10" authorId="0" shapeId="0">
      <text>
        <r>
          <rPr>
            <sz val="12"/>
            <color indexed="81"/>
            <rFont val="Tahoma"/>
            <family val="2"/>
          </rPr>
          <t>Please use the FIPS Finder tool above to enter/clear coverage area codes.</t>
        </r>
      </text>
    </comment>
    <comment ref="B13" authorId="0" shapeId="0">
      <text>
        <r>
          <rPr>
            <sz val="12"/>
            <color indexed="81"/>
            <rFont val="Tahoma"/>
            <family val="2"/>
          </rPr>
          <t>Please enter a title for the name of your project.</t>
        </r>
      </text>
    </comment>
    <comment ref="C21" authorId="0" shapeId="0">
      <text>
        <r>
          <rPr>
            <sz val="12"/>
            <color indexed="81"/>
            <rFont val="Tahoma"/>
            <family val="2"/>
          </rPr>
          <t>A participant should be recorded as having been enrolled when an intake form has been completed, and services, referral, and/or employment has been received through the program.  This will be an unduplicated count over the performance period, i.e., each participant is recorded only once, regardless of the number of times she or he receives assistance.</t>
        </r>
      </text>
    </comment>
    <comment ref="C22" authorId="0" shapeId="0">
      <text>
        <r>
          <rPr>
            <sz val="12"/>
            <color indexed="81"/>
            <rFont val="Tahoma"/>
            <family val="2"/>
          </rPr>
          <t xml:space="preserve">The number of participants that were placed into transitional or permanent housing either on-site or off-site.
</t>
        </r>
      </text>
    </comment>
    <comment ref="C23" authorId="0" shapeId="0">
      <text>
        <r>
          <rPr>
            <sz val="12"/>
            <color indexed="81"/>
            <rFont val="Tahoma"/>
            <family val="2"/>
          </rPr>
          <t>Participants who were placed into employment or otherwise obtained employment as a result of grantee services used or received. The participant must be exited in order to obtain credit for a placement.</t>
        </r>
      </text>
    </comment>
    <comment ref="C24" authorId="0" shapeId="0">
      <text>
        <r>
          <rPr>
            <sz val="12"/>
            <color indexed="81"/>
            <rFont val="Tahoma"/>
            <family val="2"/>
          </rPr>
          <t xml:space="preserve">The average starting wage (dollars/hour) of all placements made in the quarter.
</t>
        </r>
      </text>
    </comment>
    <comment ref="C25" authorId="0" shapeId="0">
      <text>
        <r>
          <rPr>
            <sz val="12"/>
            <color indexed="81"/>
            <rFont val="Tahoma"/>
            <family val="2"/>
          </rPr>
          <t>Participants who were placed into employment or otherwise obtained employment as a result of grantee services used or received divided by the the number of exiters.</t>
        </r>
      </text>
    </comment>
    <comment ref="C26" authorId="0" shapeId="0">
      <text>
        <r>
          <rPr>
            <sz val="12"/>
            <color indexed="81"/>
            <rFont val="Tahoma"/>
            <family val="2"/>
          </rPr>
          <t xml:space="preserve">For the purposes of competitive grants, a participant who is placed or dropped during a quarter and is not scheduled to receive future homeless veterans program services for the next 90 or more days is considered an exiter.  A participant not receiving a service for 90 consecutive days must be exited. The following services do not count as “future services”:
- Additional career planning;
- Contacting the employer;
- Assisting with work-related problems;
- Peer support groups;
- Informational mailings; 
- Co-enrolled partner services extending beyond the end of the active period of performance for the competitive grant award;
- Follow-up tracking services; and
- Provision of post-exit supportive services for job retention.
</t>
        </r>
      </text>
    </comment>
    <comment ref="C27" authorId="0" shapeId="0">
      <text>
        <r>
          <rPr>
            <sz val="12"/>
            <color indexed="81"/>
            <rFont val="Tahoma"/>
            <family val="2"/>
          </rPr>
          <t xml:space="preserve">The number of exiters for the reporting period who were employed (showed wages) in the 2nd quarter after exit.  For example, a participant who exited the program on August 15, 2017 (the 1st quarter of the grant period of performance) and who showed any earnings during the January - March 2018 period (the 3rd quarter of the grant period of performance) would be considered employed in the 2nd quarter after the quarter of exit.   
</t>
        </r>
      </text>
    </comment>
    <comment ref="C28" authorId="0" shapeId="0">
      <text>
        <r>
          <rPr>
            <sz val="12"/>
            <color indexed="81"/>
            <rFont val="Tahoma"/>
            <family val="2"/>
          </rPr>
          <t>Computed by dividing the total number employed in the 2nd quarter after exit by the total number of exiters for the reporting period.</t>
        </r>
      </text>
    </comment>
    <comment ref="C29" authorId="0" shapeId="0">
      <text>
        <r>
          <rPr>
            <sz val="12"/>
            <color indexed="81"/>
            <rFont val="Tahoma"/>
            <family val="2"/>
          </rPr>
          <t>The planned median quarter earnings for those participants employed in the 2nd quarter after exit.  In simple terms, it may be thought of as the "middle" value of a data set. For example, in the data set...$1750, $3175, $3765, $4120, $5005, $6110, $6975, the median is $4120, the fourth number in the sample.  For the 2nd quarter of PY16, the median quarterly earnings for those employed at the time of exit was $5,720.</t>
        </r>
      </text>
    </comment>
    <comment ref="C30" authorId="0" shapeId="0">
      <text>
        <r>
          <rPr>
            <sz val="12"/>
            <color indexed="81"/>
            <rFont val="Tahoma"/>
            <family val="2"/>
          </rPr>
          <t>The number of exiters for the reporting period who were employed (showed wages) in the 4th quarter after exit.  For example, a participant who exited the program on August 15, 2019 (the 1st quarter of the grant period of performance) and who showed any earnings during the July - September 2020 period (the 1st quarter of the subsequent grant's period of performance) would be considered employed in the 4th quarter after the quarter of exit.</t>
        </r>
      </text>
    </comment>
    <comment ref="C31" authorId="0" shapeId="0">
      <text>
        <r>
          <rPr>
            <sz val="12"/>
            <color indexed="81"/>
            <rFont val="Tahoma"/>
            <family val="2"/>
          </rPr>
          <t>Computed by dividing the total number employed in the 4th quarter after exit by the total number of exiters for the reporting period.</t>
        </r>
      </text>
    </comment>
    <comment ref="C37" authorId="0" shapeId="0">
      <text>
        <r>
          <rPr>
            <sz val="12"/>
            <color indexed="81"/>
            <rFont val="Tahoma"/>
            <family val="2"/>
          </rPr>
          <t>For homeless veteran subgroups, enter the planned percentage of total enrollments to be served as stated in your application narrative.</t>
        </r>
      </text>
    </comment>
    <comment ref="C38" authorId="0" shapeId="0">
      <text>
        <r>
          <rPr>
            <sz val="12"/>
            <color indexed="81"/>
            <rFont val="Tahoma"/>
            <family val="2"/>
          </rPr>
          <t>For homeless veteran subgroups, enter the planned percentage of total enrollments to be served as stated in your application narrative.</t>
        </r>
      </text>
    </comment>
    <comment ref="C39" authorId="0" shapeId="0">
      <text>
        <r>
          <rPr>
            <sz val="12"/>
            <color indexed="81"/>
            <rFont val="Tahoma"/>
            <family val="2"/>
          </rPr>
          <t>For homeless veteran subgroups, enter the planned percentage of total enrollments to be served as stated in your application narrative.</t>
        </r>
      </text>
    </comment>
    <comment ref="C40" authorId="0" shapeId="0">
      <text>
        <r>
          <rPr>
            <sz val="12"/>
            <color indexed="81"/>
            <rFont val="Tahoma"/>
            <family val="2"/>
          </rPr>
          <t>For homeless veteran subgroups, enter the planned percentage of total enrollments to be served as stated in your application narrative.</t>
        </r>
      </text>
    </comment>
    <comment ref="C43" authorId="0" shapeId="0">
      <text>
        <r>
          <rPr>
            <sz val="12"/>
            <color indexed="81"/>
            <rFont val="Tahoma"/>
            <family val="2"/>
          </rPr>
          <t>An unduplicated count of the number of participants who received training.  Below are the various types of training.  Each participant may take more than one type of training.</t>
        </r>
      </text>
    </comment>
    <comment ref="C45" authorId="0" shapeId="0">
      <text>
        <r>
          <rPr>
            <sz val="12"/>
            <color indexed="81"/>
            <rFont val="Tahoma"/>
            <family val="2"/>
          </rPr>
          <t>Training by an employer that is provided to a paid participant and:  (a) provides knowledge or skills essential to performance of the job; (b) provides reimbursement to the employer of up to 50 percent of the wage rate of the participant. This includes costs of providing the training and additional supervision related to the participant and takes into account the content of the training, the prior work experience of the participant, and the service strategy of the participant.  In the OJT agreement, there is a promise on the part of the employer to hire the trainee upon successful completion of the training</t>
        </r>
      </text>
    </comment>
    <comment ref="C46" authorId="0" shapeId="0">
      <text>
        <r>
          <rPr>
            <sz val="12"/>
            <color indexed="81"/>
            <rFont val="Tahoma"/>
            <family val="2"/>
          </rPr>
          <t>A formal occupational training program that combines on-the-job training and related instruction where workers learn practical and conceptual skills required for a skilled occupation, craft, or trade. It may be registered or unregistered.</t>
        </r>
      </text>
    </comment>
    <comment ref="C47" authorId="0" shapeId="0">
      <text>
        <r>
          <rPr>
            <sz val="12"/>
            <color indexed="81"/>
            <rFont val="Tahoma"/>
            <family val="2"/>
          </rPr>
          <t xml:space="preserve">Enter the planned total number of participants to receive job readiness training in combination with transitional jobs during the four quarter period of performance for the grant award.  
Job readiness training assists the participant in building practical skills, identifying and initiating employer contacts, and conducting successful interviews with employers. 
A transitional job provides work experience and an opportunity to develop important workplace skills within the context of an employee-employer relationship, in which the program provider generally acts as the employer, and with an opportunity to develop important workplace skills.  Transitional jobs may be subsidized (paid) or unpaid.
</t>
        </r>
      </text>
    </comment>
    <comment ref="C48" authorId="0" shapeId="0">
      <text>
        <r>
          <rPr>
            <sz val="12"/>
            <color indexed="81"/>
            <rFont val="Tahoma"/>
            <family val="2"/>
          </rPr>
          <t>An activity focusing on building practical skills, identifying and initiating employer contact, and conducting successful interviews with employers. Various approaches may include job club participation, identifying personal strengths and goals, résumé application preparation, interviewing techniques, and receiving labor market information. Job search assistance is often self-service activities where individuals obtain information about job openings.</t>
        </r>
      </text>
    </comment>
    <comment ref="C51" authorId="0" shapeId="0">
      <text>
        <r>
          <rPr>
            <sz val="12"/>
            <color indexed="81"/>
            <rFont val="Tahoma"/>
            <family val="2"/>
          </rPr>
          <t xml:space="preserve">Programmatic costs including outreach, supportive services, training, placement services, and social rehabilitation services, which will assist in stabilizing the participants.  This category should reflect all costs other than administrative costs.
</t>
        </r>
      </text>
    </comment>
    <comment ref="C52" authorId="0" shapeId="0">
      <text>
        <r>
          <rPr>
            <sz val="12"/>
            <color indexed="81"/>
            <rFont val="Tahoma"/>
            <family val="2"/>
          </rPr>
          <t>All indirect costs are considered administrative costs for HVRP/VWIP purposes.</t>
        </r>
      </text>
    </comment>
    <comment ref="C54" authorId="0" shapeId="0">
      <text>
        <r>
          <rPr>
            <sz val="12"/>
            <color indexed="81"/>
            <rFont val="Tahoma"/>
            <family val="2"/>
          </rPr>
          <t>Admin costs consist of all direct and indirect costs associated with the supervision and management of the program.  All indirect costs are considered administrative costs for HVRP/VWIP purposes.</t>
        </r>
      </text>
    </comment>
  </commentList>
</comments>
</file>

<file path=xl/comments2.xml><?xml version="1.0" encoding="utf-8"?>
<comments xmlns="http://schemas.openxmlformats.org/spreadsheetml/2006/main">
  <authors>
    <author>JH</author>
  </authors>
  <commentList>
    <comment ref="C4" authorId="0" shapeId="0">
      <text>
        <r>
          <rPr>
            <sz val="12"/>
            <color indexed="81"/>
            <rFont val="Tahoma"/>
            <family val="2"/>
          </rPr>
          <t>Enter your grant number.</t>
        </r>
      </text>
    </comment>
    <comment ref="AF4" authorId="0" shapeId="0">
      <text>
        <r>
          <rPr>
            <sz val="12"/>
            <color indexed="81"/>
            <rFont val="Tahoma"/>
            <family val="2"/>
          </rPr>
          <t xml:space="preserve">Enter the amount of your TOTAL grant award for this PY.
</t>
        </r>
      </text>
    </comment>
    <comment ref="BB4" authorId="0" shapeId="0">
      <text>
        <r>
          <rPr>
            <sz val="12"/>
            <color indexed="81"/>
            <rFont val="Tahoma"/>
            <family val="2"/>
          </rPr>
          <t>If this TPR is for the initial period covered by your grant award (i.e., a new award), please select "Initial."  
If this TPR is for the 1st option year funding for your award, please select "First."
If this TPR is for the 2nd option year funding for your award, please select "Second."
If this TPR is for the 3rd option year funding for your award, please select "Third."</t>
        </r>
      </text>
    </comment>
    <comment ref="BR4" authorId="0" shapeId="0">
      <text>
        <r>
          <rPr>
            <sz val="12"/>
            <color indexed="81"/>
            <rFont val="Tahoma"/>
            <family val="2"/>
          </rPr>
          <t xml:space="preserve">Please select the quarter covered by this report.
</t>
        </r>
      </text>
    </comment>
  </commentList>
</comments>
</file>

<file path=xl/comments3.xml><?xml version="1.0" encoding="utf-8"?>
<comments xmlns="http://schemas.openxmlformats.org/spreadsheetml/2006/main">
  <authors>
    <author>JH</author>
  </authors>
  <commentList>
    <comment ref="A3" authorId="0" shapeId="0">
      <text>
        <r>
          <rPr>
            <sz val="12"/>
            <color indexed="81"/>
            <rFont val="Tahoma"/>
            <family val="2"/>
          </rPr>
          <t xml:space="preserve">Enter a unique ID for the participant.  </t>
        </r>
        <r>
          <rPr>
            <b/>
            <sz val="12"/>
            <color indexed="81"/>
            <rFont val="Tahoma"/>
            <family val="2"/>
          </rPr>
          <t>Please do not use SSNs</t>
        </r>
        <r>
          <rPr>
            <sz val="12"/>
            <color indexed="81"/>
            <rFont val="Tahoma"/>
            <family val="2"/>
          </rPr>
          <t>.</t>
        </r>
        <r>
          <rPr>
            <b/>
            <sz val="12"/>
            <color indexed="81"/>
            <rFont val="Tahoma"/>
            <family val="2"/>
          </rPr>
          <t xml:space="preserve">
</t>
        </r>
        <r>
          <rPr>
            <sz val="12"/>
            <color indexed="81"/>
            <rFont val="Tahoma"/>
            <family val="2"/>
          </rPr>
          <t xml:space="preserve">
</t>
        </r>
      </text>
    </comment>
    <comment ref="B3" authorId="0" shapeId="0">
      <text>
        <r>
          <rPr>
            <sz val="12"/>
            <color indexed="81"/>
            <rFont val="Tahoma"/>
            <family val="2"/>
          </rPr>
          <t>You may use the first four letters of Last Name, followed by First/Middle Initials (</t>
        </r>
        <r>
          <rPr>
            <b/>
            <sz val="12"/>
            <color indexed="81"/>
            <rFont val="Tahoma"/>
            <family val="2"/>
          </rPr>
          <t>e.g. Robert B. Johnson = JOHNRB</t>
        </r>
        <r>
          <rPr>
            <sz val="12"/>
            <color indexed="81"/>
            <rFont val="Tahoma"/>
            <family val="2"/>
          </rPr>
          <t>) or you may assign another label that is not the actual full name of the particiant that will assist you in tracking the progress of the participant.  This information feeds into the VETS-701C through VETS-701F worksheets.</t>
        </r>
      </text>
    </comment>
    <comment ref="C3" authorId="0" shapeId="0">
      <text>
        <r>
          <rPr>
            <sz val="12"/>
            <color indexed="81"/>
            <rFont val="Tahoma"/>
            <family val="2"/>
          </rPr>
          <t>Enter the date the participant first received qualified (i.e., not self-service, informational, or follow-up) grant-funded services or benefits. If this is an option year award and the first service occurred in a prior program year, enter that original date.</t>
        </r>
      </text>
    </comment>
    <comment ref="D3" authorId="0" shapeId="0">
      <text>
        <r>
          <rPr>
            <sz val="12"/>
            <color indexed="81"/>
            <rFont val="Tahoma"/>
            <family val="2"/>
          </rPr>
          <t>The date the participant was enrolled in Wagner-Peyser Act, Jobs for Veterans State Grant, and/or Workforce Innovation and Opportunity Act services via an American Job Center (AJC).</t>
        </r>
      </text>
    </comment>
    <comment ref="E3" authorId="0" shapeId="0">
      <text>
        <r>
          <rPr>
            <sz val="12"/>
            <color indexed="81"/>
            <rFont val="Tahoma"/>
            <family val="2"/>
          </rPr>
          <t xml:space="preserve">The participant is co-enrolled in
Wagner-Peyser Act, Jobs for Veterans State Grant, and/or Workforce Innovation and Opportunity Act services via an American Job Center (AJC).
</t>
        </r>
      </text>
    </comment>
    <comment ref="F3" authorId="0" shapeId="0">
      <text>
        <r>
          <rPr>
            <sz val="12"/>
            <color indexed="81"/>
            <rFont val="Tahoma"/>
            <family val="2"/>
          </rPr>
          <t xml:space="preserve">Grant and per Diem (VA Transitional Housing).
</t>
        </r>
      </text>
    </comment>
    <comment ref="G3" authorId="0" shapeId="0">
      <text>
        <r>
          <rPr>
            <sz val="12"/>
            <color indexed="81"/>
            <rFont val="Tahoma"/>
            <family val="2"/>
          </rPr>
          <t xml:space="preserve">Received a VA supported housing voucher through Veterans Affairs Supportive Housing (VASH) program. 
</t>
        </r>
      </text>
    </comment>
    <comment ref="H3" authorId="0" shapeId="0">
      <text>
        <r>
          <rPr>
            <sz val="12"/>
            <color indexed="81"/>
            <rFont val="Tahoma"/>
            <family val="2"/>
          </rPr>
          <t xml:space="preserve">Supportive Services for Veteran Families (SSVF).
</t>
        </r>
      </text>
    </comment>
    <comment ref="I3" authorId="0" shapeId="0">
      <text>
        <r>
          <rPr>
            <sz val="12"/>
            <color indexed="81"/>
            <rFont val="Tahoma"/>
            <family val="2"/>
          </rPr>
          <t xml:space="preserve">Receiving rental assistance from a SSVF provider.
</t>
        </r>
      </text>
    </comment>
    <comment ref="J3" authorId="0" shapeId="0">
      <text>
        <r>
          <rPr>
            <sz val="12"/>
            <color indexed="81"/>
            <rFont val="Tahoma"/>
            <family val="2"/>
          </rPr>
          <t xml:space="preserve">Federal Emergency Management Agency (FEMA).
</t>
        </r>
      </text>
    </comment>
    <comment ref="K3" authorId="0" shapeId="0">
      <text>
        <r>
          <rPr>
            <sz val="12"/>
            <color indexed="81"/>
            <rFont val="Tahoma"/>
            <family val="2"/>
          </rPr>
          <t xml:space="preserve">Native American Housing Assistance and Self-Determination Act.
</t>
        </r>
      </text>
    </comment>
    <comment ref="L3" authorId="0" shapeId="0">
      <text>
        <r>
          <rPr>
            <sz val="12"/>
            <color indexed="81"/>
            <rFont val="Tahoma"/>
            <family val="2"/>
          </rPr>
          <t xml:space="preserve">VA's Homelessness Prevention &amp; Rapid Re-Housing Program.
</t>
        </r>
      </text>
    </comment>
    <comment ref="M3" authorId="0" shapeId="0">
      <text>
        <r>
          <rPr>
            <sz val="12"/>
            <color indexed="81"/>
            <rFont val="Tahoma"/>
            <family val="2"/>
          </rPr>
          <t xml:space="preserve">Record the final date the participant received funded services that are not self-service, information-only, or follow up services. Record this last date of receipt of services only if there are no future services, that are not self-service, information-only, or follow up services, planned from the program. </t>
        </r>
      </text>
    </comment>
    <comment ref="N3" authorId="0" shapeId="0">
      <text>
        <r>
          <rPr>
            <sz val="12"/>
            <color indexed="81"/>
            <rFont val="Tahoma"/>
            <family val="2"/>
          </rPr>
          <t xml:space="preserve">Please indicate whether the participant was </t>
        </r>
        <r>
          <rPr>
            <b/>
            <sz val="12"/>
            <color indexed="81"/>
            <rFont val="Tahoma"/>
            <family val="2"/>
          </rPr>
          <t>employed</t>
        </r>
        <r>
          <rPr>
            <sz val="12"/>
            <color indexed="81"/>
            <rFont val="Tahoma"/>
            <family val="2"/>
          </rPr>
          <t xml:space="preserve"> when they exited the program.  
</t>
        </r>
      </text>
    </comment>
    <comment ref="O3" authorId="0" shapeId="0">
      <text>
        <r>
          <rPr>
            <sz val="12"/>
            <color indexed="81"/>
            <rFont val="Tahoma"/>
            <family val="2"/>
          </rPr>
          <t xml:space="preserve">If the participant is reported as employed, then please provide the Hourly Wage paid to the individual.
</t>
        </r>
      </text>
    </comment>
    <comment ref="P3" authorId="0" shapeId="0">
      <text>
        <r>
          <rPr>
            <sz val="12"/>
            <color indexed="81"/>
            <rFont val="Tahoma"/>
            <family val="2"/>
          </rPr>
          <t>Please indicate the Gender of the participant.</t>
        </r>
      </text>
    </comment>
    <comment ref="Q3" authorId="0" shapeId="0">
      <text>
        <r>
          <rPr>
            <sz val="12"/>
            <color indexed="81"/>
            <rFont val="Tahoma"/>
            <family val="2"/>
          </rPr>
          <t xml:space="preserve">Please indicate if the participant is of Hispanic or Latino origin.
</t>
        </r>
      </text>
    </comment>
    <comment ref="R3" authorId="0" shapeId="0">
      <text>
        <r>
          <rPr>
            <sz val="12"/>
            <color indexed="81"/>
            <rFont val="Tahoma"/>
            <family val="2"/>
          </rPr>
          <t xml:space="preserve">Enter </t>
        </r>
        <r>
          <rPr>
            <i/>
            <sz val="12"/>
            <color indexed="81"/>
            <rFont val="Tahoma"/>
            <family val="2"/>
          </rPr>
          <t>Yes</t>
        </r>
        <r>
          <rPr>
            <sz val="12"/>
            <color indexed="81"/>
            <rFont val="Tahoma"/>
            <family val="2"/>
          </rPr>
          <t xml:space="preserve"> for a person having origins in any of the original peoples of North and South America (including Central America), and who maintains tribal affiliation or community attachment.
</t>
        </r>
      </text>
    </comment>
    <comment ref="S3" authorId="0" shapeId="0">
      <text>
        <r>
          <rPr>
            <sz val="12"/>
            <color indexed="81"/>
            <rFont val="Tahoma"/>
            <family val="2"/>
          </rPr>
          <t xml:space="preserve">Enter </t>
        </r>
        <r>
          <rPr>
            <i/>
            <sz val="12"/>
            <color indexed="81"/>
            <rFont val="Tahoma"/>
            <family val="2"/>
          </rPr>
          <t>Yes</t>
        </r>
        <r>
          <rPr>
            <sz val="12"/>
            <color indexed="81"/>
            <rFont val="Tahoma"/>
            <family val="2"/>
          </rPr>
          <t xml:space="preserve"> for a person having origins in any of the original peoples of the Far East, Southeast Asia, or the Indian subcontinent including, for example, Cambodia, China, India, Japan, Korea, Malaysia, Pakistan, the Philippine Islands, Thailand, and Vietnam.
</t>
        </r>
      </text>
    </comment>
    <comment ref="T3" authorId="0" shapeId="0">
      <text>
        <r>
          <rPr>
            <sz val="12"/>
            <color indexed="81"/>
            <rFont val="Tahoma"/>
            <family val="2"/>
          </rPr>
          <t xml:space="preserve">Enter </t>
        </r>
        <r>
          <rPr>
            <i/>
            <sz val="12"/>
            <color indexed="81"/>
            <rFont val="Tahoma"/>
            <family val="2"/>
          </rPr>
          <t>Yes</t>
        </r>
        <r>
          <rPr>
            <sz val="12"/>
            <color indexed="81"/>
            <rFont val="Tahoma"/>
            <family val="2"/>
          </rPr>
          <t xml:space="preserve"> for a person having origins in any of the black racial groups of Africa. Terms such as "Haitian" or "Negro" can be used in addition to "Black or African American."</t>
        </r>
      </text>
    </comment>
    <comment ref="U3" authorId="0" shapeId="0">
      <text>
        <r>
          <rPr>
            <sz val="12"/>
            <color indexed="81"/>
            <rFont val="Tahoma"/>
            <family val="2"/>
          </rPr>
          <t xml:space="preserve">Enter </t>
        </r>
        <r>
          <rPr>
            <i/>
            <sz val="12"/>
            <color indexed="81"/>
            <rFont val="Tahoma"/>
            <family val="2"/>
          </rPr>
          <t>Yes</t>
        </r>
        <r>
          <rPr>
            <sz val="12"/>
            <color indexed="81"/>
            <rFont val="Tahoma"/>
            <family val="2"/>
          </rPr>
          <t xml:space="preserve"> for a person having origins in any of the original peoples of Hawaii, Guam, Samoa, or other Pacific Islands. </t>
        </r>
      </text>
    </comment>
    <comment ref="V3" authorId="0" shapeId="0">
      <text>
        <r>
          <rPr>
            <sz val="12"/>
            <color indexed="81"/>
            <rFont val="Tahoma"/>
            <family val="2"/>
          </rPr>
          <t xml:space="preserve">Enter </t>
        </r>
        <r>
          <rPr>
            <i/>
            <sz val="12"/>
            <color indexed="81"/>
            <rFont val="Tahoma"/>
            <family val="2"/>
          </rPr>
          <t>Yes</t>
        </r>
        <r>
          <rPr>
            <sz val="12"/>
            <color indexed="81"/>
            <rFont val="Tahoma"/>
            <family val="2"/>
          </rPr>
          <t xml:space="preserve"> for a person having origins in any of the original peoples of Europe, the Middle East, or North Africa.</t>
        </r>
      </text>
    </comment>
    <comment ref="W3" authorId="0" shapeId="0">
      <text>
        <r>
          <rPr>
            <sz val="12"/>
            <color indexed="81"/>
            <rFont val="Tahoma"/>
            <family val="2"/>
          </rPr>
          <t>Please indicate the age of the participant at the time the first program-funded service was rendered.</t>
        </r>
      </text>
    </comment>
    <comment ref="X3" authorId="0" shapeId="0">
      <text>
        <r>
          <rPr>
            <sz val="12"/>
            <color indexed="81"/>
            <rFont val="Tahoma"/>
            <family val="2"/>
          </rPr>
          <t xml:space="preserve">The date the veteran entered military service as indicated in the DD214.
</t>
        </r>
      </text>
    </comment>
    <comment ref="Y3" authorId="0" shapeId="0">
      <text>
        <r>
          <rPr>
            <sz val="12"/>
            <color indexed="81"/>
            <rFont val="Tahoma"/>
            <family val="2"/>
          </rPr>
          <t>The date the veteran was discharged from military service as indicated in the DD214.</t>
        </r>
      </text>
    </comment>
    <comment ref="Z3" authorId="0" shapeId="0">
      <text>
        <r>
          <rPr>
            <sz val="12"/>
            <color indexed="81"/>
            <rFont val="Tahoma"/>
            <family val="2"/>
          </rPr>
          <t xml:space="preserve">Enter the Last Branch of Military Service.
</t>
        </r>
      </text>
    </comment>
    <comment ref="AA3" authorId="0" shapeId="0">
      <text>
        <r>
          <rPr>
            <sz val="12"/>
            <color indexed="81"/>
            <rFont val="Tahoma"/>
            <family val="2"/>
          </rPr>
          <t>Enter the Highest Education Level at the time the first service was rendered:
1 = Attained secondary school diploma 
2 = Attained a secondary school equivalency 
3 = The participant with a disability receives a certificate of attendance/completion as a result of successfully completing an Individualized Education Program (IEP) 
4 = Completed one of more years of postsecondary education 
5 = Attained a postsecondary technical or vocational certificate (non-degree) 
6 = Attained an Associate's degree 
7 = Attained a Bachelor's degree 
8 = Attained a degree beyond a Bachelor's degree 
0 = No Educational Level Completed</t>
        </r>
      </text>
    </comment>
    <comment ref="AB3" authorId="0" shapeId="0">
      <text>
        <r>
          <rPr>
            <sz val="12"/>
            <color indexed="81"/>
            <rFont val="Tahoma"/>
            <family val="2"/>
          </rPr>
          <t xml:space="preserve">An individual is </t>
        </r>
        <r>
          <rPr>
            <b/>
            <sz val="12"/>
            <color indexed="81"/>
            <rFont val="Tahoma"/>
            <family val="2"/>
          </rPr>
          <t>at risk for homelessness</t>
        </r>
        <r>
          <rPr>
            <sz val="12"/>
            <color indexed="81"/>
            <rFont val="Tahoma"/>
            <family val="2"/>
          </rPr>
          <t xml:space="preserve"> when the individual lacks the resources and support networks needed to obtain housing. The risk must be real and imminent (within 60 days). In some sense, anyone living below the poverty level may be at risk of homelessness. 
An individual may be either at risk for homelessness or homeless, but not both at once.</t>
        </r>
      </text>
    </comment>
    <comment ref="AC3" authorId="0" shapeId="0">
      <text>
        <r>
          <rPr>
            <sz val="12"/>
            <color indexed="81"/>
            <rFont val="Tahoma"/>
            <family val="2"/>
          </rPr>
          <t xml:space="preserve">Is a veteran who is </t>
        </r>
        <r>
          <rPr>
            <b/>
            <sz val="12"/>
            <color indexed="81"/>
            <rFont val="Tahoma"/>
            <family val="2"/>
          </rPr>
          <t>homeless</t>
        </r>
        <r>
          <rPr>
            <sz val="12"/>
            <color indexed="81"/>
            <rFont val="Tahoma"/>
            <family val="2"/>
          </rPr>
          <t xml:space="preserve">, meaning:  
1. A person who lacks a fixed, regular, and adequate nighttime residence; 
2. A person living in a supervised public or privately operated shelter designed to provide temporary living arrangements; 
3. A person who resided in a shelter or place not meant for human habitation and who is exiting an institution where he or she temporarily resided; 
4. A person with a primary nighttime residence that is a public or private place not designed for or ordinarily used as a regular sleeping accommodation for human beings, including a car, park, abandoned building, bus or train station, airport, or camping ground; 
5. An individual who will imminently lose his or her housing, has no subsequent residence identified, and who lacks the resources or support network needed to obtain other permanent housing; 
6. Unaccompanied youth and homeless families with children and youth defined as homeless under other federal statutes who have experienced a long period without permanent housing; have experienced persistent instability as measured by frequent moves over such period; and can be expected to continue in such status for an extended period of time because of chronic disabilities, chronic physical health or mental health conditions, substance addiction, histories of domestic violence or childhood abuse, the presence of a child or youth with a disability, or multiple barriers to employment; or
7. An individual or family who is fleeing, or is attempting to flee, domestic violence, dating violence, sexual assault, stalking, or other dangerous or life-threatening conditions in the individual’s or family’s current housing situation, including where the health and safety of children are jeopardized, and who have no other residence and lack the resources or support network to obtain other permanent housing. </t>
        </r>
      </text>
    </comment>
    <comment ref="AD3" authorId="0" shapeId="0">
      <text>
        <r>
          <rPr>
            <sz val="12"/>
            <color indexed="81"/>
            <rFont val="Tahoma"/>
            <family val="2"/>
          </rPr>
          <t xml:space="preserve">Select </t>
        </r>
        <r>
          <rPr>
            <i/>
            <sz val="12"/>
            <color indexed="81"/>
            <rFont val="Tahoma"/>
            <family val="2"/>
          </rPr>
          <t>Yes</t>
        </r>
        <r>
          <rPr>
            <sz val="12"/>
            <color indexed="81"/>
            <rFont val="Tahoma"/>
            <family val="2"/>
          </rPr>
          <t xml:space="preserve"> if the individual is considered to be "chronically homeless" at the time of enrollment.  A ‘‘chronically homeless’’ individual is defined to mean a homeless individual who has met the definition of homelessness continuously for at least 12 months, or on at least four separate occasions in the last 3 years, where the combined occasions total a length of time of at least 12 months. 
</t>
        </r>
      </text>
    </comment>
    <comment ref="AE3" authorId="0" shapeId="0">
      <text>
        <r>
          <rPr>
            <sz val="12"/>
            <color indexed="81"/>
            <rFont val="Tahoma"/>
            <family val="2"/>
          </rPr>
          <t xml:space="preserve">Please select </t>
        </r>
        <r>
          <rPr>
            <i/>
            <sz val="12"/>
            <color indexed="81"/>
            <rFont val="Tahoma"/>
            <family val="2"/>
          </rPr>
          <t>Yes</t>
        </r>
        <r>
          <rPr>
            <sz val="12"/>
            <color indexed="81"/>
            <rFont val="Tahoma"/>
            <family val="2"/>
          </rPr>
          <t xml:space="preserve"> if the veteran is defined as homeless and has care of one or more minor dependents.</t>
        </r>
      </text>
    </comment>
    <comment ref="AF3" authorId="0" shapeId="0">
      <text>
        <r>
          <rPr>
            <sz val="12"/>
            <color indexed="81"/>
            <rFont val="Tahoma"/>
            <family val="2"/>
          </rPr>
          <t xml:space="preserve">Please select </t>
        </r>
        <r>
          <rPr>
            <i/>
            <sz val="12"/>
            <color indexed="81"/>
            <rFont val="Tahoma"/>
            <family val="2"/>
          </rPr>
          <t>Yes</t>
        </r>
        <r>
          <rPr>
            <sz val="12"/>
            <color indexed="81"/>
            <rFont val="Tahoma"/>
            <family val="2"/>
          </rPr>
          <t xml:space="preserve"> if the veteran has been convicted as an adult and imprisoned under municipal, county, tribal, federal, or state law and who falls into one of the following categories: 
• Category 1 – The veteran was released within the previous 12 months from a penal institution into homelessness and needs employment assistance;  
• Category 2 – The veteran has been incarcerated for at least six months and is scheduled for release within six months with no known housing destination and needs employment assistance; 
• Category 3 – The veteran was released within the previous 12 months from a penal institution into temporary or permanent housing, but is now at imminent risk of homelessness and needs employment assistance; or
• Category 4 – The veteran is a resident of an institution that provides long-term care for mental illness and is scheduled for release with no known housing destination and needs employment assistance.
</t>
        </r>
      </text>
    </comment>
    <comment ref="AG3" authorId="0" shapeId="0">
      <text>
        <r>
          <rPr>
            <sz val="12"/>
            <color indexed="81"/>
            <rFont val="Tahoma"/>
            <family val="2"/>
          </rPr>
          <t xml:space="preserve">Select </t>
        </r>
        <r>
          <rPr>
            <i/>
            <sz val="12"/>
            <color indexed="81"/>
            <rFont val="Tahoma"/>
            <family val="2"/>
          </rPr>
          <t>Yes</t>
        </r>
        <r>
          <rPr>
            <sz val="12"/>
            <color indexed="81"/>
            <rFont val="Tahoma"/>
            <family val="2"/>
          </rPr>
          <t xml:space="preserve"> if the veteran who is entitled to compensation (or who but for the receipt of military retired pay would be entitled to compensation) under laws administered by the Veterans Administration; or a person who was discharged or released from active duty because of a service-connected disability.</t>
        </r>
      </text>
    </comment>
    <comment ref="AH3" authorId="0" shapeId="0">
      <text>
        <r>
          <rPr>
            <sz val="12"/>
            <color indexed="81"/>
            <rFont val="Tahoma"/>
            <family val="2"/>
          </rPr>
          <t xml:space="preserve">Please select </t>
        </r>
        <r>
          <rPr>
            <i/>
            <sz val="12"/>
            <color indexed="81"/>
            <rFont val="Tahoma"/>
            <family val="2"/>
          </rPr>
          <t>Yes</t>
        </r>
        <r>
          <rPr>
            <sz val="12"/>
            <color indexed="81"/>
            <rFont val="Tahoma"/>
            <family val="2"/>
          </rPr>
          <t xml:space="preserve"> if the participant is: 
• A veteran who is entitled to compensation (or who but for the receipt of military retired pay would be entitled to compensation) under laws administered by the Department of Veterans Affairs for a disability: 
(A) Rated at 30 percent or more, or
(B) Rated at 10 or 20 percent in the case of a veteran who has been determined to have a serious employment handicap; or
• A person who was discharged or released from active duty because of a service-connected disability. 
</t>
        </r>
      </text>
    </comment>
    <comment ref="AI3" authorId="0" shapeId="0">
      <text>
        <r>
          <rPr>
            <sz val="12"/>
            <color indexed="81"/>
            <rFont val="Tahoma"/>
            <family val="2"/>
          </rPr>
          <t xml:space="preserve">Enter the date the individual </t>
        </r>
        <r>
          <rPr>
            <b/>
            <sz val="12"/>
            <color indexed="81"/>
            <rFont val="Tahoma"/>
            <family val="2"/>
          </rPr>
          <t>first</t>
        </r>
        <r>
          <rPr>
            <sz val="12"/>
            <color indexed="81"/>
            <rFont val="Tahoma"/>
            <family val="2"/>
          </rPr>
          <t xml:space="preserve"> participated in </t>
        </r>
        <r>
          <rPr>
            <b/>
            <sz val="12"/>
            <color indexed="81"/>
            <rFont val="Tahoma"/>
            <family val="2"/>
          </rPr>
          <t>on-the-job training (OJT)</t>
        </r>
        <r>
          <rPr>
            <sz val="12"/>
            <color indexed="81"/>
            <rFont val="Tahoma"/>
            <family val="2"/>
          </rPr>
          <t xml:space="preserve">.  OJT is provided under a contract with an employer or registered apprenticeship program sponsor in the public, private non-profit, or private sector. Through the OJT contract, occupational training is provided for the participant by the employer in exchange for the reimbursement, typically up to 50 percent of the wage rate of the participant, for the extraordinary costs of providing the training and supervision related to the training. </t>
        </r>
      </text>
    </comment>
    <comment ref="AJ3" authorId="0" shapeId="0">
      <text>
        <r>
          <rPr>
            <sz val="12"/>
            <color indexed="81"/>
            <rFont val="Tahoma"/>
            <family val="2"/>
          </rPr>
          <t xml:space="preserve">Enter the date the individual </t>
        </r>
        <r>
          <rPr>
            <b/>
            <sz val="12"/>
            <color indexed="81"/>
            <rFont val="Tahoma"/>
            <family val="2"/>
          </rPr>
          <t>last</t>
        </r>
        <r>
          <rPr>
            <sz val="12"/>
            <color indexed="81"/>
            <rFont val="Tahoma"/>
            <family val="2"/>
          </rPr>
          <t xml:space="preserve"> participated in </t>
        </r>
        <r>
          <rPr>
            <b/>
            <sz val="12"/>
            <color indexed="81"/>
            <rFont val="Tahoma"/>
            <family val="2"/>
          </rPr>
          <t>on-the-job training (OJT)</t>
        </r>
        <r>
          <rPr>
            <sz val="12"/>
            <color indexed="81"/>
            <rFont val="Tahoma"/>
            <family val="2"/>
          </rPr>
          <t xml:space="preserve">.  OJT is provided under a contract with an employer or registered apprenticeship program sponsor in the public, private non-profit, or private sector. Through the OJT contract, occupational training is provided for the participant by the employer in exchange for the reimbursement, typically up to 50 percent of the wage rate of the participant, for the extraordinary costs of providing the training and supervision related to the training. 
</t>
        </r>
      </text>
    </comment>
    <comment ref="AN3" authorId="0" shapeId="0">
      <text>
        <r>
          <rPr>
            <sz val="12"/>
            <color indexed="81"/>
            <rFont val="Tahoma"/>
            <family val="2"/>
          </rPr>
          <t xml:space="preserve">Enter the date the participant </t>
        </r>
        <r>
          <rPr>
            <b/>
            <sz val="12"/>
            <color indexed="81"/>
            <rFont val="Tahoma"/>
            <family val="2"/>
          </rPr>
          <t>first</t>
        </r>
        <r>
          <rPr>
            <sz val="12"/>
            <color indexed="81"/>
            <rFont val="Tahoma"/>
            <family val="2"/>
          </rPr>
          <t xml:space="preserve"> received training that provides an individual with the knowledge and skills to start and grow a business.</t>
        </r>
      </text>
    </comment>
    <comment ref="AO3" authorId="0" shapeId="0">
      <text>
        <r>
          <rPr>
            <sz val="12"/>
            <color indexed="81"/>
            <rFont val="Tahoma"/>
            <family val="2"/>
          </rPr>
          <t xml:space="preserve">Enter the date the participant </t>
        </r>
        <r>
          <rPr>
            <b/>
            <sz val="12"/>
            <color indexed="81"/>
            <rFont val="Tahoma"/>
            <family val="2"/>
          </rPr>
          <t>last</t>
        </r>
        <r>
          <rPr>
            <sz val="12"/>
            <color indexed="81"/>
            <rFont val="Tahoma"/>
            <family val="2"/>
          </rPr>
          <t xml:space="preserve"> received training that provides an individual with the knowledge and skills to start and grow a business.</t>
        </r>
      </text>
    </comment>
    <comment ref="AR3" authorId="0" shapeId="0">
      <text>
        <r>
          <rPr>
            <sz val="12"/>
            <color indexed="81"/>
            <rFont val="Tahoma"/>
            <family val="2"/>
          </rPr>
          <t xml:space="preserve">Enter the date the individual </t>
        </r>
        <r>
          <rPr>
            <b/>
            <sz val="12"/>
            <color indexed="81"/>
            <rFont val="Tahoma"/>
            <family val="2"/>
          </rPr>
          <t>first</t>
        </r>
        <r>
          <rPr>
            <sz val="12"/>
            <color indexed="81"/>
            <rFont val="Tahoma"/>
            <family val="2"/>
          </rPr>
          <t xml:space="preserve"> participated in </t>
        </r>
        <r>
          <rPr>
            <b/>
            <sz val="12"/>
            <color indexed="81"/>
            <rFont val="Tahoma"/>
            <family val="2"/>
          </rPr>
          <t>customized training</t>
        </r>
        <r>
          <rPr>
            <sz val="12"/>
            <color indexed="81"/>
            <rFont val="Tahoma"/>
            <family val="2"/>
          </rPr>
          <t xml:space="preserve">. This type of training is designed to meet the specific requirements of an employer (including a group of employers); is conducted with a commitment by the employer to employ an individual upon successful completion of the training; and for which the employer pays a significant portion of the cost of training.  </t>
        </r>
      </text>
    </comment>
    <comment ref="AS3" authorId="0" shapeId="0">
      <text>
        <r>
          <rPr>
            <sz val="12"/>
            <color indexed="81"/>
            <rFont val="Tahoma"/>
            <family val="2"/>
          </rPr>
          <t xml:space="preserve">Enter the date the individual </t>
        </r>
        <r>
          <rPr>
            <b/>
            <sz val="12"/>
            <color indexed="81"/>
            <rFont val="Tahoma"/>
            <family val="2"/>
          </rPr>
          <t>last</t>
        </r>
        <r>
          <rPr>
            <sz val="12"/>
            <color indexed="81"/>
            <rFont val="Tahoma"/>
            <family val="2"/>
          </rPr>
          <t xml:space="preserve"> participated in </t>
        </r>
        <r>
          <rPr>
            <b/>
            <sz val="12"/>
            <color indexed="81"/>
            <rFont val="Tahoma"/>
            <family val="2"/>
          </rPr>
          <t>customized training</t>
        </r>
        <r>
          <rPr>
            <sz val="12"/>
            <color indexed="81"/>
            <rFont val="Tahoma"/>
            <family val="2"/>
          </rPr>
          <t xml:space="preserve">. This type of training is designed to meet the specific requirements of an employer (including a group of employers); is conducted with a commitment by the employer to employ an individual upon successful completion of the training; and for which the employer pays a significant portion of the cost of training.  </t>
        </r>
      </text>
    </comment>
    <comment ref="AT3" authorId="0" shapeId="0">
      <text>
        <r>
          <rPr>
            <sz val="12"/>
            <color indexed="81"/>
            <rFont val="Tahoma"/>
            <family val="2"/>
          </rPr>
          <t>Transitional housing means housing, the purpose of which is to facilitate the movement of individuals and families experiencing homelessness to permanent housing. [note: 42 USC 11360(29)] Permanent housing means community-based housing without a designated length of stay where an individual or family has a lease in accord with state and Federal law that is renewable and terminable only for cause, and includes home ownership.</t>
        </r>
      </text>
    </comment>
    <comment ref="AV3" authorId="0" shapeId="0">
      <text>
        <r>
          <rPr>
            <sz val="12"/>
            <color indexed="81"/>
            <rFont val="Tahoma"/>
            <family val="2"/>
          </rPr>
          <t xml:space="preserve">Enter the </t>
        </r>
        <r>
          <rPr>
            <b/>
            <sz val="12"/>
            <color indexed="81"/>
            <rFont val="Tahoma"/>
            <family val="2"/>
          </rPr>
          <t>last quarter</t>
        </r>
        <r>
          <rPr>
            <sz val="12"/>
            <color indexed="81"/>
            <rFont val="Tahoma"/>
            <family val="2"/>
          </rPr>
          <t xml:space="preserve"> the participant received a staff-facilitated </t>
        </r>
        <r>
          <rPr>
            <b/>
            <sz val="12"/>
            <color indexed="81"/>
            <rFont val="Tahoma"/>
            <family val="2"/>
          </rPr>
          <t>job search</t>
        </r>
        <r>
          <rPr>
            <sz val="12"/>
            <color indexed="81"/>
            <rFont val="Tahoma"/>
            <family val="2"/>
          </rPr>
          <t xml:space="preserve"> service that focuses on building practical skills, identifying and initiating employer contacts, and conducting successful interviews with employers. Various approaches may include job club participation, identifying personal strengths and goals, résumé application preparation, interviewing techniques, and receiving labor market information.
</t>
        </r>
      </text>
    </comment>
    <comment ref="AX3" authorId="0" shapeId="0">
      <text>
        <r>
          <rPr>
            <b/>
            <sz val="12"/>
            <color indexed="81"/>
            <rFont val="Tahoma"/>
            <family val="2"/>
          </rPr>
          <t>Transitional Jobs</t>
        </r>
        <r>
          <rPr>
            <sz val="12"/>
            <color indexed="81"/>
            <rFont val="Tahoma"/>
            <family val="2"/>
          </rPr>
          <t xml:space="preserve">: </t>
        </r>
        <r>
          <rPr>
            <b/>
            <sz val="12"/>
            <color indexed="81"/>
            <rFont val="Tahoma"/>
            <family val="2"/>
          </rPr>
          <t xml:space="preserve">
</t>
        </r>
        <r>
          <rPr>
            <sz val="12"/>
            <color indexed="81"/>
            <rFont val="Tahoma"/>
            <family val="2"/>
          </rPr>
          <t>(A) are time-limited work experiences that are subsidized
and are in the public, private, or nonprofit sectors
for individuals with barriers to employment who are chronically
unemployed or have an inconsistent work history;
(B) are combined with comprehensive employment and
supportive services; and
(C) are designed to assist individuals establish a work history, demonstrate success in the workplace, and develop the skills
that lead to entry into and retention in unsubsidized
employment.</t>
        </r>
      </text>
    </comment>
    <comment ref="BH3" authorId="0" shapeId="0">
      <text>
        <r>
          <rPr>
            <sz val="12"/>
            <color indexed="81"/>
            <rFont val="Tahoma"/>
            <family val="2"/>
          </rPr>
          <t>Financial literacy activities that may include:
(i) supporting the ability of participants to create
household budgets, initiate savings plans, and make
informed financial decisions;
(ii) supporting the ability to manage spending,
credit, and debt, including credit card debt, effectively;
(iii) increasing awareness of the availability, usage and
significance of credit reports and scores in
obtaining credit, and their effect on credit terms;
(iv) supporting the ability to understand, evaluate,
and compare financial products, services, and
opportunities; and
(v) supporting activities that address the particular
financial literacy needs of non-English speakers,
including providing the support through the development
and distribution of multilingual financial literacy
and education materials.</t>
        </r>
      </text>
    </comment>
    <comment ref="BU3" authorId="0" shapeId="0">
      <text>
        <r>
          <rPr>
            <sz val="12"/>
            <color indexed="81"/>
            <rFont val="Tahoma"/>
            <family val="2"/>
          </rPr>
          <t xml:space="preserve">Individuals actively enrolled on the last day of the period of performance for the prior grant AND whose enrollment was carried forward to the current grant.  The same ID &amp; Name from the prior grant should be reused.
</t>
        </r>
      </text>
    </comment>
  </commentList>
</comments>
</file>

<file path=xl/comments4.xml><?xml version="1.0" encoding="utf-8"?>
<comments xmlns="http://schemas.openxmlformats.org/spreadsheetml/2006/main">
  <authors>
    <author>JH</author>
  </authors>
  <commentList>
    <comment ref="E1" authorId="0" shapeId="0">
      <text>
        <r>
          <rPr>
            <sz val="9"/>
            <color indexed="81"/>
            <rFont val="Tahoma"/>
            <family val="2"/>
          </rPr>
          <t xml:space="preserve">2010 census tables downloaded from: https://factfinder.census.gov/faces/nav/jsf/pages/download_center.xhtml
</t>
        </r>
      </text>
    </comment>
    <comment ref="F1" authorId="0" shapeId="0">
      <text>
        <r>
          <rPr>
            <sz val="9"/>
            <color indexed="81"/>
            <rFont val="Tahoma"/>
            <family val="2"/>
          </rPr>
          <t xml:space="preserve">2010 census tables downloaded from: https://factfinder.census.gov/faces/nav/jsf/pages/download_center.xhtml
</t>
        </r>
      </text>
    </comment>
    <comment ref="G1" authorId="0" shapeId="0">
      <text>
        <r>
          <rPr>
            <b/>
            <sz val="9"/>
            <color indexed="81"/>
            <rFont val="Tahoma"/>
            <family val="2"/>
          </rPr>
          <t xml:space="preserve">2010 census tables downloaded from: https://factfinder.census.gov/faces/nav/jsf/pages/download_center.xhtml
</t>
        </r>
      </text>
    </comment>
    <comment ref="H1" authorId="0" shapeId="0">
      <text>
        <r>
          <rPr>
            <b/>
            <sz val="9"/>
            <color indexed="81"/>
            <rFont val="Tahoma"/>
            <family val="2"/>
          </rPr>
          <t xml:space="preserve">2010 census tables downloaded from: https://factfinder.census.gov/faces/nav/jsf/pages/download_center.xhtml
</t>
        </r>
      </text>
    </comment>
    <comment ref="AR1" authorId="0" shapeId="0">
      <text>
        <r>
          <rPr>
            <sz val="9"/>
            <color indexed="81"/>
            <rFont val="Tahoma"/>
            <family val="2"/>
          </rPr>
          <t xml:space="preserve">This table is used to automatically size cell comment boxes.
</t>
        </r>
      </text>
    </comment>
    <comment ref="AZ1" authorId="0" shapeId="0">
      <text>
        <r>
          <rPr>
            <sz val="9"/>
            <color indexed="81"/>
            <rFont val="Tahoma"/>
            <family val="2"/>
          </rPr>
          <t>Don't make this a Table/ListObject…that will expose its name even though this sheet is very hidden; We do want a centralized location to manage easier.
This is a dynamic range, so don't enter anything else in column.</t>
        </r>
      </text>
    </comment>
    <comment ref="BB1" authorId="0" shapeId="0">
      <text>
        <r>
          <rPr>
            <sz val="9"/>
            <color indexed="81"/>
            <rFont val="Tahoma"/>
            <family val="2"/>
          </rPr>
          <t xml:space="preserve">Used for looking up date ranges instead of using literals in formulas for easier maintenance.  Includes lookup of date ranges related to grant ancestry relationships (e.g. for carry over date validation).  Should be updated to match the program year this workbook applies to.
</t>
        </r>
      </text>
    </comment>
    <comment ref="BD1" authorId="0" shapeId="0">
      <text>
        <r>
          <rPr>
            <b/>
            <sz val="9"/>
            <color indexed="81"/>
            <rFont val="Tahoma"/>
            <family val="2"/>
          </rPr>
          <t>Used for looking up grant generation membership.  Can be used to determine appropriate carry over designations.  Keep sorted in ascending order.</t>
        </r>
        <r>
          <rPr>
            <sz val="9"/>
            <color indexed="81"/>
            <rFont val="Tahoma"/>
            <family val="2"/>
          </rPr>
          <t xml:space="preserve">
</t>
        </r>
      </text>
    </comment>
    <comment ref="BG1" authorId="0" shapeId="0">
      <text>
        <r>
          <rPr>
            <sz val="9"/>
            <color indexed="81"/>
            <rFont val="Tahoma"/>
            <family val="2"/>
          </rPr>
          <t>Used for determining which conflicts a Participants' military service dates overlapped with.</t>
        </r>
      </text>
    </comment>
  </commentList>
</comments>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Table2" type="102" refreshedVersion="6" minRefreshableVersion="5">
    <extLst>
      <ext xmlns:x15="http://schemas.microsoft.com/office/spreadsheetml/2010/11/main" uri="{DE250136-89BD-433C-8126-D09CA5730AF9}">
        <x15:connection id="Table2">
          <x15:rangePr sourceName="_xlcn.WorksheetConnection_Table2"/>
        </x15:connection>
      </ext>
    </extLst>
  </connection>
  <connection id="3" name="WorksheetConnection_Table3" type="102" refreshedVersion="6" minRefreshableVersion="5">
    <extLst>
      <ext xmlns:x15="http://schemas.microsoft.com/office/spreadsheetml/2010/11/main" uri="{DE250136-89BD-433C-8126-D09CA5730AF9}">
        <x15:connection id="Table3">
          <x15:rangePr sourceName="_xlcn.WorksheetConnection_Table3"/>
        </x15:connection>
      </ext>
    </extLst>
  </connection>
  <connection id="4" name="WorksheetConnection_tblFipsStateCodes" type="102" refreshedVersion="6" minRefreshableVersion="5">
    <extLst>
      <ext xmlns:x15="http://schemas.microsoft.com/office/spreadsheetml/2010/11/main" uri="{DE250136-89BD-433C-8126-D09CA5730AF9}">
        <x15:connection id="tblFipsStateCodes">
          <x15:rangePr sourceName="_xlcn.WorksheetConnection_tblFipsStateCodes"/>
        </x15:connection>
      </ext>
    </extLst>
  </connection>
  <connection id="5" name="WorksheetConnection_tblFipsStateCountyCodes" type="102" refreshedVersion="6" minRefreshableVersion="5">
    <extLst>
      <ext xmlns:x15="http://schemas.microsoft.com/office/spreadsheetml/2010/11/main" uri="{DE250136-89BD-433C-8126-D09CA5730AF9}">
        <x15:connection id="tblFipsStateCountyCodes">
          <x15:rangePr sourceName="_xlcn.WorksheetConnection_tblFipsStateCountyCodes"/>
        </x15:connection>
      </ext>
    </extLst>
  </connection>
</connections>
</file>

<file path=xl/sharedStrings.xml><?xml version="1.0" encoding="utf-8"?>
<sst xmlns="http://schemas.openxmlformats.org/spreadsheetml/2006/main" count="14149" uniqueCount="3170">
  <si>
    <t>Gender</t>
  </si>
  <si>
    <t>Ethnicity</t>
  </si>
  <si>
    <t>Asian</t>
  </si>
  <si>
    <t>White</t>
  </si>
  <si>
    <t>Date Entered Military Service</t>
  </si>
  <si>
    <t>Date of Military Discharge</t>
  </si>
  <si>
    <t>Disabled</t>
  </si>
  <si>
    <t>Last Branch of Military Service</t>
  </si>
  <si>
    <t>Homeless</t>
  </si>
  <si>
    <t>Hours Per Week in 2nd Quarter After Exit</t>
  </si>
  <si>
    <t>Average Wage in 2nd Quarter After Exit</t>
  </si>
  <si>
    <t>Earnings in 2nd Quarter After Exit</t>
  </si>
  <si>
    <t>Hours Per Week in 3rd Quarter After Exit</t>
  </si>
  <si>
    <t>Hourly Wage in 3rd Quarter After Exit</t>
  </si>
  <si>
    <t>Earnings for 3rd Quarter After Exit</t>
  </si>
  <si>
    <t>2nd &amp; 3rd Quarter Earnings for those Employed all 3 Quarters After Exit</t>
  </si>
  <si>
    <t>Hours Worked Per Week in 4th Quarter After Exit</t>
  </si>
  <si>
    <t>Hourly Wage in 4th Quarter After Exit</t>
  </si>
  <si>
    <t>Yes</t>
  </si>
  <si>
    <t>No</t>
  </si>
  <si>
    <t>Army</t>
  </si>
  <si>
    <t>Navy</t>
  </si>
  <si>
    <t>Air Force</t>
  </si>
  <si>
    <t>Marines</t>
  </si>
  <si>
    <t>Alabama</t>
  </si>
  <si>
    <t>AL</t>
  </si>
  <si>
    <t>Alaska</t>
  </si>
  <si>
    <t>AK</t>
  </si>
  <si>
    <t>Arizona</t>
  </si>
  <si>
    <t>AZ</t>
  </si>
  <si>
    <t>Arkansas</t>
  </si>
  <si>
    <t>AR</t>
  </si>
  <si>
    <t>California</t>
  </si>
  <si>
    <t>CA</t>
  </si>
  <si>
    <t>Colorado</t>
  </si>
  <si>
    <t>CO</t>
  </si>
  <si>
    <t>Connecticut</t>
  </si>
  <si>
    <t>CT</t>
  </si>
  <si>
    <t>Delaware</t>
  </si>
  <si>
    <t>DE</t>
  </si>
  <si>
    <t>District of Columbia</t>
  </si>
  <si>
    <t>DC</t>
  </si>
  <si>
    <t>Florida</t>
  </si>
  <si>
    <t>FL</t>
  </si>
  <si>
    <t>Georgia</t>
  </si>
  <si>
    <t>GA</t>
  </si>
  <si>
    <t>Hawaii</t>
  </si>
  <si>
    <t>HI</t>
  </si>
  <si>
    <t>Idaho</t>
  </si>
  <si>
    <t>ID</t>
  </si>
  <si>
    <t>Illinois</t>
  </si>
  <si>
    <t>IL</t>
  </si>
  <si>
    <t>Indiana</t>
  </si>
  <si>
    <t>IN</t>
  </si>
  <si>
    <t>Iowa</t>
  </si>
  <si>
    <t>IA</t>
  </si>
  <si>
    <t>Kansas</t>
  </si>
  <si>
    <t>KS</t>
  </si>
  <si>
    <t>Kentucky</t>
  </si>
  <si>
    <t>KY</t>
  </si>
  <si>
    <t>Louisiana</t>
  </si>
  <si>
    <t>LA</t>
  </si>
  <si>
    <t>Maine</t>
  </si>
  <si>
    <t>ME</t>
  </si>
  <si>
    <t>Maryland</t>
  </si>
  <si>
    <t>MD</t>
  </si>
  <si>
    <t>Massachusetts</t>
  </si>
  <si>
    <t>MA</t>
  </si>
  <si>
    <t>Michigan</t>
  </si>
  <si>
    <t>MI</t>
  </si>
  <si>
    <t>Minnesota</t>
  </si>
  <si>
    <t>MN</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</si>
  <si>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</si>
  <si>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</si>
  <si>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</si>
  <si>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</si>
  <si>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</si>
  <si>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</si>
  <si>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</si>
  <si>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</si>
  <si>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</si>
  <si>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</si>
  <si>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</si>
  <si>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</si>
  <si>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</si>
  <si>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</si>
  <si>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</si>
  <si>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</si>
  <si>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</si>
  <si>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</si>
  <si>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</si>
  <si>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</si>
  <si>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</si>
  <si>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</si>
  <si>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Ohio</t>
  </si>
  <si>
    <t>OH</t>
  </si>
  <si>
    <t>Oklahoma</t>
  </si>
  <si>
    <t>OK</t>
  </si>
  <si>
    <t>Oregon</t>
  </si>
  <si>
    <t>OR</t>
  </si>
  <si>
    <t>Pennsylvania</t>
  </si>
  <si>
    <t>PA</t>
  </si>
  <si>
    <t>Rhode Island</t>
  </si>
  <si>
    <t>RI</t>
  </si>
  <si>
    <t>South Carolina</t>
  </si>
  <si>
    <t>SC</t>
  </si>
  <si>
    <t>South Dakota</t>
  </si>
  <si>
    <t>SD</t>
  </si>
  <si>
    <t>Tennessee</t>
  </si>
  <si>
    <t>TN</t>
  </si>
  <si>
    <t>Texas</t>
  </si>
  <si>
    <t>TX</t>
  </si>
  <si>
    <t>Utah</t>
  </si>
  <si>
    <t>UT</t>
  </si>
  <si>
    <t>Vermont</t>
  </si>
  <si>
    <t>VT</t>
  </si>
  <si>
    <t>Virginia</t>
  </si>
  <si>
    <t>VA</t>
  </si>
  <si>
    <t>Washington</t>
  </si>
  <si>
    <t>WA</t>
  </si>
  <si>
    <t>West Virginia</t>
  </si>
  <si>
    <t>WV</t>
  </si>
  <si>
    <t>Wisconsin</t>
  </si>
  <si>
    <t>WI</t>
  </si>
  <si>
    <t>Wyoming</t>
  </si>
  <si>
    <t>WY</t>
  </si>
  <si>
    <t>01</t>
  </si>
  <si>
    <t>02</t>
  </si>
  <si>
    <t>04</t>
  </si>
  <si>
    <t>05</t>
  </si>
  <si>
    <t>06</t>
  </si>
  <si>
    <t>08</t>
  </si>
  <si>
    <t>09</t>
  </si>
  <si>
    <t>American Samoa</t>
  </si>
  <si>
    <t>60</t>
  </si>
  <si>
    <t>AS</t>
  </si>
  <si>
    <t>Federated States of Micronesia</t>
  </si>
  <si>
    <t>64</t>
  </si>
  <si>
    <t>FM</t>
  </si>
  <si>
    <t>Guam</t>
  </si>
  <si>
    <t>66</t>
  </si>
  <si>
    <t>GU</t>
  </si>
  <si>
    <t>Marshall Islands</t>
  </si>
  <si>
    <t>68</t>
  </si>
  <si>
    <t>MH</t>
  </si>
  <si>
    <t>Northern Mariana Islands</t>
  </si>
  <si>
    <t>69</t>
  </si>
  <si>
    <t>MP</t>
  </si>
  <si>
    <t>Palau</t>
  </si>
  <si>
    <t>70</t>
  </si>
  <si>
    <t>PW</t>
  </si>
  <si>
    <t>Puerto Rico</t>
  </si>
  <si>
    <t>72</t>
  </si>
  <si>
    <t>PR</t>
  </si>
  <si>
    <t>US Virgin Islands</t>
  </si>
  <si>
    <t>78</t>
  </si>
  <si>
    <t>VI</t>
  </si>
  <si>
    <t>US Minor Outlying Islands</t>
  </si>
  <si>
    <t>74</t>
  </si>
  <si>
    <t>UM</t>
  </si>
  <si>
    <t>001</t>
  </si>
  <si>
    <t>Autauga County</t>
  </si>
  <si>
    <t>003</t>
  </si>
  <si>
    <t>Baldwin County</t>
  </si>
  <si>
    <t>005</t>
  </si>
  <si>
    <t>Barbour County</t>
  </si>
  <si>
    <t>007</t>
  </si>
  <si>
    <t>Bibb County</t>
  </si>
  <si>
    <t>009</t>
  </si>
  <si>
    <t>Blount County</t>
  </si>
  <si>
    <t>011</t>
  </si>
  <si>
    <t>Bullock County</t>
  </si>
  <si>
    <t>013</t>
  </si>
  <si>
    <t>Butler County</t>
  </si>
  <si>
    <t>015</t>
  </si>
  <si>
    <t>Calhoun County</t>
  </si>
  <si>
    <t>017</t>
  </si>
  <si>
    <t>Chambers County</t>
  </si>
  <si>
    <t>019</t>
  </si>
  <si>
    <t>Cherokee County</t>
  </si>
  <si>
    <t>021</t>
  </si>
  <si>
    <t>Chilton County</t>
  </si>
  <si>
    <t>023</t>
  </si>
  <si>
    <t>Choctaw County</t>
  </si>
  <si>
    <t>025</t>
  </si>
  <si>
    <t>Clarke County</t>
  </si>
  <si>
    <t>027</t>
  </si>
  <si>
    <t>Clay County</t>
  </si>
  <si>
    <t>029</t>
  </si>
  <si>
    <t>Cleburne County</t>
  </si>
  <si>
    <t>031</t>
  </si>
  <si>
    <t>Coffee County</t>
  </si>
  <si>
    <t>033</t>
  </si>
  <si>
    <t>Colbert County</t>
  </si>
  <si>
    <t>035</t>
  </si>
  <si>
    <t>Conecuh County</t>
  </si>
  <si>
    <t>037</t>
  </si>
  <si>
    <t>Coosa County</t>
  </si>
  <si>
    <t>039</t>
  </si>
  <si>
    <t>Covington County</t>
  </si>
  <si>
    <t>041</t>
  </si>
  <si>
    <t>Crenshaw County</t>
  </si>
  <si>
    <t>043</t>
  </si>
  <si>
    <t>Cullman County</t>
  </si>
  <si>
    <t>045</t>
  </si>
  <si>
    <t>Dale County</t>
  </si>
  <si>
    <t>047</t>
  </si>
  <si>
    <t>Dallas County</t>
  </si>
  <si>
    <t>049</t>
  </si>
  <si>
    <t>DeKalb County</t>
  </si>
  <si>
    <t>051</t>
  </si>
  <si>
    <t>Elmore County</t>
  </si>
  <si>
    <t>053</t>
  </si>
  <si>
    <t>Escambia County</t>
  </si>
  <si>
    <t>055</t>
  </si>
  <si>
    <t>Etowah County</t>
  </si>
  <si>
    <t>057</t>
  </si>
  <si>
    <t>Fayette County</t>
  </si>
  <si>
    <t>059</t>
  </si>
  <si>
    <t>Franklin County</t>
  </si>
  <si>
    <t>061</t>
  </si>
  <si>
    <t>Geneva County</t>
  </si>
  <si>
    <t>063</t>
  </si>
  <si>
    <t>Greene County</t>
  </si>
  <si>
    <t>065</t>
  </si>
  <si>
    <t>Hale County</t>
  </si>
  <si>
    <t>067</t>
  </si>
  <si>
    <t>Henry County</t>
  </si>
  <si>
    <t>069</t>
  </si>
  <si>
    <t>Houston County</t>
  </si>
  <si>
    <t>071</t>
  </si>
  <si>
    <t>Jackson County</t>
  </si>
  <si>
    <t>073</t>
  </si>
  <si>
    <t>Jefferson County</t>
  </si>
  <si>
    <t>075</t>
  </si>
  <si>
    <t>Lamar County</t>
  </si>
  <si>
    <t>077</t>
  </si>
  <si>
    <t>Lauderdale County</t>
  </si>
  <si>
    <t>079</t>
  </si>
  <si>
    <t>Lawrence County</t>
  </si>
  <si>
    <t>081</t>
  </si>
  <si>
    <t>Lee County</t>
  </si>
  <si>
    <t>083</t>
  </si>
  <si>
    <t>Limestone County</t>
  </si>
  <si>
    <t>085</t>
  </si>
  <si>
    <t>Lowndes County</t>
  </si>
  <si>
    <t>087</t>
  </si>
  <si>
    <t>Macon County</t>
  </si>
  <si>
    <t>089</t>
  </si>
  <si>
    <t>Madison County</t>
  </si>
  <si>
    <t>091</t>
  </si>
  <si>
    <t>Marengo County</t>
  </si>
  <si>
    <t>093</t>
  </si>
  <si>
    <t>Marion County</t>
  </si>
  <si>
    <t>095</t>
  </si>
  <si>
    <t>Marshall County</t>
  </si>
  <si>
    <t>097</t>
  </si>
  <si>
    <t>Mobile County</t>
  </si>
  <si>
    <t>099</t>
  </si>
  <si>
    <t>Monroe County</t>
  </si>
  <si>
    <t>101</t>
  </si>
  <si>
    <t>Montgomery County</t>
  </si>
  <si>
    <t>103</t>
  </si>
  <si>
    <t>Morgan County</t>
  </si>
  <si>
    <t>105</t>
  </si>
  <si>
    <t>Perry County</t>
  </si>
  <si>
    <t>107</t>
  </si>
  <si>
    <t>Pickens County</t>
  </si>
  <si>
    <t>109</t>
  </si>
  <si>
    <t>Pike County</t>
  </si>
  <si>
    <t>111</t>
  </si>
  <si>
    <t>Randolph County</t>
  </si>
  <si>
    <t>113</t>
  </si>
  <si>
    <t>Russell County</t>
  </si>
  <si>
    <t>115</t>
  </si>
  <si>
    <t>St. Clair County</t>
  </si>
  <si>
    <t>117</t>
  </si>
  <si>
    <t>Shelby County</t>
  </si>
  <si>
    <t>119</t>
  </si>
  <si>
    <t>Sumter County</t>
  </si>
  <si>
    <t>121</t>
  </si>
  <si>
    <t>Talladega County</t>
  </si>
  <si>
    <t>123</t>
  </si>
  <si>
    <t>Tallapoosa County</t>
  </si>
  <si>
    <t>125</t>
  </si>
  <si>
    <t>Tuscaloosa County</t>
  </si>
  <si>
    <t>127</t>
  </si>
  <si>
    <t>Walker County</t>
  </si>
  <si>
    <t>129</t>
  </si>
  <si>
    <t>Washington County</t>
  </si>
  <si>
    <t>131</t>
  </si>
  <si>
    <t>Wilcox County</t>
  </si>
  <si>
    <t>133</t>
  </si>
  <si>
    <t>Winston County</t>
  </si>
  <si>
    <t>Aleutians East Borough</t>
  </si>
  <si>
    <t>016</t>
  </si>
  <si>
    <t>Aleutians West Census Area</t>
  </si>
  <si>
    <t>020</t>
  </si>
  <si>
    <t>Anchorage Municipality</t>
  </si>
  <si>
    <t>050</t>
  </si>
  <si>
    <t>Bethel Census Area</t>
  </si>
  <si>
    <t>060</t>
  </si>
  <si>
    <t>Bristol Bay Borough</t>
  </si>
  <si>
    <t>068</t>
  </si>
  <si>
    <t>Denali Borough</t>
  </si>
  <si>
    <t>070</t>
  </si>
  <si>
    <t>Dillingham Census Area</t>
  </si>
  <si>
    <t>090</t>
  </si>
  <si>
    <t>Fairbanks North Star Borough</t>
  </si>
  <si>
    <t>100</t>
  </si>
  <si>
    <t>Haines Borough</t>
  </si>
  <si>
    <t>Hoonah-Angoon Census Area</t>
  </si>
  <si>
    <t>110</t>
  </si>
  <si>
    <t>Juneau City and Borough</t>
  </si>
  <si>
    <t>122</t>
  </si>
  <si>
    <t>Kenai Peninsula Borough</t>
  </si>
  <si>
    <t>130</t>
  </si>
  <si>
    <t>Ketchikan Gateway Borough</t>
  </si>
  <si>
    <t>150</t>
  </si>
  <si>
    <t>Kodiak Island Borough</t>
  </si>
  <si>
    <t>164</t>
  </si>
  <si>
    <t>Lake and Peninsula Borough</t>
  </si>
  <si>
    <t>170</t>
  </si>
  <si>
    <t>Matanuska-Susitna Borough</t>
  </si>
  <si>
    <t>180</t>
  </si>
  <si>
    <t>Nome Census Area</t>
  </si>
  <si>
    <t>185</t>
  </si>
  <si>
    <t>North Slope Borough</t>
  </si>
  <si>
    <t>188</t>
  </si>
  <si>
    <t>Northwest Arctic Borough</t>
  </si>
  <si>
    <t>195</t>
  </si>
  <si>
    <t>Petersburg Census Area</t>
  </si>
  <si>
    <t>198</t>
  </si>
  <si>
    <t>Prince of Wales-Hyder Census Area</t>
  </si>
  <si>
    <t>220</t>
  </si>
  <si>
    <t>Sitka City and Borough</t>
  </si>
  <si>
    <t>230</t>
  </si>
  <si>
    <t>Skagway Municipality</t>
  </si>
  <si>
    <t>240</t>
  </si>
  <si>
    <t>Southeast Fairbanks Census Area</t>
  </si>
  <si>
    <t>261</t>
  </si>
  <si>
    <t>Valdez-Cordova Census Area</t>
  </si>
  <si>
    <t>270</t>
  </si>
  <si>
    <t>Wade Hampton Census Area</t>
  </si>
  <si>
    <t>275</t>
  </si>
  <si>
    <t>Wrangell City and Borough</t>
  </si>
  <si>
    <t>282</t>
  </si>
  <si>
    <t>Yakutat City and Borough</t>
  </si>
  <si>
    <t>290</t>
  </si>
  <si>
    <t>Yukon-Koyukuk Census Area</t>
  </si>
  <si>
    <t>Apache County</t>
  </si>
  <si>
    <t>Cochise County</t>
  </si>
  <si>
    <t>Coconino County</t>
  </si>
  <si>
    <t>Gila County</t>
  </si>
  <si>
    <t>Graham County</t>
  </si>
  <si>
    <t>Greenlee County</t>
  </si>
  <si>
    <t>012</t>
  </si>
  <si>
    <t>La Paz County</t>
  </si>
  <si>
    <t>Maricopa County</t>
  </si>
  <si>
    <t>Mohave County</t>
  </si>
  <si>
    <t>Navajo County</t>
  </si>
  <si>
    <t>Pima County</t>
  </si>
  <si>
    <t>Pinal County</t>
  </si>
  <si>
    <t>Santa Cruz County</t>
  </si>
  <si>
    <t>Yavapai County</t>
  </si>
  <si>
    <t>Yuma County</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</si>
  <si>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</si>
  <si>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</si>
  <si>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</si>
  <si>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</si>
  <si>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</si>
  <si>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</si>
  <si>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</si>
  <si>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</si>
  <si>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</si>
  <si>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</si>
  <si>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</si>
  <si>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</si>
  <si>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</si>
  <si>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</si>
  <si>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</si>
  <si>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</si>
  <si>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</si>
  <si>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</si>
  <si>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</si>
  <si>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</si>
  <si>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</si>
  <si>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</si>
  <si>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</si>
  <si>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</si>
  <si>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</si>
  <si>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</si>
  <si>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</si>
  <si>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</si>
  <si>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</si>
  <si>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</si>
  <si>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</si>
  <si>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</si>
  <si>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</si>
  <si>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</si>
  <si>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</si>
  <si>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</si>
  <si>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</si>
  <si>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</si>
  <si>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</si>
  <si>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</si>
  <si>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</si>
  <si>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</si>
  <si>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</si>
  <si>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</si>
  <si>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St. Francis County</t>
  </si>
  <si>
    <t>Saline County</t>
  </si>
  <si>
    <t>Scott County</t>
  </si>
  <si>
    <t>Searcy County</t>
  </si>
  <si>
    <t>Sebastian County</t>
  </si>
  <si>
    <t>Sevier County</t>
  </si>
  <si>
    <t>135</t>
  </si>
  <si>
    <t>Sharp County</t>
  </si>
  <si>
    <t>137</t>
  </si>
  <si>
    <t>Stone County</t>
  </si>
  <si>
    <t>139</t>
  </si>
  <si>
    <t>Union County</t>
  </si>
  <si>
    <t>141</t>
  </si>
  <si>
    <t>Van Buren County</t>
  </si>
  <si>
    <t>143</t>
  </si>
  <si>
    <t>145</t>
  </si>
  <si>
    <t>White County</t>
  </si>
  <si>
    <t>147</t>
  </si>
  <si>
    <t>Woodruff County</t>
  </si>
  <si>
    <t>149</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</si>
  <si>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</si>
  <si>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</si>
  <si>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</si>
  <si>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</si>
  <si>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</si>
  <si>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</si>
  <si>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</si>
  <si>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</si>
  <si>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</si>
  <si>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</si>
  <si>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</si>
  <si>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</si>
  <si>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</si>
  <si>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</si>
  <si>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</si>
  <si>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</si>
  <si>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</si>
  <si>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</si>
  <si>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</si>
  <si>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</si>
  <si>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</si>
  <si>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</si>
  <si>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</si>
  <si>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</si>
  <si>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</si>
  <si>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</si>
  <si>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</si>
  <si>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</si>
  <si>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</si>
  <si>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</si>
  <si>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</si>
  <si>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</si>
  <si>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</si>
  <si>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</si>
  <si>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</si>
  <si>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</si>
  <si>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</si>
  <si>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</si>
  <si>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</si>
  <si>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</si>
  <si>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</si>
  <si>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</si>
  <si>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</si>
  <si>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</si>
  <si>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</si>
  <si>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</si>
  <si>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</si>
  <si>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</si>
  <si>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</si>
  <si>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</si>
  <si>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</si>
  <si>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</si>
  <si>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</si>
  <si>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</si>
  <si>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</si>
  <si>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</si>
  <si>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</si>
  <si>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</si>
  <si>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</si>
  <si>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</si>
  <si>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</si>
  <si>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Baca County</t>
  </si>
  <si>
    <t>Bent County</t>
  </si>
  <si>
    <t>Boulder County</t>
  </si>
  <si>
    <t>014</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</si>
  <si>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</si>
  <si>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</si>
  <si>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</si>
  <si>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</si>
  <si>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</si>
  <si>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</si>
  <si>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</si>
  <si>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</si>
  <si>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</si>
  <si>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</si>
  <si>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</si>
  <si>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</si>
  <si>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</si>
  <si>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Elbert County</t>
  </si>
  <si>
    <t>El Paso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</si>
  <si>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</si>
  <si>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</si>
  <si>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</si>
  <si>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</si>
  <si>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</si>
  <si>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</si>
  <si>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</si>
  <si>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</si>
  <si>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</si>
  <si>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</si>
  <si>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</si>
  <si>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</si>
  <si>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</si>
  <si>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</si>
  <si>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</si>
  <si>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</si>
  <si>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</si>
  <si>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</si>
  <si>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</si>
  <si>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</si>
  <si>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</si>
  <si>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</si>
  <si>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</si>
  <si>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</si>
  <si>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</si>
  <si>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</si>
  <si>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</si>
  <si>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</si>
  <si>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</si>
  <si>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</si>
  <si>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</si>
  <si>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</si>
  <si>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</si>
  <si>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</si>
  <si>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Hartford County</t>
  </si>
  <si>
    <t>Litchfield County</t>
  </si>
  <si>
    <t>Middlesex County</t>
  </si>
  <si>
    <t>New Haven County</t>
  </si>
  <si>
    <t>New London County</t>
  </si>
  <si>
    <t>Tolland County</t>
  </si>
  <si>
    <t>Windham County</t>
  </si>
  <si>
    <t>10</t>
  </si>
  <si>
    <t>Kent County</t>
  </si>
  <si>
    <t>New Castle County</t>
  </si>
  <si>
    <t>Sussex County</t>
  </si>
  <si>
    <t>11</t>
  </si>
  <si>
    <t>12</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</si>
  <si>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</si>
  <si>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</si>
  <si>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</si>
  <si>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</si>
  <si>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</si>
  <si>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</si>
  <si>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</si>
  <si>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</si>
  <si>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</si>
  <si>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</si>
  <si>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</si>
  <si>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</si>
  <si>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</si>
  <si>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</si>
  <si>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</si>
  <si>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</si>
  <si>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</si>
  <si>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</si>
  <si>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</si>
  <si>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</si>
  <si>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</si>
  <si>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</si>
  <si>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</si>
  <si>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</si>
  <si>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</si>
  <si>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</si>
  <si>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</si>
  <si>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</si>
  <si>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</si>
  <si>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</si>
  <si>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086</t>
  </si>
  <si>
    <t>Miami-Dade County</t>
  </si>
  <si>
    <t>Nassau County</t>
  </si>
  <si>
    <t>Okaloosa County</t>
  </si>
  <si>
    <t>Okeechobee County</t>
  </si>
  <si>
    <t>Osceola County</t>
  </si>
  <si>
    <t>Palm Beach County</t>
  </si>
  <si>
    <t>Pasco County</t>
  </si>
  <si>
    <t>Pinellas County</t>
  </si>
  <si>
    <t>Putnam County</t>
  </si>
  <si>
    <t>St. Johns County</t>
  </si>
  <si>
    <t>St. Lucie County</t>
  </si>
  <si>
    <t>Santa Rosa County</t>
  </si>
  <si>
    <t>Sarasota County</t>
  </si>
  <si>
    <t>Seminole County</t>
  </si>
  <si>
    <t>Suwannee County</t>
  </si>
  <si>
    <t>Taylor County</t>
  </si>
  <si>
    <t>Volusia County</t>
  </si>
  <si>
    <t>Wakulla County</t>
  </si>
  <si>
    <t>Walton County</t>
  </si>
  <si>
    <t>13</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</si>
  <si>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</si>
  <si>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</si>
  <si>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</si>
  <si>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</si>
  <si>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</si>
  <si>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</si>
  <si>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</si>
  <si>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</si>
  <si>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</si>
  <si>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</si>
  <si>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</si>
  <si>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</si>
  <si>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</si>
  <si>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</si>
  <si>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</si>
  <si>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</si>
  <si>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</si>
  <si>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</si>
  <si>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</si>
  <si>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</si>
  <si>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</si>
  <si>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</si>
  <si>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</si>
  <si>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</si>
  <si>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</si>
  <si>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</si>
  <si>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</si>
  <si>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</si>
  <si>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</si>
  <si>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</si>
  <si>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</si>
  <si>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</si>
  <si>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</si>
  <si>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</si>
  <si>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</si>
  <si>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</si>
  <si>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</si>
  <si>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</si>
  <si>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</si>
  <si>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</si>
  <si>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</si>
  <si>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</si>
  <si>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</si>
  <si>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</si>
  <si>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</si>
  <si>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</si>
  <si>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</si>
  <si>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</si>
  <si>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</si>
  <si>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</si>
  <si>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</si>
  <si>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</si>
  <si>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</si>
  <si>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</si>
  <si>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</si>
  <si>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</si>
  <si>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151</t>
  </si>
  <si>
    <t>153</t>
  </si>
  <si>
    <t>155</t>
  </si>
  <si>
    <t>Irwin County</t>
  </si>
  <si>
    <t>157</t>
  </si>
  <si>
    <t>159</t>
  </si>
  <si>
    <t>Jasper County</t>
  </si>
  <si>
    <t>161</t>
  </si>
  <si>
    <t>Jeff Davis County</t>
  </si>
  <si>
    <t>163</t>
  </si>
  <si>
    <t>165</t>
  </si>
  <si>
    <t>Jenkins County</t>
  </si>
  <si>
    <t>167</t>
  </si>
  <si>
    <t>169</t>
  </si>
  <si>
    <t>Jones County</t>
  </si>
  <si>
    <t>171</t>
  </si>
  <si>
    <t>173</t>
  </si>
  <si>
    <t>Lanier County</t>
  </si>
  <si>
    <t>175</t>
  </si>
  <si>
    <t>Laurens County</t>
  </si>
  <si>
    <t>177</t>
  </si>
  <si>
    <t>179</t>
  </si>
  <si>
    <t>181</t>
  </si>
  <si>
    <t>183</t>
  </si>
  <si>
    <t>Long County</t>
  </si>
  <si>
    <t>187</t>
  </si>
  <si>
    <t>Lumpkin County</t>
  </si>
  <si>
    <t>189</t>
  </si>
  <si>
    <t>McDuffie County</t>
  </si>
  <si>
    <t>191</t>
  </si>
  <si>
    <t>McIntosh County</t>
  </si>
  <si>
    <t>193</t>
  </si>
  <si>
    <t>197</t>
  </si>
  <si>
    <t>199</t>
  </si>
  <si>
    <t>Meriwether County</t>
  </si>
  <si>
    <t>201</t>
  </si>
  <si>
    <t>205</t>
  </si>
  <si>
    <t>Mitchell County</t>
  </si>
  <si>
    <t>207</t>
  </si>
  <si>
    <t>209</t>
  </si>
  <si>
    <t>211</t>
  </si>
  <si>
    <t>213</t>
  </si>
  <si>
    <t>Murray County</t>
  </si>
  <si>
    <t>215</t>
  </si>
  <si>
    <t>Muscogee County</t>
  </si>
  <si>
    <t>217</t>
  </si>
  <si>
    <t>219</t>
  </si>
  <si>
    <t>Oconee County</t>
  </si>
  <si>
    <t>221</t>
  </si>
  <si>
    <t>Oglethorpe County</t>
  </si>
  <si>
    <t>223</t>
  </si>
  <si>
    <t>Paulding County</t>
  </si>
  <si>
    <t>225</t>
  </si>
  <si>
    <t>Peach County</t>
  </si>
  <si>
    <t>227</t>
  </si>
  <si>
    <t>229</t>
  </si>
  <si>
    <t>Pierce County</t>
  </si>
  <si>
    <t>231</t>
  </si>
  <si>
    <t>233</t>
  </si>
  <si>
    <t>235</t>
  </si>
  <si>
    <t>237</t>
  </si>
  <si>
    <t>239</t>
  </si>
  <si>
    <t>Quitman County</t>
  </si>
  <si>
    <t>241</t>
  </si>
  <si>
    <t>Rabun County</t>
  </si>
  <si>
    <t>243</t>
  </si>
  <si>
    <t>245</t>
  </si>
  <si>
    <t>Richmond County</t>
  </si>
  <si>
    <t>247</t>
  </si>
  <si>
    <t>Rockdale County</t>
  </si>
  <si>
    <t>249</t>
  </si>
  <si>
    <t>Schley County</t>
  </si>
  <si>
    <t>251</t>
  </si>
  <si>
    <t>Screven County</t>
  </si>
  <si>
    <t>253</t>
  </si>
  <si>
    <t>255</t>
  </si>
  <si>
    <t>Spalding County</t>
  </si>
  <si>
    <t>257</t>
  </si>
  <si>
    <t>Stephens County</t>
  </si>
  <si>
    <t>259</t>
  </si>
  <si>
    <t>Stewart County</t>
  </si>
  <si>
    <t>263</t>
  </si>
  <si>
    <t>Talbot County</t>
  </si>
  <si>
    <t>265</t>
  </si>
  <si>
    <t>Taliaferro County</t>
  </si>
  <si>
    <t>267</t>
  </si>
  <si>
    <t>Tattnall County</t>
  </si>
  <si>
    <t>269</t>
  </si>
  <si>
    <t>271</t>
  </si>
  <si>
    <t>Telfair County</t>
  </si>
  <si>
    <t>273</t>
  </si>
  <si>
    <t>Terrell County</t>
  </si>
  <si>
    <t>Thomas County</t>
  </si>
  <si>
    <t>277</t>
  </si>
  <si>
    <t>Tift County</t>
  </si>
  <si>
    <t>279</t>
  </si>
  <si>
    <t>Toombs County</t>
  </si>
  <si>
    <t>281</t>
  </si>
  <si>
    <t>Towns County</t>
  </si>
  <si>
    <t>283</t>
  </si>
  <si>
    <t>Treutlen County</t>
  </si>
  <si>
    <t>285</t>
  </si>
  <si>
    <t>Troup County</t>
  </si>
  <si>
    <t>287</t>
  </si>
  <si>
    <t>Turner County</t>
  </si>
  <si>
    <t>289</t>
  </si>
  <si>
    <t>Twiggs County</t>
  </si>
  <si>
    <t>291</t>
  </si>
  <si>
    <t>293</t>
  </si>
  <si>
    <t>Upson County</t>
  </si>
  <si>
    <t>295</t>
  </si>
  <si>
    <t>297</t>
  </si>
  <si>
    <t>299</t>
  </si>
  <si>
    <t>Ware County</t>
  </si>
  <si>
    <t>301</t>
  </si>
  <si>
    <t>Warren County</t>
  </si>
  <si>
    <t>303</t>
  </si>
  <si>
    <t>305</t>
  </si>
  <si>
    <t>Wayne County</t>
  </si>
  <si>
    <t>307</t>
  </si>
  <si>
    <t>Webster County</t>
  </si>
  <si>
    <t>309</t>
  </si>
  <si>
    <t>Wheeler County</t>
  </si>
  <si>
    <t>311</t>
  </si>
  <si>
    <t>313</t>
  </si>
  <si>
    <t>Whitfield County</t>
  </si>
  <si>
    <t>315</t>
  </si>
  <si>
    <t>317</t>
  </si>
  <si>
    <t>Wilkes County</t>
  </si>
  <si>
    <t>319</t>
  </si>
  <si>
    <t>Wilkinson County</t>
  </si>
  <si>
    <t>321</t>
  </si>
  <si>
    <t>Worth County</t>
  </si>
  <si>
    <t>15</t>
  </si>
  <si>
    <t>Hawaii County</t>
  </si>
  <si>
    <t>Honolulu County</t>
  </si>
  <si>
    <t>Kalawao County</t>
  </si>
  <si>
    <t>Kauai County</t>
  </si>
  <si>
    <t>Maui County</t>
  </si>
  <si>
    <t>16</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</si>
  <si>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</si>
  <si>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</si>
  <si>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</si>
  <si>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</si>
  <si>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</si>
  <si>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</si>
  <si>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</si>
  <si>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</si>
  <si>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</si>
  <si>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</si>
  <si>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</si>
  <si>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</si>
  <si>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</si>
  <si>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</si>
  <si>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</si>
  <si>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</si>
  <si>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</si>
  <si>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</si>
  <si>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</si>
  <si>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</si>
  <si>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</si>
  <si>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</si>
  <si>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</si>
  <si>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</si>
  <si>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</si>
  <si>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</si>
  <si>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</si>
  <si>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</si>
  <si>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</si>
  <si>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</si>
  <si>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</si>
  <si>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</si>
  <si>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</si>
  <si>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17</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</si>
  <si>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</si>
  <si>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</si>
  <si>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</si>
  <si>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</si>
  <si>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</si>
  <si>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</si>
  <si>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</si>
  <si>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</si>
  <si>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</si>
  <si>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</si>
  <si>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</si>
  <si>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</si>
  <si>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</si>
  <si>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</si>
  <si>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</si>
  <si>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</si>
  <si>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</si>
  <si>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</si>
  <si>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</si>
  <si>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</si>
  <si>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</si>
  <si>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</si>
  <si>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</si>
  <si>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</si>
  <si>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</si>
  <si>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</si>
  <si>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</si>
  <si>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</si>
  <si>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McDonough County</t>
  </si>
  <si>
    <t>McHenry County</t>
  </si>
  <si>
    <t>McLean County</t>
  </si>
  <si>
    <t>Macoupin County</t>
  </si>
  <si>
    <t>Mason County</t>
  </si>
  <si>
    <t>Massac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</si>
  <si>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</si>
  <si>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</si>
  <si>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</si>
  <si>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</si>
  <si>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</si>
  <si>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</si>
  <si>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</si>
  <si>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</si>
  <si>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</si>
  <si>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</si>
  <si>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</si>
  <si>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</si>
  <si>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</si>
  <si>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</si>
  <si>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</si>
  <si>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</si>
  <si>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</si>
  <si>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</si>
  <si>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</si>
  <si>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203</t>
  </si>
  <si>
    <t>Woodford County</t>
  </si>
  <si>
    <t>18</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</si>
  <si>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</si>
  <si>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</si>
  <si>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</si>
  <si>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</si>
  <si>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</si>
  <si>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</si>
  <si>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</si>
  <si>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</si>
  <si>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</si>
  <si>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</si>
  <si>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</si>
  <si>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</si>
  <si>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</si>
  <si>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</si>
  <si>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</si>
  <si>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</si>
  <si>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</si>
  <si>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</si>
  <si>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</si>
  <si>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</si>
  <si>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</si>
  <si>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</si>
  <si>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</si>
  <si>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</si>
  <si>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</si>
  <si>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</si>
  <si>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</si>
  <si>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St. Joseph County</t>
  </si>
  <si>
    <t>Spencer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</si>
  <si>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</si>
  <si>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</si>
  <si>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</si>
  <si>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</si>
  <si>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</si>
  <si>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</si>
  <si>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</si>
  <si>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</si>
  <si>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</si>
  <si>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</si>
  <si>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</si>
  <si>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</si>
  <si>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19</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</si>
  <si>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</si>
  <si>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</si>
  <si>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</si>
  <si>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</si>
  <si>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</si>
  <si>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</si>
  <si>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</si>
  <si>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</si>
  <si>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</si>
  <si>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</si>
  <si>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</si>
  <si>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</si>
  <si>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</si>
  <si>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</si>
  <si>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</si>
  <si>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</si>
  <si>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</si>
  <si>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</si>
  <si>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</si>
  <si>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</si>
  <si>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</si>
  <si>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</si>
  <si>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</si>
  <si>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</si>
  <si>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</si>
  <si>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</si>
  <si>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</si>
  <si>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</si>
  <si>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</si>
  <si>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</si>
  <si>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</si>
  <si>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</si>
  <si>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</si>
  <si>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</si>
  <si>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</si>
  <si>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</si>
  <si>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</si>
  <si>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</si>
  <si>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</si>
  <si>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</si>
  <si>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</si>
  <si>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</si>
  <si>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</si>
  <si>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</si>
  <si>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</si>
  <si>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20</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</si>
  <si>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</si>
  <si>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</si>
  <si>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</si>
  <si>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</si>
  <si>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</si>
  <si>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</si>
  <si>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</si>
  <si>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</si>
  <si>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</si>
  <si>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</si>
  <si>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</si>
  <si>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</si>
  <si>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</si>
  <si>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</si>
  <si>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</si>
  <si>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</si>
  <si>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</si>
  <si>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</si>
  <si>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</si>
  <si>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</si>
  <si>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</si>
  <si>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</si>
  <si>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</si>
  <si>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</si>
  <si>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</si>
  <si>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</si>
  <si>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</si>
  <si>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</si>
  <si>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</si>
  <si>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</si>
  <si>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</si>
  <si>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</si>
  <si>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</si>
  <si>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</si>
  <si>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</si>
  <si>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</si>
  <si>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</si>
  <si>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</si>
  <si>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</si>
  <si>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</si>
  <si>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</si>
  <si>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</si>
  <si>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</si>
  <si>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</si>
  <si>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</si>
  <si>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</si>
  <si>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</si>
  <si>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</si>
  <si>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</si>
  <si>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</si>
  <si>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</si>
  <si>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</si>
  <si>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</si>
  <si>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</si>
  <si>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</si>
  <si>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</si>
  <si>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</si>
  <si>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</si>
  <si>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</si>
  <si>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</si>
  <si>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</si>
  <si>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</si>
  <si>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</si>
  <si>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</si>
  <si>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</si>
  <si>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</si>
  <si>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</si>
  <si>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21</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</si>
  <si>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</si>
  <si>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</si>
  <si>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</si>
  <si>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</si>
  <si>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</si>
  <si>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</si>
  <si>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</si>
  <si>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</si>
  <si>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</si>
  <si>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</si>
  <si>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</si>
  <si>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</si>
  <si>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</si>
  <si>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</si>
  <si>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</si>
  <si>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</si>
  <si>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</si>
  <si>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</si>
  <si>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</si>
  <si>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</si>
  <si>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</si>
  <si>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</si>
  <si>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</si>
  <si>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</si>
  <si>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</si>
  <si>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</si>
  <si>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</si>
  <si>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</si>
  <si>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</si>
  <si>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</si>
  <si>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</si>
  <si>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</si>
  <si>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</si>
  <si>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</si>
  <si>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</si>
  <si>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McCracken County</t>
  </si>
  <si>
    <t>McCreary County</t>
  </si>
  <si>
    <t>Magoffin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</si>
  <si>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</si>
  <si>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</si>
  <si>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</si>
  <si>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</si>
  <si>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</si>
  <si>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</si>
  <si>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</si>
  <si>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</si>
  <si>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</si>
  <si>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</si>
  <si>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</si>
  <si>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</si>
  <si>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</si>
  <si>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</si>
  <si>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</si>
  <si>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</si>
  <si>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</si>
  <si>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22</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</si>
  <si>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</si>
  <si>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</si>
  <si>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</si>
  <si>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</si>
  <si>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</si>
  <si>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</si>
  <si>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</si>
  <si>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</si>
  <si>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</si>
  <si>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</si>
  <si>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</si>
  <si>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</si>
  <si>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</si>
  <si>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</si>
  <si>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</si>
  <si>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</si>
  <si>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</si>
  <si>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</si>
  <si>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</si>
  <si>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</si>
  <si>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</si>
  <si>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</si>
  <si>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</si>
  <si>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</si>
  <si>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</si>
  <si>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</si>
  <si>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</si>
  <si>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</si>
  <si>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</si>
  <si>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</si>
  <si>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</si>
  <si>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</si>
  <si>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</si>
  <si>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</si>
  <si>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</si>
  <si>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</si>
  <si>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</si>
  <si>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</si>
  <si>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</si>
  <si>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</si>
  <si>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</si>
  <si>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</si>
  <si>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</si>
  <si>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</si>
  <si>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</si>
  <si>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</si>
  <si>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</si>
  <si>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</si>
  <si>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</si>
  <si>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</si>
  <si>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</si>
  <si>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</si>
  <si>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</si>
  <si>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</si>
  <si>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</si>
  <si>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</si>
  <si>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</si>
  <si>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</si>
  <si>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</si>
  <si>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</si>
  <si>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</si>
  <si>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</si>
  <si>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</si>
  <si>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</si>
  <si>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23</t>
  </si>
  <si>
    <t>Androscoggin County</t>
  </si>
  <si>
    <t>Aroostook County</t>
  </si>
  <si>
    <t>Kennebec County</t>
  </si>
  <si>
    <t>Oxford County</t>
  </si>
  <si>
    <t>Penobscot County</t>
  </si>
  <si>
    <t>Piscataquis County</t>
  </si>
  <si>
    <t>Sagadahoc County</t>
  </si>
  <si>
    <t>Somerset County</t>
  </si>
  <si>
    <t>Waldo County</t>
  </si>
  <si>
    <t>York County</t>
  </si>
  <si>
    <t>24</t>
  </si>
  <si>
    <t>Allegany County</t>
  </si>
  <si>
    <t>Anne Arundel County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</si>
  <si>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</si>
  <si>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</si>
  <si>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</si>
  <si>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</si>
  <si>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</si>
  <si>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</si>
  <si>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</si>
  <si>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</si>
  <si>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</si>
  <si>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</si>
  <si>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</si>
  <si>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</si>
  <si>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</si>
  <si>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</si>
  <si>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510</t>
  </si>
  <si>
    <t>25</t>
  </si>
  <si>
    <t>Barnstable County</t>
  </si>
  <si>
    <t>Berkshire County</t>
  </si>
  <si>
    <t>Bristol County</t>
  </si>
  <si>
    <t>Dukes County</t>
  </si>
  <si>
    <t>Essex County</t>
  </si>
  <si>
    <t>Hampden County</t>
  </si>
  <si>
    <t>Hampshire County</t>
  </si>
  <si>
    <t>Nantucket County</t>
  </si>
  <si>
    <t>Norfolk County</t>
  </si>
  <si>
    <t>Suffolk County</t>
  </si>
  <si>
    <t>26</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</si>
  <si>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</si>
  <si>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</si>
  <si>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</si>
  <si>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</si>
  <si>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</si>
  <si>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</si>
  <si>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</si>
  <si>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</si>
  <si>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</si>
  <si>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</si>
  <si>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</si>
  <si>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</si>
  <si>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</si>
  <si>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</si>
  <si>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</si>
  <si>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</si>
  <si>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</si>
  <si>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</si>
  <si>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</si>
  <si>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</si>
  <si>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</si>
  <si>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</si>
  <si>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</si>
  <si>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</si>
  <si>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</si>
  <si>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</si>
  <si>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</si>
  <si>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</si>
  <si>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</si>
  <si>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</si>
  <si>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</si>
  <si>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</si>
  <si>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</si>
  <si>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</si>
  <si>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</si>
  <si>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</si>
  <si>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</si>
  <si>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</si>
  <si>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</si>
  <si>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</si>
  <si>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</si>
  <si>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</si>
  <si>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</si>
  <si>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</si>
  <si>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</si>
  <si>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</si>
  <si>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</si>
  <si>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</si>
  <si>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</si>
  <si>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</si>
  <si>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</si>
  <si>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</si>
  <si>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</si>
  <si>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</si>
  <si>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</si>
  <si>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</si>
  <si>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</si>
  <si>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</si>
  <si>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</si>
  <si>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</si>
  <si>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</si>
  <si>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</si>
  <si>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27</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</si>
  <si>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</si>
  <si>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</si>
  <si>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</si>
  <si>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</si>
  <si>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</si>
  <si>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</si>
  <si>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</si>
  <si>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</si>
  <si>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</si>
  <si>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</si>
  <si>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</si>
  <si>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</si>
  <si>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</si>
  <si>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</si>
  <si>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</si>
  <si>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</si>
  <si>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</si>
  <si>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</si>
  <si>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</si>
  <si>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</si>
  <si>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</si>
  <si>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</si>
  <si>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</si>
  <si>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</si>
  <si>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</si>
  <si>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</si>
  <si>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</si>
  <si>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McLeod County</t>
  </si>
  <si>
    <t>Mahnomen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</si>
  <si>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</si>
  <si>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</si>
  <si>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</si>
  <si>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</si>
  <si>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</si>
  <si>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</si>
  <si>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</si>
  <si>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</si>
  <si>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</si>
  <si>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</si>
  <si>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</si>
  <si>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</si>
  <si>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</si>
  <si>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</si>
  <si>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</si>
  <si>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</si>
  <si>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</si>
  <si>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</si>
  <si>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St. Louis County</t>
  </si>
  <si>
    <t>Sherburne County</t>
  </si>
  <si>
    <t>Sibley County</t>
  </si>
  <si>
    <t>Stearns County</t>
  </si>
  <si>
    <t>Steele County</t>
  </si>
  <si>
    <t>Swift County</t>
  </si>
  <si>
    <t>Traverse County</t>
  </si>
  <si>
    <t>Wabasha County</t>
  </si>
  <si>
    <t>Wadena County</t>
  </si>
  <si>
    <t>Waseca County</t>
  </si>
  <si>
    <t>Watonwan County</t>
  </si>
  <si>
    <t>Wilkin County</t>
  </si>
  <si>
    <t>Winona County</t>
  </si>
  <si>
    <t>Yellow Medicine County</t>
  </si>
  <si>
    <t>28</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</si>
  <si>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</si>
  <si>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</si>
  <si>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</si>
  <si>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</si>
  <si>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</si>
  <si>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</si>
  <si>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</si>
  <si>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</si>
  <si>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</si>
  <si>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</si>
  <si>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</si>
  <si>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</si>
  <si>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</si>
  <si>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</si>
  <si>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</si>
  <si>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</si>
  <si>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</si>
  <si>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</si>
  <si>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</si>
  <si>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</si>
  <si>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</si>
  <si>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</si>
  <si>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</si>
  <si>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</si>
  <si>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</si>
  <si>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</si>
  <si>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</si>
  <si>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</si>
  <si>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</si>
  <si>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</si>
  <si>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</si>
  <si>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</si>
  <si>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</si>
  <si>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</si>
  <si>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</si>
  <si>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</si>
  <si>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29</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</si>
  <si>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</si>
  <si>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</si>
  <si>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</si>
  <si>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</si>
  <si>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</si>
  <si>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</si>
  <si>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</si>
  <si>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</si>
  <si>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</si>
  <si>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</si>
  <si>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</si>
  <si>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</si>
  <si>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</si>
  <si>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</si>
  <si>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</si>
  <si>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</si>
  <si>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</si>
  <si>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McDonald County</t>
  </si>
  <si>
    <t>Maries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</si>
  <si>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</si>
  <si>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</si>
  <si>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</si>
  <si>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</si>
  <si>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</si>
  <si>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</si>
  <si>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</si>
  <si>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</si>
  <si>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</si>
  <si>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</si>
  <si>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</si>
  <si>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</si>
  <si>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St. Charles County</t>
  </si>
  <si>
    <t>186</t>
  </si>
  <si>
    <t>Ste. Genevieve County</t>
  </si>
  <si>
    <t>St. Francois County</t>
  </si>
  <si>
    <t>Scotland County</t>
  </si>
  <si>
    <t>Shannon County</t>
  </si>
  <si>
    <t>Stoddard County</t>
  </si>
  <si>
    <t>Taney County</t>
  </si>
  <si>
    <t>Texas County</t>
  </si>
  <si>
    <t>Vernon County</t>
  </si>
  <si>
    <t>St. Louis city</t>
  </si>
  <si>
    <t>30</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</si>
  <si>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</si>
  <si>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</si>
  <si>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</si>
  <si>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</si>
  <si>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</si>
  <si>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</si>
  <si>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</si>
  <si>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</si>
  <si>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</si>
  <si>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</si>
  <si>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</si>
  <si>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</si>
  <si>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</si>
  <si>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</si>
  <si>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</si>
  <si>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</si>
  <si>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</si>
  <si>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</si>
  <si>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</si>
  <si>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</si>
  <si>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</si>
  <si>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</si>
  <si>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</si>
  <si>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</si>
  <si>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</si>
  <si>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</si>
  <si>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</si>
  <si>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</si>
  <si>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</si>
  <si>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</si>
  <si>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</si>
  <si>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</si>
  <si>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</si>
  <si>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</si>
  <si>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</si>
  <si>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</si>
  <si>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31</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</si>
  <si>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</si>
  <si>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</si>
  <si>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</si>
  <si>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</si>
  <si>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</si>
  <si>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</si>
  <si>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</si>
  <si>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</si>
  <si>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</si>
  <si>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</si>
  <si>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</si>
  <si>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</si>
  <si>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</si>
  <si>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</si>
  <si>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</si>
  <si>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</si>
  <si>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</si>
  <si>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</si>
  <si>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</si>
  <si>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</si>
  <si>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</si>
  <si>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</si>
  <si>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</si>
  <si>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</si>
  <si>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</si>
  <si>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</si>
  <si>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</si>
  <si>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</si>
  <si>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</si>
  <si>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</si>
  <si>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</si>
  <si>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</si>
  <si>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</si>
  <si>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</si>
  <si>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</si>
  <si>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</si>
  <si>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</si>
  <si>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</si>
  <si>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</si>
  <si>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</si>
  <si>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32</t>
  </si>
  <si>
    <t>Churchill County</t>
  </si>
  <si>
    <t>Elko County</t>
  </si>
  <si>
    <t>Esmeralda County</t>
  </si>
  <si>
    <t>Eureka County</t>
  </si>
  <si>
    <t>Lander County</t>
  </si>
  <si>
    <t>Nye County</t>
  </si>
  <si>
    <t>Pershing County</t>
  </si>
  <si>
    <t>Storey County</t>
  </si>
  <si>
    <t>Washoe County</t>
  </si>
  <si>
    <t>White Pine County</t>
  </si>
  <si>
    <t>Carson City</t>
  </si>
  <si>
    <t>33</t>
  </si>
  <si>
    <t>Belknap County</t>
  </si>
  <si>
    <t>Cheshire County</t>
  </si>
  <si>
    <t>Coos County</t>
  </si>
  <si>
    <t>Grafton County</t>
  </si>
  <si>
    <t>Merrimack County</t>
  </si>
  <si>
    <t>Rockingham County</t>
  </si>
  <si>
    <t>Strafford County</t>
  </si>
  <si>
    <t>34</t>
  </si>
  <si>
    <t>Atlantic County</t>
  </si>
  <si>
    <t>Bergen County</t>
  </si>
  <si>
    <t>Burlington County</t>
  </si>
  <si>
    <t>Cape May County</t>
  </si>
  <si>
    <t>Gloucester County</t>
  </si>
  <si>
    <t>Hudson County</t>
  </si>
  <si>
    <t>Hunterdon County</t>
  </si>
  <si>
    <t>Monmouth County</t>
  </si>
  <si>
    <t>Ocean County</t>
  </si>
  <si>
    <t>Passaic County</t>
  </si>
  <si>
    <t>Salem County</t>
  </si>
  <si>
    <t>35</t>
  </si>
  <si>
    <t>Bernalillo County</t>
  </si>
  <si>
    <t>Catron County</t>
  </si>
  <si>
    <t>Chaves County</t>
  </si>
  <si>
    <t>006</t>
  </si>
  <si>
    <t>Cibola County</t>
  </si>
  <si>
    <t>Curry County</t>
  </si>
  <si>
    <t>De Baca County</t>
  </si>
  <si>
    <t>Dona Ana County</t>
  </si>
  <si>
    <t>Eddy County</t>
  </si>
  <si>
    <t>Guadalupe County</t>
  </si>
  <si>
    <t>Harding County</t>
  </si>
  <si>
    <t>Hidalgo County</t>
  </si>
  <si>
    <t>Lea County</t>
  </si>
  <si>
    <t>028</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</si>
  <si>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</si>
  <si>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</si>
  <si>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</si>
  <si>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</si>
  <si>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</si>
  <si>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</si>
  <si>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</si>
  <si>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</si>
  <si>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</si>
  <si>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</si>
  <si>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</si>
  <si>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</si>
  <si>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36</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</si>
  <si>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</si>
  <si>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</si>
  <si>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</si>
  <si>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</si>
  <si>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</si>
  <si>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</si>
  <si>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</si>
  <si>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</si>
  <si>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</si>
  <si>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</si>
  <si>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</si>
  <si>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</si>
  <si>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</si>
  <si>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</si>
  <si>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</si>
  <si>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</si>
  <si>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</si>
  <si>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</si>
  <si>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</si>
  <si>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</si>
  <si>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St. Lawrence County</t>
  </si>
  <si>
    <t>Saratoga County</t>
  </si>
  <si>
    <t>Schenectady County</t>
  </si>
  <si>
    <t>Schoharie County</t>
  </si>
  <si>
    <t>Seneca County</t>
  </si>
  <si>
    <t>Tioga County</t>
  </si>
  <si>
    <t>Tompkins County</t>
  </si>
  <si>
    <t>Ulster County</t>
  </si>
  <si>
    <t>Westchester County</t>
  </si>
  <si>
    <t>Wyoming County</t>
  </si>
  <si>
    <t>Yates County</t>
  </si>
  <si>
    <t>37</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</si>
  <si>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</si>
  <si>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</si>
  <si>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</si>
  <si>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</si>
  <si>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</si>
  <si>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</si>
  <si>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</si>
  <si>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</si>
  <si>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</si>
  <si>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</si>
  <si>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</si>
  <si>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</si>
  <si>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</si>
  <si>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</si>
  <si>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</si>
  <si>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</si>
  <si>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</si>
  <si>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</si>
  <si>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</si>
  <si>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</si>
  <si>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</si>
  <si>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</si>
  <si>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</si>
  <si>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</si>
  <si>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</si>
  <si>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</si>
  <si>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</si>
  <si>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</si>
  <si>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</si>
  <si>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</si>
  <si>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</si>
  <si>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</si>
  <si>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</si>
  <si>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</si>
  <si>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</si>
  <si>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</si>
  <si>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</si>
  <si>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</si>
  <si>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</si>
  <si>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</si>
  <si>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</si>
  <si>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</si>
  <si>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</si>
  <si>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</si>
  <si>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</si>
  <si>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</si>
  <si>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</si>
  <si>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</si>
  <si>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</si>
  <si>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</si>
  <si>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</si>
  <si>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</si>
  <si>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</si>
  <si>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</si>
  <si>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</si>
  <si>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</si>
  <si>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</si>
  <si>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</si>
  <si>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</si>
  <si>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</si>
  <si>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</si>
  <si>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</si>
  <si>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</si>
  <si>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</si>
  <si>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38</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</si>
  <si>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</si>
  <si>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</si>
  <si>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</si>
  <si>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</si>
  <si>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</si>
  <si>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</si>
  <si>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</si>
  <si>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</si>
  <si>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</si>
  <si>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</si>
  <si>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</si>
  <si>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</si>
  <si>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</si>
  <si>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</si>
  <si>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</si>
  <si>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</si>
  <si>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</si>
  <si>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</si>
  <si>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</si>
  <si>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</si>
  <si>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</si>
  <si>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</si>
  <si>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</si>
  <si>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</si>
  <si>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</si>
  <si>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</si>
  <si>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</si>
  <si>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</si>
  <si>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</si>
  <si>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</si>
  <si>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</si>
  <si>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39</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</si>
  <si>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</si>
  <si>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</si>
  <si>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</si>
  <si>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</si>
  <si>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</si>
  <si>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</si>
  <si>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</si>
  <si>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</si>
  <si>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</si>
  <si>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</si>
  <si>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</si>
  <si>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</si>
  <si>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</si>
  <si>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</si>
  <si>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</si>
  <si>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</si>
  <si>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</si>
  <si>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</si>
  <si>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</si>
  <si>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</si>
  <si>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</si>
  <si>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</si>
  <si>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</si>
  <si>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</si>
  <si>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</si>
  <si>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</si>
  <si>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</si>
  <si>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</si>
  <si>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</si>
  <si>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</si>
  <si>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</si>
  <si>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</si>
  <si>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</si>
  <si>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</si>
  <si>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</si>
  <si>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40</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</si>
  <si>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</si>
  <si>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</si>
  <si>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</si>
  <si>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</si>
  <si>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</si>
  <si>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</si>
  <si>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</si>
  <si>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</si>
  <si>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</si>
  <si>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</si>
  <si>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</si>
  <si>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</si>
  <si>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</si>
  <si>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</si>
  <si>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</si>
  <si>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</si>
  <si>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</si>
  <si>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</si>
  <si>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</si>
  <si>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</si>
  <si>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</si>
  <si>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McClain County</t>
  </si>
  <si>
    <t>McCurtain County</t>
  </si>
  <si>
    <t>Major County</t>
  </si>
  <si>
    <t>Mayes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</si>
  <si>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</si>
  <si>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</si>
  <si>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</si>
  <si>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</si>
  <si>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</si>
  <si>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</si>
  <si>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</si>
  <si>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</si>
  <si>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</si>
  <si>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</si>
  <si>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</si>
  <si>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</si>
  <si>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</si>
  <si>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</si>
  <si>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</si>
  <si>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</si>
  <si>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</si>
  <si>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41</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</si>
  <si>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</si>
  <si>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</si>
  <si>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</si>
  <si>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</si>
  <si>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</si>
  <si>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</si>
  <si>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</si>
  <si>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</si>
  <si>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</si>
  <si>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</si>
  <si>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</si>
  <si>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</si>
  <si>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</si>
  <si>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</si>
  <si>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</si>
  <si>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</si>
  <si>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42</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</si>
  <si>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</si>
  <si>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</si>
  <si>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</si>
  <si>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</si>
  <si>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</si>
  <si>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</si>
  <si>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</si>
  <si>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</si>
  <si>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</si>
  <si>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</si>
  <si>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</si>
  <si>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</si>
  <si>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</si>
  <si>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</si>
  <si>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</si>
  <si>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</si>
  <si>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</si>
  <si>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</si>
  <si>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</si>
  <si>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</si>
  <si>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</si>
  <si>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</si>
  <si>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</si>
  <si>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</si>
  <si>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</si>
  <si>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</si>
  <si>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</si>
  <si>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</si>
  <si>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</si>
  <si>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</si>
  <si>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</si>
  <si>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</si>
  <si>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</si>
  <si>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44</t>
  </si>
  <si>
    <t>Newport County</t>
  </si>
  <si>
    <t>Providence County</t>
  </si>
  <si>
    <t>45</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</si>
  <si>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</si>
  <si>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</si>
  <si>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</si>
  <si>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</si>
  <si>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</si>
  <si>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</si>
  <si>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</si>
  <si>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</si>
  <si>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</si>
  <si>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</si>
  <si>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</si>
  <si>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</si>
  <si>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</si>
  <si>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</si>
  <si>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</si>
  <si>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</si>
  <si>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</si>
  <si>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</si>
  <si>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</si>
  <si>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</si>
  <si>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McCormick County</t>
  </si>
  <si>
    <t>Marlboro County</t>
  </si>
  <si>
    <t>Newberry County</t>
  </si>
  <si>
    <t>Orangeburg County</t>
  </si>
  <si>
    <t>Saluda County</t>
  </si>
  <si>
    <t>Spartanburg County</t>
  </si>
  <si>
    <t>Williamsburg County</t>
  </si>
  <si>
    <t>46</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</si>
  <si>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</si>
  <si>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</si>
  <si>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</si>
  <si>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</si>
  <si>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</si>
  <si>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</si>
  <si>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</si>
  <si>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</si>
  <si>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</si>
  <si>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</si>
  <si>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</si>
  <si>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</si>
  <si>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</si>
  <si>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</si>
  <si>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</si>
  <si>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</si>
  <si>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</si>
  <si>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</si>
  <si>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</si>
  <si>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</si>
  <si>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</si>
  <si>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</si>
  <si>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</si>
  <si>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</si>
  <si>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</si>
  <si>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</si>
  <si>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</si>
  <si>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</si>
  <si>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Roberts County</t>
  </si>
  <si>
    <t>Sanborn County</t>
  </si>
  <si>
    <t>Spink County</t>
  </si>
  <si>
    <t>Stanley County</t>
  </si>
  <si>
    <t>Sully County</t>
  </si>
  <si>
    <t>Tripp County</t>
  </si>
  <si>
    <t>Walworth County</t>
  </si>
  <si>
    <t>Yankton County</t>
  </si>
  <si>
    <t>Ziebach County</t>
  </si>
  <si>
    <t>47</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</si>
  <si>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</si>
  <si>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</si>
  <si>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</si>
  <si>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</si>
  <si>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</si>
  <si>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</si>
  <si>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</si>
  <si>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</si>
  <si>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</si>
  <si>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</si>
  <si>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</si>
  <si>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</si>
  <si>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</si>
  <si>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</si>
  <si>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McMinn County</t>
  </si>
  <si>
    <t>McNairy County</t>
  </si>
  <si>
    <t>Maury County</t>
  </si>
  <si>
    <t>Obion County</t>
  </si>
  <si>
    <t>Overton County</t>
  </si>
  <si>
    <t>Pickett County</t>
  </si>
  <si>
    <t>Rhea County</t>
  </si>
  <si>
    <t>Roane County</t>
  </si>
  <si>
    <t>Sequatchie County</t>
  </si>
  <si>
    <t>Trousdale County</t>
  </si>
  <si>
    <t>Unicoi County</t>
  </si>
  <si>
    <t>Weakley County</t>
  </si>
  <si>
    <t>48</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</si>
  <si>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</si>
  <si>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</si>
  <si>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</si>
  <si>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</si>
  <si>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</si>
  <si>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</si>
  <si>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</si>
  <si>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</si>
  <si>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</si>
  <si>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</si>
  <si>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</si>
  <si>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</si>
  <si>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</si>
  <si>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</si>
  <si>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</si>
  <si>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</si>
  <si>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</si>
  <si>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</si>
  <si>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</si>
  <si>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</si>
  <si>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</si>
  <si>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</si>
  <si>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</si>
  <si>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</si>
  <si>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</si>
  <si>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</si>
  <si>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</si>
  <si>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</si>
  <si>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</si>
  <si>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</si>
  <si>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</si>
  <si>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</si>
  <si>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</si>
  <si>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</si>
  <si>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</si>
  <si>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</si>
  <si>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</si>
  <si>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</si>
  <si>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</si>
  <si>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</si>
  <si>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</si>
  <si>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</si>
  <si>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</si>
  <si>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</si>
  <si>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</si>
  <si>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</si>
  <si>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</si>
  <si>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</si>
  <si>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</si>
  <si>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</si>
  <si>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</si>
  <si>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</si>
  <si>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</si>
  <si>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</si>
  <si>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</si>
  <si>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</si>
  <si>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</si>
  <si>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</si>
  <si>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</si>
  <si>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</si>
  <si>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</si>
  <si>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</si>
  <si>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</si>
  <si>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</si>
  <si>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</si>
  <si>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</si>
  <si>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</si>
  <si>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</si>
  <si>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</si>
  <si>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</si>
  <si>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</si>
  <si>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</si>
  <si>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</si>
  <si>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</si>
  <si>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</si>
  <si>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</si>
  <si>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</si>
  <si>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</si>
  <si>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</si>
  <si>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</si>
  <si>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</si>
  <si>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</si>
  <si>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</si>
  <si>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</si>
  <si>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</si>
  <si>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</si>
  <si>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Lamb County</t>
  </si>
  <si>
    <t>Lampasas County</t>
  </si>
  <si>
    <t>La Salle County</t>
  </si>
  <si>
    <t>Lavaca County</t>
  </si>
  <si>
    <t>Lipscomb County</t>
  </si>
  <si>
    <t>Live Oak County</t>
  </si>
  <si>
    <t>Llano County</t>
  </si>
  <si>
    <t>Loving County</t>
  </si>
  <si>
    <t>Lubbock County</t>
  </si>
  <si>
    <t>Lynn County</t>
  </si>
  <si>
    <t>McCulloch County</t>
  </si>
  <si>
    <t>McLennan County</t>
  </si>
  <si>
    <t>McMullen County</t>
  </si>
  <si>
    <t>Matagorda County</t>
  </si>
  <si>
    <t>323</t>
  </si>
  <si>
    <t>Maverick County</t>
  </si>
  <si>
    <t>325</t>
  </si>
  <si>
    <t>327</t>
  </si>
  <si>
    <t>329</t>
  </si>
  <si>
    <t>331</t>
  </si>
  <si>
    <t>Milam County</t>
  </si>
  <si>
    <t>333</t>
  </si>
  <si>
    <t>335</t>
  </si>
  <si>
    <t>337</t>
  </si>
  <si>
    <t>Montague County</t>
  </si>
  <si>
    <t>339</t>
  </si>
  <si>
    <t>341</t>
  </si>
  <si>
    <t>343</t>
  </si>
  <si>
    <t>345</t>
  </si>
  <si>
    <t>Motley County</t>
  </si>
  <si>
    <t>347</t>
  </si>
  <si>
    <t>Nacogdoches County</t>
  </si>
  <si>
    <t>349</t>
  </si>
  <si>
    <t>Navarro County</t>
  </si>
  <si>
    <t>351</t>
  </si>
  <si>
    <t>353</t>
  </si>
  <si>
    <t>Nolan County</t>
  </si>
  <si>
    <t>355</t>
  </si>
  <si>
    <t>Nueces County</t>
  </si>
  <si>
    <t>357</t>
  </si>
  <si>
    <t>Ochiltree County</t>
  </si>
  <si>
    <t>359</t>
  </si>
  <si>
    <t>361</t>
  </si>
  <si>
    <t>363</t>
  </si>
  <si>
    <t>Palo Pinto County</t>
  </si>
  <si>
    <t>365</t>
  </si>
  <si>
    <t>367</t>
  </si>
  <si>
    <t>Parker County</t>
  </si>
  <si>
    <t>369</t>
  </si>
  <si>
    <t>Parmer County</t>
  </si>
  <si>
    <t>371</t>
  </si>
  <si>
    <t>Pecos County</t>
  </si>
  <si>
    <t>373</t>
  </si>
  <si>
    <t>375</t>
  </si>
  <si>
    <t>377</t>
  </si>
  <si>
    <t>Presidio County</t>
  </si>
  <si>
    <t>379</t>
  </si>
  <si>
    <t>Rains County</t>
  </si>
  <si>
    <t>381</t>
  </si>
  <si>
    <t>Randall County</t>
  </si>
  <si>
    <t>383</t>
  </si>
  <si>
    <t>Reagan County</t>
  </si>
  <si>
    <t>385</t>
  </si>
  <si>
    <t>Real County</t>
  </si>
  <si>
    <t>387</t>
  </si>
  <si>
    <t>Red River County</t>
  </si>
  <si>
    <t>389</t>
  </si>
  <si>
    <t>Reeves County</t>
  </si>
  <si>
    <t>391</t>
  </si>
  <si>
    <t>Refugio County</t>
  </si>
  <si>
    <t>393</t>
  </si>
  <si>
    <t>395</t>
  </si>
  <si>
    <t>397</t>
  </si>
  <si>
    <t>Rockwall County</t>
  </si>
  <si>
    <t>399</t>
  </si>
  <si>
    <t>Runnels County</t>
  </si>
  <si>
    <t>401</t>
  </si>
  <si>
    <t>Rusk County</t>
  </si>
  <si>
    <t>403</t>
  </si>
  <si>
    <t>Sabine County</t>
  </si>
  <si>
    <t>405</t>
  </si>
  <si>
    <t>San Augustine County</t>
  </si>
  <si>
    <t>407</t>
  </si>
  <si>
    <t>San Jacinto County</t>
  </si>
  <si>
    <t>409</t>
  </si>
  <si>
    <t>San Patricio County</t>
  </si>
  <si>
    <t>411</t>
  </si>
  <si>
    <t>San Saba County</t>
  </si>
  <si>
    <t>413</t>
  </si>
  <si>
    <t>Schleicher County</t>
  </si>
  <si>
    <t>415</t>
  </si>
  <si>
    <t>Scurry County</t>
  </si>
  <si>
    <t>417</t>
  </si>
  <si>
    <t>Shackelford County</t>
  </si>
  <si>
    <t>419</t>
  </si>
  <si>
    <t>421</t>
  </si>
  <si>
    <t>423</t>
  </si>
  <si>
    <t>425</t>
  </si>
  <si>
    <t>Somervell County</t>
  </si>
  <si>
    <t>427</t>
  </si>
  <si>
    <t>Starr County</t>
  </si>
  <si>
    <t>429</t>
  </si>
  <si>
    <t>431</t>
  </si>
  <si>
    <t>Sterling County</t>
  </si>
  <si>
    <t>433</t>
  </si>
  <si>
    <t>Stonewall County</t>
  </si>
  <si>
    <t>435</t>
  </si>
  <si>
    <t>Sutton County</t>
  </si>
  <si>
    <t>437</t>
  </si>
  <si>
    <t>Swisher County</t>
  </si>
  <si>
    <t>439</t>
  </si>
  <si>
    <t>Tarrant County</t>
  </si>
  <si>
    <t>441</t>
  </si>
  <si>
    <t>443</t>
  </si>
  <si>
    <t>445</t>
  </si>
  <si>
    <t>Terry County</t>
  </si>
  <si>
    <t>447</t>
  </si>
  <si>
    <t>Throckmorton County</t>
  </si>
  <si>
    <t>449</t>
  </si>
  <si>
    <t>Titus County</t>
  </si>
  <si>
    <t>451</t>
  </si>
  <si>
    <t>Tom Green County</t>
  </si>
  <si>
    <t>453</t>
  </si>
  <si>
    <t>Travis County</t>
  </si>
  <si>
    <t>455</t>
  </si>
  <si>
    <t>457</t>
  </si>
  <si>
    <t>Tyler County</t>
  </si>
  <si>
    <t>459</t>
  </si>
  <si>
    <t>Upshur County</t>
  </si>
  <si>
    <t>461</t>
  </si>
  <si>
    <t>Upton County</t>
  </si>
  <si>
    <t>463</t>
  </si>
  <si>
    <t>Uvalde County</t>
  </si>
  <si>
    <t>465</t>
  </si>
  <si>
    <t>Val Verde County</t>
  </si>
  <si>
    <t>467</t>
  </si>
  <si>
    <t>Van Zandt County</t>
  </si>
  <si>
    <t>469</t>
  </si>
  <si>
    <t>Victoria County</t>
  </si>
  <si>
    <t>471</t>
  </si>
  <si>
    <t>473</t>
  </si>
  <si>
    <t>Waller County</t>
  </si>
  <si>
    <t>475</t>
  </si>
  <si>
    <t>477</t>
  </si>
  <si>
    <t>479</t>
  </si>
  <si>
    <t>Webb County</t>
  </si>
  <si>
    <t>481</t>
  </si>
  <si>
    <t>Wharton County</t>
  </si>
  <si>
    <t>483</t>
  </si>
  <si>
    <t>485</t>
  </si>
  <si>
    <t>487</t>
  </si>
  <si>
    <t>Wilbarger County</t>
  </si>
  <si>
    <t>489</t>
  </si>
  <si>
    <t>Willacy County</t>
  </si>
  <si>
    <t>491</t>
  </si>
  <si>
    <t>493</t>
  </si>
  <si>
    <t>495</t>
  </si>
  <si>
    <t>Winkler County</t>
  </si>
  <si>
    <t>497</t>
  </si>
  <si>
    <t>Wise County</t>
  </si>
  <si>
    <t>499</t>
  </si>
  <si>
    <t>501</t>
  </si>
  <si>
    <t>Yoakum County</t>
  </si>
  <si>
    <t>503</t>
  </si>
  <si>
    <t>Young County</t>
  </si>
  <si>
    <t>505</t>
  </si>
  <si>
    <t>Zapata County</t>
  </si>
  <si>
    <t>507</t>
  </si>
  <si>
    <t>Zavala County</t>
  </si>
  <si>
    <t>49</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</si>
  <si>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</si>
  <si>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</si>
  <si>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</si>
  <si>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</si>
  <si>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</si>
  <si>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</si>
  <si>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</si>
  <si>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</si>
  <si>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</si>
  <si>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</si>
  <si>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</si>
  <si>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</si>
  <si>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</si>
  <si>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</si>
  <si>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</si>
  <si>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</si>
  <si>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50</t>
  </si>
  <si>
    <t>Addison County</t>
  </si>
  <si>
    <t>Bennington County</t>
  </si>
  <si>
    <t>Caledonia County</t>
  </si>
  <si>
    <t>Chittenden County</t>
  </si>
  <si>
    <t>Grand Isle County</t>
  </si>
  <si>
    <t>Lamoille County</t>
  </si>
  <si>
    <t>Rutland County</t>
  </si>
  <si>
    <t>Windsor County</t>
  </si>
  <si>
    <t>51</t>
  </si>
  <si>
    <t>Accomack County</t>
  </si>
  <si>
    <t>Albemarle County</t>
  </si>
  <si>
    <t>Amelia County</t>
  </si>
  <si>
    <t>Amherst County</t>
  </si>
  <si>
    <t>Appomattox County</t>
  </si>
  <si>
    <t>Arlington County</t>
  </si>
  <si>
    <t>Augusta County</t>
  </si>
  <si>
    <t>Bland County</t>
  </si>
  <si>
    <t>Botetourt County</t>
  </si>
  <si>
    <t>Buckingham County</t>
  </si>
  <si>
    <t>036</t>
  </si>
  <si>
    <t>Charles City County</t>
  </si>
  <si>
    <t>Culpeper County</t>
  </si>
  <si>
    <t>Dickenson County</t>
  </si>
  <si>
    <t>Dinwiddie County</t>
  </si>
  <si>
    <t>Fairfax County</t>
  </si>
  <si>
    <t>Fauquier County</t>
  </si>
  <si>
    <t>Fluvanna County</t>
  </si>
  <si>
    <t>Goochland County</t>
  </si>
  <si>
    <t>Greensville County</t>
  </si>
  <si>
    <t>Hanover County</t>
  </si>
  <si>
    <t>Henrico County</t>
  </si>
  <si>
    <t>Isle of Wight County</t>
  </si>
  <si>
    <t>James City County</t>
  </si>
  <si>
    <t>King and Queen County</t>
  </si>
  <si>
    <t>King George County</t>
  </si>
  <si>
    <t>King William County</t>
  </si>
  <si>
    <t>Loudoun County</t>
  </si>
  <si>
    <t>Lunenburg County</t>
  </si>
  <si>
    <t>Mathews County</t>
  </si>
  <si>
    <t>New Kent County</t>
  </si>
  <si>
    <t>Nottoway County</t>
  </si>
  <si>
    <t>Patrick County</t>
  </si>
  <si>
    <t>Pittsylvania County</t>
  </si>
  <si>
    <t>Powhatan County</t>
  </si>
  <si>
    <t>Prince Edward County</t>
  </si>
  <si>
    <t>Prince George County</t>
  </si>
  <si>
    <t>Prince William County</t>
  </si>
  <si>
    <t>Rappahannock County</t>
  </si>
  <si>
    <t>Roanoke County</t>
  </si>
  <si>
    <t>Rockbridge County</t>
  </si>
  <si>
    <t>Shenandoah County</t>
  </si>
  <si>
    <t>Smyth County</t>
  </si>
  <si>
    <t>Southampton County</t>
  </si>
  <si>
    <t>Spotsylvania County</t>
  </si>
  <si>
    <t>Wythe County</t>
  </si>
  <si>
    <t>Alexandria city</t>
  </si>
  <si>
    <t>515</t>
  </si>
  <si>
    <t>Bedford city</t>
  </si>
  <si>
    <t>520</t>
  </si>
  <si>
    <t>Bristol city</t>
  </si>
  <si>
    <t>530</t>
  </si>
  <si>
    <t>Buena Vista city</t>
  </si>
  <si>
    <t>540</t>
  </si>
  <si>
    <t>Charlottesville city</t>
  </si>
  <si>
    <t>550</t>
  </si>
  <si>
    <t>Chesapeake city</t>
  </si>
  <si>
    <t>570</t>
  </si>
  <si>
    <t>Colonial Heights city</t>
  </si>
  <si>
    <t>580</t>
  </si>
  <si>
    <t>Covington city</t>
  </si>
  <si>
    <t>590</t>
  </si>
  <si>
    <t>Danville city</t>
  </si>
  <si>
    <t>595</t>
  </si>
  <si>
    <t>Emporia city</t>
  </si>
  <si>
    <t>600</t>
  </si>
  <si>
    <t>Fairfax city</t>
  </si>
  <si>
    <t>610</t>
  </si>
  <si>
    <t>Falls Church city</t>
  </si>
  <si>
    <t>620</t>
  </si>
  <si>
    <t>Franklin city</t>
  </si>
  <si>
    <t>630</t>
  </si>
  <si>
    <t>Fredericksburg city</t>
  </si>
  <si>
    <t>640</t>
  </si>
  <si>
    <t>Galax city</t>
  </si>
  <si>
    <t>650</t>
  </si>
  <si>
    <t>Hampton city</t>
  </si>
  <si>
    <t>660</t>
  </si>
  <si>
    <t>Harrisonburg city</t>
  </si>
  <si>
    <t>670</t>
  </si>
  <si>
    <t>Hopewell city</t>
  </si>
  <si>
    <t>678</t>
  </si>
  <si>
    <t>Lexington city</t>
  </si>
  <si>
    <t>680</t>
  </si>
  <si>
    <t>Lynchburg city</t>
  </si>
  <si>
    <t>683</t>
  </si>
  <si>
    <t>Manassas city</t>
  </si>
  <si>
    <t>685</t>
  </si>
  <si>
    <t>Manassas Park city</t>
  </si>
  <si>
    <t>690</t>
  </si>
  <si>
    <t>Martinsville city</t>
  </si>
  <si>
    <t>700</t>
  </si>
  <si>
    <t>Newport News city</t>
  </si>
  <si>
    <t>710</t>
  </si>
  <si>
    <t>Norfolk city</t>
  </si>
  <si>
    <t>720</t>
  </si>
  <si>
    <t>Norton city</t>
  </si>
  <si>
    <t>730</t>
  </si>
  <si>
    <t>Petersburg city</t>
  </si>
  <si>
    <t>735</t>
  </si>
  <si>
    <t>Poquoson city</t>
  </si>
  <si>
    <t>740</t>
  </si>
  <si>
    <t>Portsmouth city</t>
  </si>
  <si>
    <t>750</t>
  </si>
  <si>
    <t>Radford city</t>
  </si>
  <si>
    <t>760</t>
  </si>
  <si>
    <t>Richmond city</t>
  </si>
  <si>
    <t>770</t>
  </si>
  <si>
    <t>Roanoke city</t>
  </si>
  <si>
    <t>775</t>
  </si>
  <si>
    <t>Salem city</t>
  </si>
  <si>
    <t>790</t>
  </si>
  <si>
    <t>Staunton city</t>
  </si>
  <si>
    <t>800</t>
  </si>
  <si>
    <t>Suffolk city</t>
  </si>
  <si>
    <t>810</t>
  </si>
  <si>
    <t>Virginia Beach city</t>
  </si>
  <si>
    <t>820</t>
  </si>
  <si>
    <t>Waynesboro city</t>
  </si>
  <si>
    <t>830</t>
  </si>
  <si>
    <t>Williamsburg city</t>
  </si>
  <si>
    <t>840</t>
  </si>
  <si>
    <t>Winchester city</t>
  </si>
  <si>
    <t>53</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</si>
  <si>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</si>
  <si>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</si>
  <si>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</si>
  <si>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</si>
  <si>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</si>
  <si>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</si>
  <si>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</si>
  <si>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</si>
  <si>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</si>
  <si>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</si>
  <si>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</si>
  <si>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</si>
  <si>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</si>
  <si>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</si>
  <si>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</si>
  <si>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</si>
  <si>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</si>
  <si>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</si>
  <si>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</si>
  <si>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</si>
  <si>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</si>
  <si>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</si>
  <si>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54</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</si>
  <si>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</si>
  <si>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</si>
  <si>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</si>
  <si>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</si>
  <si>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</si>
  <si>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</si>
  <si>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</si>
  <si>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</si>
  <si>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</si>
  <si>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</si>
  <si>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</si>
  <si>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</si>
  <si>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</si>
  <si>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</si>
  <si>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</si>
  <si>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</si>
  <si>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</si>
  <si>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55</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</si>
  <si>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</si>
  <si>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</si>
  <si>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</si>
  <si>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</si>
  <si>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</si>
  <si>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</si>
  <si>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</si>
  <si>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</si>
  <si>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</si>
  <si>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</si>
  <si>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</si>
  <si>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</si>
  <si>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</si>
  <si>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</si>
  <si>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</si>
  <si>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</si>
  <si>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</si>
  <si>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078</t>
  </si>
  <si>
    <t>Milwaukee County</t>
  </si>
  <si>
    <t>Oconto County</t>
  </si>
  <si>
    <t>Outagamie County</t>
  </si>
  <si>
    <t>Ozaukee County</t>
  </si>
  <si>
    <t>Pepin County</t>
  </si>
  <si>
    <t>Price County</t>
  </si>
  <si>
    <t>Racine County</t>
  </si>
  <si>
    <t>St. Croix County</t>
  </si>
  <si>
    <t>Sauk County</t>
  </si>
  <si>
    <t>Sawyer County</t>
  </si>
  <si>
    <t>Shawano County</t>
  </si>
  <si>
    <t>Sheboygan County</t>
  </si>
  <si>
    <t>Trempealeau County</t>
  </si>
  <si>
    <t>Vilas County</t>
  </si>
  <si>
    <t>Washburn County</t>
  </si>
  <si>
    <t>Waukesha County</t>
  </si>
  <si>
    <t>Waupaca County</t>
  </si>
  <si>
    <t>Waushara County</t>
  </si>
  <si>
    <t>56</t>
  </si>
  <si>
    <t>Converse County</t>
  </si>
  <si>
    <t>Goshen County</t>
  </si>
  <si>
    <t>Hot Springs County</t>
  </si>
  <si>
    <t>Laramie County</t>
  </si>
  <si>
    <t>Natrona County</t>
  </si>
  <si>
    <t>Niobrara County</t>
  </si>
  <si>
    <t>Sublette County</t>
  </si>
  <si>
    <t>Sweetwater County</t>
  </si>
  <si>
    <t>Uinta County</t>
  </si>
  <si>
    <t>Washakie County</t>
  </si>
  <si>
    <t>Weston County</t>
  </si>
  <si>
    <t>010</t>
  </si>
  <si>
    <t>Eastern District</t>
  </si>
  <si>
    <t>Manu'a District</t>
  </si>
  <si>
    <t>030</t>
  </si>
  <si>
    <t>Rose Island</t>
  </si>
  <si>
    <t>040</t>
  </si>
  <si>
    <t>Swains Island</t>
  </si>
  <si>
    <t>Western District</t>
  </si>
  <si>
    <t>Northern Islands Municipality</t>
  </si>
  <si>
    <t>Rota Municipality</t>
  </si>
  <si>
    <t>Saipan Municipality</t>
  </si>
  <si>
    <t>120</t>
  </si>
  <si>
    <t>Tinian Municipality</t>
  </si>
  <si>
    <t>Adjuntas Municipio</t>
  </si>
  <si>
    <t>Aguada Municipio</t>
  </si>
  <si>
    <t>Aguadilla Municipio</t>
  </si>
  <si>
    <t>Aguas Buenas Municipio</t>
  </si>
  <si>
    <t>Aibonito Municipio</t>
  </si>
  <si>
    <t>Anasco Municipio</t>
  </si>
  <si>
    <t>Arecibo Municipio</t>
  </si>
  <si>
    <t>Arroyo Municipio</t>
  </si>
  <si>
    <t>Barceloneta Municipio</t>
  </si>
  <si>
    <t>Barranquitas Municipio</t>
  </si>
  <si>
    <t>Bayamon Municipio</t>
  </si>
  <si>
    <t>Cabo Rojo Municipio</t>
  </si>
  <si>
    <t>Caguas Municipio</t>
  </si>
  <si>
    <t>Camuy Municipio</t>
  </si>
  <si>
    <t>Canovanas Municipio</t>
  </si>
  <si>
    <t>Carolina Municipio</t>
  </si>
  <si>
    <t>Catano Municipio</t>
  </si>
  <si>
    <t>Cayey Municipio</t>
  </si>
  <si>
    <t>Ceiba Municipio</t>
  </si>
  <si>
    <t>Ciales Municipio</t>
  </si>
  <si>
    <t>Cidra Municipio</t>
  </si>
  <si>
    <t>Coamo Municipio</t>
  </si>
  <si>
    <t>Comerio Municipio</t>
  </si>
  <si>
    <t>Corozal Municipio</t>
  </si>
  <si>
    <t>Culebra Municipio</t>
  </si>
  <si>
    <t>Dorado Municipio</t>
  </si>
  <si>
    <t>Fajardo Municipio</t>
  </si>
  <si>
    <t>054</t>
  </si>
  <si>
    <t>Florida Municipio</t>
  </si>
  <si>
    <t>Guanica Municipio</t>
  </si>
  <si>
    <t>Guayama Municipio</t>
  </si>
  <si>
    <t>Guayanilla Municipio</t>
  </si>
  <si>
    <t>Guaynabo Municipio</t>
  </si>
  <si>
    <t>Gurabo Municipio</t>
  </si>
  <si>
    <t>Hatillo Municipio</t>
  </si>
  <si>
    <t>Hormigueros Municipio</t>
  </si>
  <si>
    <t>Humacao Municipio</t>
  </si>
  <si>
    <t>Isabela Municipio</t>
  </si>
  <si>
    <t>Jayuya Municipio</t>
  </si>
  <si>
    <t>Juana Diaz Municipio</t>
  </si>
  <si>
    <t>Juncos Municipio</t>
  </si>
  <si>
    <t>Lajas Municipio</t>
  </si>
  <si>
    <t>Lares Municipio</t>
  </si>
  <si>
    <t>Las Marias Municipio</t>
  </si>
  <si>
    <t>Las Piedras Municipio</t>
  </si>
  <si>
    <t>Loiza Municipio</t>
  </si>
  <si>
    <t>Luquillo Municipio</t>
  </si>
  <si>
    <t>Manati Municipio</t>
  </si>
  <si>
    <t>Maricao Municipio</t>
  </si>
  <si>
    <t>Maunabo Municipio</t>
  </si>
  <si>
    <t>Mayaguez Municipio</t>
  </si>
  <si>
    <t>Moca Municipio</t>
  </si>
  <si>
    <t>Morovis Municipio</t>
  </si>
  <si>
    <t>Naguabo Municipio</t>
  </si>
  <si>
    <t>Naranjito Municipio</t>
  </si>
  <si>
    <t>Orocovis Municipio</t>
  </si>
  <si>
    <t>Patillas Municipio</t>
  </si>
  <si>
    <t>Penuelas Municipio</t>
  </si>
  <si>
    <t>Ponce Municipio</t>
  </si>
  <si>
    <t>Quebradillas Municipio</t>
  </si>
  <si>
    <t>Rincon Municipio</t>
  </si>
  <si>
    <t>Rio Grande Municipio</t>
  </si>
  <si>
    <t>Sabana Grande Municipio</t>
  </si>
  <si>
    <t>Salinas Municipio</t>
  </si>
  <si>
    <t>San German Municipio</t>
  </si>
  <si>
    <t>San Juan Municipio</t>
  </si>
  <si>
    <t>San Lorenzo Municipio</t>
  </si>
  <si>
    <t>San Sebastian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</si>
  <si>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</si>
  <si>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</si>
  <si>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</si>
  <si>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</si>
  <si>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</si>
  <si>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</si>
  <si>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</si>
  <si>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</si>
  <si>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</si>
  <si>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</si>
  <si>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</si>
  <si>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300</t>
  </si>
  <si>
    <t>Midway Islands</t>
  </si>
  <si>
    <t>St. Croix Island</t>
  </si>
  <si>
    <t>St. John Island</t>
  </si>
  <si>
    <t>St. Thomas Island</t>
  </si>
  <si>
    <t>Core Operation Year Goals (Not Cumulative)</t>
  </si>
  <si>
    <t>https://onedrive.live.com/view.aspx?cid=0F92FC2BD5F29BD2&amp;authKey=!AKrh49qnid-Lm-U&amp;resid=F92FC2BD5F29BD2!201&amp;ithint=.pdf&amp;open=true&amp;app=WordPdf</t>
  </si>
  <si>
    <t>setTagURL</t>
  </si>
  <si>
    <t>tagURL</t>
  </si>
  <si>
    <t>If applicable, enter data for the follow-up periods covered by your grant.</t>
  </si>
  <si>
    <t># of Participants Enrolled</t>
  </si>
  <si>
    <t># Placed into Employment (cannot be greather than # exits)</t>
  </si>
  <si>
    <t>Average Hourly Wage at Placement</t>
  </si>
  <si>
    <t># Exited</t>
  </si>
  <si>
    <t># Placed in Transitional or Permanent Housing</t>
  </si>
  <si>
    <t>Lock Status:</t>
  </si>
  <si>
    <t># of Episodic Homeless - Enrolled</t>
  </si>
  <si>
    <t># of Episodic Homeless - Exited</t>
  </si>
  <si>
    <t># of Episodic Homeless - Placed into Employment</t>
  </si>
  <si>
    <t>Job Search Assistance</t>
  </si>
  <si>
    <t>Placement Rate - Episodic Homeless</t>
  </si>
  <si>
    <t># Earned Wages in the 2nd Full Quarter After Exit</t>
  </si>
  <si>
    <t>Employment Rate in the 2nd Quarter After Exit</t>
  </si>
  <si>
    <t># Earned Wages in the 4th Full Quarter After Exit</t>
  </si>
  <si>
    <t>Employment Rate in the 4th Quarter After Exit</t>
  </si>
  <si>
    <t>Median Quarterly Earnings in the 2nd Qtr. After Exit</t>
  </si>
  <si>
    <t>Readiness Training w/ Transitional Jobs</t>
  </si>
  <si>
    <t>Guard/Reserves</t>
  </si>
  <si>
    <t>CarryOver</t>
  </si>
  <si>
    <t>AjcDate</t>
  </si>
  <si>
    <t>Age</t>
  </si>
  <si>
    <t>EpisHomeless</t>
  </si>
  <si>
    <t>LastMilSvcBranch</t>
  </si>
  <si>
    <t>HighestEdLvl</t>
  </si>
  <si>
    <t>IvtpElig</t>
  </si>
  <si>
    <t>Male</t>
  </si>
  <si>
    <t>Female</t>
  </si>
  <si>
    <t>MilSvcEntryDate</t>
  </si>
  <si>
    <t>MilSvcDischargeDate</t>
  </si>
  <si>
    <t>Name</t>
  </si>
  <si>
    <t>Value</t>
  </si>
  <si>
    <t>Hispanic or Latino</t>
  </si>
  <si>
    <t>Not Hispanic or Latino</t>
  </si>
  <si>
    <t>AtRisk</t>
  </si>
  <si>
    <r>
      <rPr>
        <b/>
        <sz val="11"/>
        <color theme="1"/>
        <rFont val="Calibri"/>
        <family val="2"/>
        <scheme val="minor"/>
      </rPr>
      <t>Participant Name</t>
    </r>
    <r>
      <rPr>
        <sz val="11"/>
        <color theme="1"/>
        <rFont val="Calibri"/>
        <family val="2"/>
        <scheme val="minor"/>
      </rPr>
      <t xml:space="preserve"> 
(</t>
    </r>
    <r>
      <rPr>
        <i/>
        <sz val="11"/>
        <color theme="1"/>
        <rFont val="Calibri"/>
        <family val="2"/>
        <scheme val="minor"/>
      </rPr>
      <t>Do not use Actual Full Names</t>
    </r>
    <r>
      <rPr>
        <sz val="11"/>
        <color theme="1"/>
        <rFont val="Calibri"/>
        <family val="2"/>
        <scheme val="minor"/>
      </rPr>
      <t>)</t>
    </r>
    <r>
      <rPr>
        <b/>
        <sz val="11"/>
        <color theme="1"/>
        <rFont val="Calibri"/>
        <family val="2"/>
        <scheme val="minor"/>
      </rPr>
      <t xml:space="preserve">  </t>
    </r>
  </si>
  <si>
    <r>
      <t xml:space="preserve">Participant ID 
</t>
    </r>
    <r>
      <rPr>
        <i/>
        <sz val="11"/>
        <color theme="1"/>
        <rFont val="Calibri"/>
        <family val="2"/>
        <scheme val="minor"/>
      </rPr>
      <t>(DO NOT USE SSN)</t>
    </r>
  </si>
  <si>
    <t>SvcStartDate</t>
  </si>
  <si>
    <t>SvcEndDate</t>
  </si>
  <si>
    <t>Attained secondary school diploma</t>
  </si>
  <si>
    <t>Attained a secondary school equivalency</t>
  </si>
  <si>
    <t>The participant with a disability receives a certificate of attendance/completion as a result of successfully completing an Individualized Education Program (IEP)</t>
  </si>
  <si>
    <t>Completed one of more years of postsecondary education</t>
  </si>
  <si>
    <t>Attained a postsecondary technical or vocational certificate (non-degree)</t>
  </si>
  <si>
    <t>Attained an Associate's degree</t>
  </si>
  <si>
    <t>Attained a Bachelor's degree</t>
  </si>
  <si>
    <t>Attained a degree beyond a Bachelor's degree</t>
  </si>
  <si>
    <t>No Educational Level Completed</t>
  </si>
  <si>
    <t>ValidationDisplay</t>
  </si>
  <si>
    <t>OjtType</t>
  </si>
  <si>
    <t>HrlyWg3Qae</t>
  </si>
  <si>
    <t>HrlyWg4Qae</t>
  </si>
  <si>
    <t>ExitQtr</t>
  </si>
  <si>
    <t>ParticipantID</t>
  </si>
  <si>
    <t>ParticipantName</t>
  </si>
  <si>
    <t>HrlyWgPlmt</t>
  </si>
  <si>
    <t>AmIndOrAkNtv</t>
  </si>
  <si>
    <t>BlkOrAfAmer</t>
  </si>
  <si>
    <t>NtvHawOrPacIsl</t>
  </si>
  <si>
    <t>Multiracial</t>
  </si>
  <si>
    <t>HlessWfam</t>
  </si>
  <si>
    <t>SpcDisabled</t>
  </si>
  <si>
    <t>DtLastPlcHous</t>
  </si>
  <si>
    <t>DtLastTrain</t>
  </si>
  <si>
    <t>DtLastOjt</t>
  </si>
  <si>
    <t>DtLastCareerTechTrn</t>
  </si>
  <si>
    <t>DtLastEntrepTrn</t>
  </si>
  <si>
    <t>DtLastOtherTrn</t>
  </si>
  <si>
    <t>DtLastCustomTrn</t>
  </si>
  <si>
    <t>EarnWg2Qae</t>
  </si>
  <si>
    <t>HoursPerWk2Qae</t>
  </si>
  <si>
    <t>HrlyWg2Qae</t>
  </si>
  <si>
    <t>Earnings2Qae</t>
  </si>
  <si>
    <t>EarnWg3Qae</t>
  </si>
  <si>
    <t>HoursPerWk3Qae</t>
  </si>
  <si>
    <t>Earnings3Qae</t>
  </si>
  <si>
    <t>EmplAll3Qae</t>
  </si>
  <si>
    <t>Earnings2and3Qae</t>
  </si>
  <si>
    <t>EarnWg4Qae</t>
  </si>
  <si>
    <t>HoursPerWk4Qae</t>
  </si>
  <si>
    <t>EarnWg1Qae</t>
  </si>
  <si>
    <t>Qtr</t>
  </si>
  <si>
    <t>StartDate</t>
  </si>
  <si>
    <t>EndDate</t>
  </si>
  <si>
    <t>StartDateNoTime</t>
  </si>
  <si>
    <t>EndDateNoTime</t>
  </si>
  <si>
    <t>PY</t>
  </si>
  <si>
    <t>DtFirstTrain</t>
  </si>
  <si>
    <t>Date Last Placed in Transitional or Permanent Housing</t>
  </si>
  <si>
    <t xml:space="preserve">Date Last Provided On-the-Job Training </t>
  </si>
  <si>
    <t>Date First Provided On-the-Job Training</t>
  </si>
  <si>
    <t>DtFirstOjt</t>
  </si>
  <si>
    <t>Date First Provided Career Technical Training</t>
  </si>
  <si>
    <t>DtFirstCareerTechTrn</t>
  </si>
  <si>
    <t>Date Last Provided Career Technical  Training</t>
  </si>
  <si>
    <t>DtFirstEntrepTrn</t>
  </si>
  <si>
    <t>Date Last Provided Entrepreneurial Training</t>
  </si>
  <si>
    <t>Date First Provided Other Training</t>
  </si>
  <si>
    <t>DtFirstOtherTrn</t>
  </si>
  <si>
    <t>Date Last Provided Other Training</t>
  </si>
  <si>
    <t>Date Last Provided Customized Training</t>
  </si>
  <si>
    <t>DtFirstCustomTrn</t>
  </si>
  <si>
    <t>Date First Provided Customized Training</t>
  </si>
  <si>
    <t>Date First Provided Entrepreneurial Training</t>
  </si>
  <si>
    <t>StateID</t>
  </si>
  <si>
    <t>StateAbbr</t>
  </si>
  <si>
    <t>CountyID</t>
  </si>
  <si>
    <t>CountyName</t>
  </si>
  <si>
    <t>StateName</t>
  </si>
  <si>
    <t>Baltimore City</t>
  </si>
  <si>
    <t>000</t>
  </si>
  <si>
    <t>N/A</t>
  </si>
  <si>
    <t>Applicant Name:</t>
  </si>
  <si>
    <t>Name of Project:</t>
  </si>
  <si>
    <t>Geographic Coverage Area(s):</t>
  </si>
  <si>
    <t xml:space="preserve">Career Technical Training </t>
  </si>
  <si>
    <t>Grantee State:</t>
  </si>
  <si>
    <t># of Female Homeless Veteran - Enrolled</t>
  </si>
  <si>
    <t># of Female Homeless Veteran - Exited</t>
  </si>
  <si>
    <t># of Female Homeless Veteran - Placed into Employment</t>
  </si>
  <si>
    <t>Placement Rate - Female Homeless Veteran</t>
  </si>
  <si>
    <t>Grant Begin Date:</t>
  </si>
  <si>
    <t>Grant End Date:</t>
  </si>
  <si>
    <r>
      <t>Public Burden Statement</t>
    </r>
    <r>
      <rPr>
        <sz val="11"/>
        <rFont val="Times New Roman"/>
        <family val="1"/>
      </rPr>
      <t xml:space="preserve"> - According to the Paperwork Reduction Act of 1995, no persons are required to respond to a collection of information unless such collection displays a valid OMB control number.  The valid OMB control number for this information collection is </t>
    </r>
    <r>
      <rPr>
        <sz val="11"/>
        <color rgb="FFFF0000"/>
        <rFont val="Times New Roman"/>
        <family val="1"/>
      </rPr>
      <t>nnnn-nnnn</t>
    </r>
    <r>
      <rPr>
        <sz val="11"/>
        <rFont val="Times New Roman"/>
        <family val="1"/>
      </rPr>
      <t xml:space="preserve">.  The time required to complete this information collection is 1 hour per response, including the time to review instructions, search existing data sources, gather the data needed, and complete and review the information collection.  The obligation to respond is required to obtain or retain a benefit (38 U.S.C. 2021 and 2023). If you have any comments concerning the accuracy of the time estimate(s) or suggestions for improving this form, please write to:  U.S. Department of Labor, Veterans' Employment and Training Service, 200 Constitution Avenue, N.W., Washington D.C. 20210.  </t>
    </r>
  </si>
  <si>
    <t>Homeless Veteran with Family - Enrolled</t>
  </si>
  <si>
    <t>Homeless Veteran with Family - Exited</t>
  </si>
  <si>
    <t>Homeless Veteran with Family - Placed into Employment</t>
  </si>
  <si>
    <t>Placement Rate - Homeless Veteran with Family</t>
  </si>
  <si>
    <t>IVTP Eligible - Enrolled</t>
  </si>
  <si>
    <t>IVTP Eligible - Exited</t>
  </si>
  <si>
    <t>IVTP Eligible - Placed into Employment</t>
  </si>
  <si>
    <t>Placement Rate - IVTP Eligible</t>
  </si>
  <si>
    <t>IVTP</t>
  </si>
  <si>
    <t>Unduplicated Count of Those Trained by Quarter First Received Training</t>
  </si>
  <si>
    <t xml:space="preserve">Total Expenditures </t>
  </si>
  <si>
    <t>Grant Number:</t>
  </si>
  <si>
    <t>Reporting Period:</t>
  </si>
  <si>
    <t>Funding Amount:</t>
  </si>
  <si>
    <t>Option Year:</t>
  </si>
  <si>
    <t>a.</t>
  </si>
  <si>
    <t>b.</t>
  </si>
  <si>
    <t>c.</t>
  </si>
  <si>
    <t>d.</t>
  </si>
  <si>
    <t>e.</t>
  </si>
  <si>
    <t>f.</t>
  </si>
  <si>
    <t>g.</t>
  </si>
  <si>
    <t>h.</t>
  </si>
  <si>
    <t>i.</t>
  </si>
  <si>
    <t>j.</t>
  </si>
  <si>
    <t>k.</t>
  </si>
  <si>
    <t>l.</t>
  </si>
  <si>
    <t>m.</t>
  </si>
  <si>
    <t>n.</t>
  </si>
  <si>
    <t>o.</t>
  </si>
  <si>
    <t>p.</t>
  </si>
  <si>
    <t>q.</t>
  </si>
  <si>
    <t>r.</t>
  </si>
  <si>
    <t>s.</t>
  </si>
  <si>
    <t>t.</t>
  </si>
  <si>
    <t>Q1 July 1 - September 30</t>
  </si>
  <si>
    <t>Follow -Up Tracking of Participants Exiting Services</t>
  </si>
  <si>
    <r>
      <t xml:space="preserve">Quarterly Outcomes </t>
    </r>
    <r>
      <rPr>
        <b/>
        <i/>
        <sz val="12"/>
        <color rgb="FFFF0000"/>
        <rFont val="Calibri"/>
        <family val="2"/>
        <scheme val="minor"/>
      </rPr>
      <t>(NON-Cumulative)</t>
    </r>
  </si>
  <si>
    <t>Outcomes by Demographic Group</t>
  </si>
  <si>
    <t>GENDER</t>
  </si>
  <si>
    <t>Totals:</t>
  </si>
  <si>
    <t>ETHINICITY</t>
  </si>
  <si>
    <t>American Indian or Alaska Native</t>
  </si>
  <si>
    <t>Black or African American</t>
  </si>
  <si>
    <t>Native Hawaiian or Other Pacific Islander</t>
  </si>
  <si>
    <t>18-19</t>
  </si>
  <si>
    <t>20-24</t>
  </si>
  <si>
    <t>25-29</t>
  </si>
  <si>
    <t>30-34</t>
  </si>
  <si>
    <t>35-44</t>
  </si>
  <si>
    <t>45-54</t>
  </si>
  <si>
    <t>55-64</t>
  </si>
  <si>
    <t>65+</t>
  </si>
  <si>
    <t>LAST MILITARY SERVICE</t>
  </si>
  <si>
    <t>0-3 Years Ago</t>
  </si>
  <si>
    <t>4-7 Years Ago</t>
  </si>
  <si>
    <t>8-11 Years Ago</t>
  </si>
  <si>
    <t>12-15 Years Ago</t>
  </si>
  <si>
    <t>16-19 Years Ago</t>
  </si>
  <si>
    <t>20+ Years Ago</t>
  </si>
  <si>
    <t>OTHER SUBGROUPS</t>
  </si>
  <si>
    <t>Homeless with Family</t>
  </si>
  <si>
    <t>Homeless Female</t>
  </si>
  <si>
    <t>Special Disabled</t>
  </si>
  <si>
    <t>Operation Iraqi Freedom</t>
  </si>
  <si>
    <t>Operation Enduring Freedom</t>
  </si>
  <si>
    <t>Enrolled</t>
  </si>
  <si>
    <t>Exited</t>
  </si>
  <si>
    <t>Emp Plc.</t>
  </si>
  <si>
    <t>Avg. Wage</t>
  </si>
  <si>
    <t>Jul-Sep</t>
  </si>
  <si>
    <t>Oct-Dec</t>
  </si>
  <si>
    <t>Jan-Mar</t>
  </si>
  <si>
    <t>Apr-Jun</t>
  </si>
  <si>
    <t>Non-Cumulative Figures for Quarter</t>
  </si>
  <si>
    <t>Cumulative Total for Grant</t>
  </si>
  <si>
    <t>Plc. Rate</t>
  </si>
  <si>
    <t/>
  </si>
  <si>
    <t>Display</t>
  </si>
  <si>
    <t>Q2 October 1 - December 31</t>
  </si>
  <si>
    <t>Q6 October 1 - December 31</t>
  </si>
  <si>
    <t>Q3 January 1 - March 31</t>
  </si>
  <si>
    <t>Q4 April 1 - June 30</t>
  </si>
  <si>
    <t>Q8 April 1 - June 30</t>
  </si>
  <si>
    <t>Q5 July 1 - September 30</t>
  </si>
  <si>
    <t>Q7 January 1 - March 31</t>
  </si>
  <si>
    <r>
      <t xml:space="preserve">Quarter Last Provided Job Search Assistance 
</t>
    </r>
    <r>
      <rPr>
        <b/>
        <sz val="11"/>
        <color rgb="FFFF0000"/>
        <rFont val="Calibri"/>
        <family val="2"/>
        <scheme val="minor"/>
      </rPr>
      <t>(Support Service Type)</t>
    </r>
    <r>
      <rPr>
        <b/>
        <sz val="11"/>
        <color theme="1"/>
        <rFont val="Calibri"/>
        <family val="2"/>
        <scheme val="minor"/>
      </rPr>
      <t xml:space="preserve">
</t>
    </r>
  </si>
  <si>
    <r>
      <t xml:space="preserve">Quarter Last Provided Transportation 
</t>
    </r>
    <r>
      <rPr>
        <b/>
        <sz val="11"/>
        <color rgb="FFFF0000"/>
        <rFont val="Calibri"/>
        <family val="2"/>
        <scheme val="minor"/>
      </rPr>
      <t>(Support Service Type)</t>
    </r>
  </si>
  <si>
    <r>
      <t xml:space="preserve">Quarter Last Provided Child / Dependent Care 
</t>
    </r>
    <r>
      <rPr>
        <b/>
        <sz val="11"/>
        <color rgb="FFFF0000"/>
        <rFont val="Calibri"/>
        <family val="2"/>
        <scheme val="minor"/>
      </rPr>
      <t>(Support Service Type)</t>
    </r>
  </si>
  <si>
    <r>
      <rPr>
        <b/>
        <sz val="11"/>
        <color theme="1" tint="4.9989318521683403E-2"/>
        <rFont val="Calibri"/>
        <family val="2"/>
        <scheme val="minor"/>
      </rPr>
      <t>Quarter</t>
    </r>
    <r>
      <rPr>
        <b/>
        <sz val="11"/>
        <color rgb="FFFF0000"/>
        <rFont val="Calibri"/>
        <family val="2"/>
        <scheme val="minor"/>
      </rPr>
      <t xml:space="preserve"> </t>
    </r>
    <r>
      <rPr>
        <b/>
        <sz val="11"/>
        <color theme="1"/>
        <rFont val="Calibri"/>
        <family val="2"/>
        <scheme val="minor"/>
      </rPr>
      <t xml:space="preserve">Last Provided Accommodations for Persons with Disabilities 
</t>
    </r>
    <r>
      <rPr>
        <b/>
        <sz val="11"/>
        <color rgb="FFFF0000"/>
        <rFont val="Calibri"/>
        <family val="2"/>
        <scheme val="minor"/>
      </rPr>
      <t>(Support Service Type)</t>
    </r>
  </si>
  <si>
    <r>
      <rPr>
        <b/>
        <sz val="11"/>
        <color theme="1" tint="4.9989318521683403E-2"/>
        <rFont val="Calibri"/>
        <family val="2"/>
        <scheme val="minor"/>
      </rPr>
      <t>Quarter</t>
    </r>
    <r>
      <rPr>
        <b/>
        <sz val="11"/>
        <color rgb="FFFF0000"/>
        <rFont val="Calibri"/>
        <family val="2"/>
        <scheme val="minor"/>
      </rPr>
      <t xml:space="preserve"> </t>
    </r>
    <r>
      <rPr>
        <b/>
        <sz val="11"/>
        <color theme="1"/>
        <rFont val="Calibri"/>
        <family val="2"/>
        <scheme val="minor"/>
      </rPr>
      <t xml:space="preserve">Last Provided Health Care Service
</t>
    </r>
    <r>
      <rPr>
        <b/>
        <sz val="11"/>
        <color rgb="FFFF0000"/>
        <rFont val="Calibri"/>
        <family val="2"/>
        <scheme val="minor"/>
      </rPr>
      <t>(Support Service Type)</t>
    </r>
  </si>
  <si>
    <r>
      <t xml:space="preserve">Quarter Last Provided Legal Aid Services 
</t>
    </r>
    <r>
      <rPr>
        <b/>
        <sz val="11"/>
        <color rgb="FFFF0000"/>
        <rFont val="Calibri"/>
        <family val="2"/>
        <scheme val="minor"/>
      </rPr>
      <t>(Support Service Type)</t>
    </r>
  </si>
  <si>
    <r>
      <t xml:space="preserve">Quarter Last Provided Drug &amp; Alcohol Counseling 
</t>
    </r>
    <r>
      <rPr>
        <b/>
        <sz val="11"/>
        <color rgb="FFFF0000"/>
        <rFont val="Calibri"/>
        <family val="2"/>
        <scheme val="minor"/>
      </rPr>
      <t>(Support Service Type)</t>
    </r>
  </si>
  <si>
    <r>
      <t xml:space="preserve">Quarter Last Provided Temporary Shelter 
</t>
    </r>
    <r>
      <rPr>
        <b/>
        <sz val="11"/>
        <color rgb="FFFF0000"/>
        <rFont val="Calibri"/>
        <family val="2"/>
        <scheme val="minor"/>
      </rPr>
      <t>(Support Service Type)</t>
    </r>
  </si>
  <si>
    <r>
      <t xml:space="preserve">Quarter Last Provided Financial Counseling 
</t>
    </r>
    <r>
      <rPr>
        <b/>
        <sz val="11"/>
        <color rgb="FFFF0000"/>
        <rFont val="Calibri"/>
        <family val="2"/>
        <scheme val="minor"/>
      </rPr>
      <t>(Support Service Type)</t>
    </r>
  </si>
  <si>
    <t>FIPS Codes</t>
  </si>
  <si>
    <t>On-the-Job Training (Not An Apprenticeship)</t>
  </si>
  <si>
    <t>On-the-Job Training (Apprenticeship)</t>
  </si>
  <si>
    <t>% of Planned Total Enrollments - Incarcerated</t>
  </si>
  <si>
    <t>% of Planned Total Enrollments - At Risk</t>
  </si>
  <si>
    <t>% of Planned Total Enrollments - Female</t>
  </si>
  <si>
    <t>% of Planned Total Enrollments - Families</t>
  </si>
  <si>
    <r>
      <t>Public Burden Statement</t>
    </r>
    <r>
      <rPr>
        <sz val="12"/>
        <rFont val="Times New Roman"/>
        <family val="1"/>
      </rPr>
      <t xml:space="preserve"> - According to the Paperwork Reduction Act of 1995, no persons are required to respond to a collection of information unless such collection displays a valid OMB control number.  The valid OMB control number for this information collection is </t>
    </r>
    <r>
      <rPr>
        <sz val="12"/>
        <color rgb="FFFF0000"/>
        <rFont val="Times New Roman"/>
        <family val="1"/>
      </rPr>
      <t>nnnn-nnnn</t>
    </r>
    <r>
      <rPr>
        <sz val="12"/>
        <rFont val="Times New Roman"/>
        <family val="1"/>
      </rPr>
      <t xml:space="preserve">.  The time required to complete this information collection is 1 hour per response, including the time to review instructions, search existing data sources, gather the data needed, and complete and review the information collection.  The obligation to respond is required to obtain or retain a benefit (38 U.S.C. 2021 and 2023). If you have any comments concerning the accuracy of the time estimate(s) or suggestions for improving this form, please write to:  U.S. Department of Labor, Veterans' Employment and Training Service, 200 Constitution Avenue, N.W., Washington D.C. 20210.  </t>
    </r>
  </si>
  <si>
    <t># of Participants Co-Enrolled in AJC Services</t>
  </si>
  <si>
    <t>Entrepreneurial Training</t>
  </si>
  <si>
    <t>Customized Training</t>
  </si>
  <si>
    <t>Other Training</t>
  </si>
  <si>
    <t>Transportation</t>
  </si>
  <si>
    <t>Accommodations for Persons w/ Disabilities</t>
  </si>
  <si>
    <t>Work Attire, Tools &amp; Equipment</t>
  </si>
  <si>
    <t>Educational Supplies &amp; Fees</t>
  </si>
  <si>
    <t>Health Care</t>
  </si>
  <si>
    <t>Legal Aid Services</t>
  </si>
  <si>
    <t>Child / Dependent Care</t>
  </si>
  <si>
    <t>Drug &amp; Alcohol Counseling</t>
  </si>
  <si>
    <t>Financial Couseling</t>
  </si>
  <si>
    <t>Temporary Shelter</t>
  </si>
  <si>
    <t>QtrLastJobSrchAsst</t>
  </si>
  <si>
    <t>QtrLastTransitJob</t>
  </si>
  <si>
    <t>QtrLastTransport</t>
  </si>
  <si>
    <t>QtrLastChildCare</t>
  </si>
  <si>
    <t>QtrLastAccomDisab</t>
  </si>
  <si>
    <t>QtrLastWorkAttireTools</t>
  </si>
  <si>
    <t>QtrLastLegAid</t>
  </si>
  <si>
    <t>QtrLastHealthCare</t>
  </si>
  <si>
    <t>QtrLastTempShelt</t>
  </si>
  <si>
    <t>QtrLastFinCouns</t>
  </si>
  <si>
    <t>On-the-Job Training (not an apprenticeship)</t>
  </si>
  <si>
    <t>On-the-Job Training (apprenticeship)</t>
  </si>
  <si>
    <t>Episodic Homeless</t>
  </si>
  <si>
    <t xml:space="preserve">Incarcerated/Rec. Incarcerated </t>
  </si>
  <si>
    <t>At Risk for Homelessness</t>
  </si>
  <si>
    <t>EDUCATION</t>
  </si>
  <si>
    <t>&lt;available&gt;</t>
  </si>
  <si>
    <r>
      <t xml:space="preserve"># of Eligibility Assessments </t>
    </r>
    <r>
      <rPr>
        <sz val="10"/>
        <color theme="1"/>
        <rFont val="Calibri"/>
        <family val="2"/>
        <scheme val="minor"/>
      </rPr>
      <t>(assessments completed during each quarter)</t>
    </r>
  </si>
  <si>
    <r>
      <t xml:space="preserve"># of Participants Enrolled </t>
    </r>
    <r>
      <rPr>
        <sz val="10"/>
        <color theme="1"/>
        <rFont val="Calibri"/>
        <family val="2"/>
        <scheme val="minor"/>
      </rPr>
      <t>(used in CAP determination, Qs 1-3)</t>
    </r>
  </si>
  <si>
    <r>
      <t xml:space="preserve"># Carry-over Participants from Prior PY </t>
    </r>
    <r>
      <rPr>
        <sz val="10"/>
        <color theme="1"/>
        <rFont val="Calibri"/>
        <family val="2"/>
        <scheme val="minor"/>
      </rPr>
      <t>(subset of b)</t>
    </r>
  </si>
  <si>
    <r>
      <t xml:space="preserve">Average Hourly Wage at Placement </t>
    </r>
    <r>
      <rPr>
        <sz val="10"/>
        <color theme="1"/>
        <rFont val="Calibri"/>
        <family val="2"/>
        <scheme val="minor"/>
      </rPr>
      <t>(used in CAP determination, Qs 2-3)</t>
    </r>
  </si>
  <si>
    <r>
      <t xml:space="preserve">Placement Rate </t>
    </r>
    <r>
      <rPr>
        <sz val="10"/>
        <color theme="1"/>
        <rFont val="Calibri"/>
        <family val="2"/>
        <scheme val="minor"/>
      </rPr>
      <t>(used in CAP determination, Qs 2-3)</t>
    </r>
  </si>
  <si>
    <r>
      <t xml:space="preserve">% Participants Trained </t>
    </r>
    <r>
      <rPr>
        <sz val="10"/>
        <color theme="1"/>
        <rFont val="Calibri"/>
        <family val="2"/>
        <scheme val="minor"/>
      </rPr>
      <t>(cumulative)</t>
    </r>
  </si>
  <si>
    <r>
      <t xml:space="preserve"># Placed into Employment </t>
    </r>
    <r>
      <rPr>
        <sz val="12"/>
        <color theme="1"/>
        <rFont val="Calibri"/>
        <family val="2"/>
        <scheme val="minor"/>
      </rPr>
      <t>(cannot be greather than # exits)</t>
    </r>
  </si>
  <si>
    <t>Participant Services</t>
  </si>
  <si>
    <t>height</t>
  </si>
  <si>
    <t>width</t>
  </si>
  <si>
    <t>aspect</t>
  </si>
  <si>
    <t>sqr_pts</t>
  </si>
  <si>
    <t>chars</t>
  </si>
  <si>
    <t>fact13</t>
  </si>
  <si>
    <t>vetsonpgm</t>
  </si>
  <si>
    <t>VETSONPGM</t>
  </si>
  <si>
    <t>Creds</t>
  </si>
  <si>
    <t>topIsActive=&gt;</t>
  </si>
  <si>
    <t xml:space="preserve">                            Instructions: Enter the demographic information on the "VETS-701B Participant Info" tab and the #s will automatically calculate on this tab and the VETS-701 TPR tabs.</t>
  </si>
  <si>
    <r>
      <rPr>
        <b/>
        <sz val="11"/>
        <color theme="1" tint="4.9989318521683403E-2"/>
        <rFont val="Calibri"/>
        <family val="2"/>
        <scheme val="minor"/>
      </rPr>
      <t>Quarter</t>
    </r>
    <r>
      <rPr>
        <b/>
        <sz val="11"/>
        <color rgb="FFFF0000"/>
        <rFont val="Calibri"/>
        <family val="2"/>
        <scheme val="minor"/>
      </rPr>
      <t xml:space="preserve"> </t>
    </r>
    <r>
      <rPr>
        <b/>
        <sz val="11"/>
        <color theme="1"/>
        <rFont val="Calibri"/>
        <family val="2"/>
        <scheme val="minor"/>
      </rPr>
      <t xml:space="preserve">Last Provided Work Attire / Tools / Equipment
</t>
    </r>
    <r>
      <rPr>
        <b/>
        <sz val="11"/>
        <color rgb="FFFF0000"/>
        <rFont val="Calibri"/>
        <family val="2"/>
        <scheme val="minor"/>
      </rPr>
      <t>(Support Service Type)</t>
    </r>
  </si>
  <si>
    <t>Open TAG</t>
  </si>
  <si>
    <t>FIPS Finder</t>
  </si>
  <si>
    <t>Rate (Enrolled):</t>
  </si>
  <si>
    <t>Rate (Exited):</t>
  </si>
  <si>
    <t>Administrative Costs - Indirect</t>
  </si>
  <si>
    <t>Administrative Costs - Direct</t>
  </si>
  <si>
    <t>Administrative Costs - Total</t>
  </si>
  <si>
    <t>EnrollQtr</t>
  </si>
  <si>
    <t>Enrollment Quarter</t>
  </si>
  <si>
    <t>ProgYear</t>
  </si>
  <si>
    <t>OptionYears</t>
  </si>
  <si>
    <t>EmployQtr</t>
  </si>
  <si>
    <t>Quarter Employed</t>
  </si>
  <si>
    <t>ThisProgramYear</t>
  </si>
  <si>
    <t>LastMilSvc</t>
  </si>
  <si>
    <t>Enter Overall&gt;&gt;</t>
  </si>
  <si>
    <t>QtrLastEducFees</t>
  </si>
  <si>
    <r>
      <t xml:space="preserve">RACE </t>
    </r>
    <r>
      <rPr>
        <sz val="11"/>
        <rFont val="Calibri"/>
        <family val="2"/>
        <scheme val="minor"/>
      </rPr>
      <t xml:space="preserve">(NOT AN UNDUPLICATED COUNT </t>
    </r>
    <r>
      <rPr>
        <sz val="8"/>
        <rFont val="Calibri"/>
        <family val="2"/>
        <scheme val="minor"/>
      </rPr>
      <t>as participants may select more than one group for those who are multiracial.)</t>
    </r>
  </si>
  <si>
    <r>
      <t>RACE</t>
    </r>
    <r>
      <rPr>
        <sz val="11"/>
        <rFont val="Calibri"/>
        <family val="2"/>
        <scheme val="minor"/>
      </rPr>
      <t xml:space="preserve"> (UNDUPLICATED COUNT.  </t>
    </r>
    <r>
      <rPr>
        <sz val="8"/>
        <rFont val="Calibri"/>
        <family val="2"/>
        <scheme val="minor"/>
      </rPr>
      <t>Multiracial appears as a separate category.)</t>
    </r>
  </si>
  <si>
    <t xml:space="preserve">Attained secondary school diploma </t>
  </si>
  <si>
    <t xml:space="preserve">Attained a secondary school equivalency </t>
  </si>
  <si>
    <t xml:space="preserve">The participant with a disability receives a certificate of attendance/completion as a result of successfully completing an Individualized Education Program (IEP) </t>
  </si>
  <si>
    <t xml:space="preserve">Completed one of more years of postsecondary education </t>
  </si>
  <si>
    <t xml:space="preserve">Attained a postsecondary technical or vocational certificate (non-degree) </t>
  </si>
  <si>
    <t xml:space="preserve">Attained an Associate's degree </t>
  </si>
  <si>
    <t xml:space="preserve">Attained a Bachelor's degree </t>
  </si>
  <si>
    <t xml:space="preserve">Attained a degree beyond a Bachelor's degree </t>
  </si>
  <si>
    <r>
      <rPr>
        <b/>
        <sz val="11"/>
        <color theme="1" tint="4.9989318521683403E-2"/>
        <rFont val="Calibri"/>
        <family val="2"/>
        <scheme val="minor"/>
      </rPr>
      <t>Quarter</t>
    </r>
    <r>
      <rPr>
        <b/>
        <sz val="11"/>
        <color theme="1"/>
        <rFont val="Calibri"/>
        <family val="2"/>
        <scheme val="minor"/>
      </rPr>
      <t xml:space="preserve"> Last Provided Educational Supplies &amp; Fees
</t>
    </r>
    <r>
      <rPr>
        <b/>
        <sz val="11"/>
        <color rgb="FFFF0000"/>
        <rFont val="Calibri"/>
        <family val="2"/>
        <scheme val="minor"/>
      </rPr>
      <t xml:space="preserve">(Support Service Type)
</t>
    </r>
  </si>
  <si>
    <t>QtrLastDrugAlcCouns</t>
  </si>
  <si>
    <t>v.</t>
  </si>
  <si>
    <t>Other Supportive Services</t>
  </si>
  <si>
    <r>
      <rPr>
        <b/>
        <sz val="20"/>
        <color theme="1"/>
        <rFont val="Calibri"/>
        <family val="2"/>
        <scheme val="minor"/>
      </rPr>
      <t>U.S. DEPARTMENT OF LABOR</t>
    </r>
    <r>
      <rPr>
        <b/>
        <sz val="14"/>
        <color theme="1"/>
        <rFont val="Calibri"/>
        <family val="2"/>
        <scheme val="minor"/>
      </rPr>
      <t xml:space="preserve">
VETERANS' EMPLOYMENT &amp; TRAINING SERVICE</t>
    </r>
    <r>
      <rPr>
        <b/>
        <sz val="12"/>
        <color theme="1"/>
        <rFont val="Calibri"/>
        <family val="2"/>
        <scheme val="minor"/>
      </rPr>
      <t xml:space="preserve">
</t>
    </r>
    <r>
      <rPr>
        <b/>
        <i/>
        <sz val="12"/>
        <color theme="1"/>
        <rFont val="Calibri"/>
        <family val="2"/>
        <scheme val="minor"/>
      </rPr>
      <t>Summary of Proposed Goals by Quarter &amp; Overall for the Project</t>
    </r>
  </si>
  <si>
    <r>
      <rPr>
        <b/>
        <sz val="20"/>
        <color theme="1"/>
        <rFont val="Calibri"/>
        <family val="2"/>
        <scheme val="minor"/>
      </rPr>
      <t>U.S. DEPARTMENT OF LABOR</t>
    </r>
    <r>
      <rPr>
        <b/>
        <sz val="14"/>
        <color theme="1"/>
        <rFont val="Calibri"/>
        <family val="2"/>
        <scheme val="minor"/>
      </rPr>
      <t xml:space="preserve">
VETERANS' EMPLOYMENT &amp; TRAINING SERVICE</t>
    </r>
    <r>
      <rPr>
        <b/>
        <sz val="12"/>
        <color theme="1"/>
        <rFont val="Calibri"/>
        <family val="2"/>
        <scheme val="minor"/>
      </rPr>
      <t xml:space="preserve">
C</t>
    </r>
    <r>
      <rPr>
        <b/>
        <i/>
        <sz val="12"/>
        <color theme="1"/>
        <rFont val="Calibri"/>
        <family val="2"/>
        <scheme val="minor"/>
      </rPr>
      <t>ompetitive Grants Quarterly Technical Performance Report</t>
    </r>
  </si>
  <si>
    <t>ACTUAL MEASURES</t>
  </si>
  <si>
    <t>Q1
JUL-SEP</t>
  </si>
  <si>
    <t>Q2
OCT-DEC</t>
  </si>
  <si>
    <t>Q3
JAN-MAR</t>
  </si>
  <si>
    <t>Q4
APR-JUN</t>
  </si>
  <si>
    <t>Q5
90-DAY F/U</t>
  </si>
  <si>
    <t>Q6
180-DAY F/U</t>
  </si>
  <si>
    <t>Q7
270-DAY F/U</t>
  </si>
  <si>
    <t>Q8
365-DAY F/U</t>
  </si>
  <si>
    <t>TOTAL</t>
  </si>
  <si>
    <t>PLANNED MEASURES</t>
  </si>
  <si>
    <t>JUL-SEP</t>
  </si>
  <si>
    <t>OCT-DEC</t>
  </si>
  <si>
    <t>JAN-MAR</t>
  </si>
  <si>
    <t>APR-JUN</t>
  </si>
  <si>
    <t>90-DAY
FOLLOW-UP</t>
  </si>
  <si>
    <t>180-DAY 
FOLLOW-UP</t>
  </si>
  <si>
    <t>270-DAY
FOLLOW-UP</t>
  </si>
  <si>
    <t>365-DAY
FINAL</t>
  </si>
  <si>
    <t>EPISODIC</t>
  </si>
  <si>
    <t>FEMALE</t>
  </si>
  <si>
    <t>FAMILY</t>
  </si>
  <si>
    <t>1.1 PERFORMANCE - ALL PARTICIPANTS</t>
  </si>
  <si>
    <t>1.2 PERFORMANCE - PARTICIPANT SUBGROUPS</t>
  </si>
  <si>
    <t>2. OVERALL TRAINING &amp; SERVICES</t>
  </si>
  <si>
    <t>3. EXPENDITURES</t>
  </si>
  <si>
    <t>1.3 PERFORMANCE - POST-PROGRAM OUTCOMES</t>
  </si>
  <si>
    <t>2. TRAINING &amp; SERVICES</t>
  </si>
  <si>
    <t>Quarter Last Provided Transitional Job</t>
  </si>
  <si>
    <t>QtrLastJobReadTrn</t>
  </si>
  <si>
    <t>QtrLastOthSupSvc</t>
  </si>
  <si>
    <t>Report Quarter:</t>
  </si>
  <si>
    <t>At-Risk Enrolled %:</t>
  </si>
  <si>
    <t>Enrollments</t>
  </si>
  <si>
    <t>Avg. Hourly Wage</t>
  </si>
  <si>
    <t>Placement Rate - All</t>
  </si>
  <si>
    <t>Q1</t>
  </si>
  <si>
    <t>Q2</t>
  </si>
  <si>
    <t>Q3</t>
  </si>
  <si>
    <t>Q4</t>
  </si>
  <si>
    <t>Q5</t>
  </si>
  <si>
    <t>Q6</t>
  </si>
  <si>
    <t>Q7</t>
  </si>
  <si>
    <t>Q8</t>
  </si>
  <si>
    <t>Cumulative Goals</t>
  </si>
  <si>
    <t>Cumulative Actuals</t>
  </si>
  <si>
    <t>Placed Into Housing</t>
  </si>
  <si>
    <t>Employed</t>
  </si>
  <si>
    <t>Assessments</t>
  </si>
  <si>
    <t>Co-Enrolled AJC</t>
  </si>
  <si>
    <t>Avg Hourly Wage at Plmt</t>
  </si>
  <si>
    <t>Plmt Rate Overall</t>
  </si>
  <si>
    <t>Ern Wages 2Q After Exit</t>
  </si>
  <si>
    <t>Employ Rate 2Q After Exit</t>
  </si>
  <si>
    <t>Median Qtrly Earn 2Q After Exit</t>
  </si>
  <si>
    <t>Ern Wages 4Q After Exit</t>
  </si>
  <si>
    <t xml:space="preserve">Employ Rate 4Q After Exit </t>
  </si>
  <si>
    <t>Avg Hourly Wg at Plmt</t>
  </si>
  <si>
    <t>Placement Rate - Ovr</t>
  </si>
  <si>
    <t>Episodic - Enrolled</t>
  </si>
  <si>
    <t>Episodic - Exited</t>
  </si>
  <si>
    <t>Episodic - Plmt Rate</t>
  </si>
  <si>
    <t>Episodic - Employed</t>
  </si>
  <si>
    <t>Earn Wages 2Qae</t>
  </si>
  <si>
    <t>Emp Rate 2Qae</t>
  </si>
  <si>
    <t>Median Earn 2Qae</t>
  </si>
  <si>
    <t>Earn Wages 4Qae</t>
  </si>
  <si>
    <t>Emp Rate 4Qae</t>
  </si>
  <si>
    <t>Participant Svc Costs</t>
  </si>
  <si>
    <t>Admin Costs - Indir</t>
  </si>
  <si>
    <t>Admin Costs - Tot</t>
  </si>
  <si>
    <t>Admin Costs - Dir</t>
  </si>
  <si>
    <t>Total Expenditures</t>
  </si>
  <si>
    <t xml:space="preserve">Planned </t>
  </si>
  <si>
    <t>Actual</t>
  </si>
  <si>
    <t>Dev</t>
  </si>
  <si>
    <t xml:space="preserve">Q1 Quarterly </t>
  </si>
  <si>
    <t>Q2 Quarterly</t>
  </si>
  <si>
    <t>Q2 Cumulative</t>
  </si>
  <si>
    <t>Planned</t>
  </si>
  <si>
    <t>Q3 Quarterly</t>
  </si>
  <si>
    <t>Q3 Cumulative</t>
  </si>
  <si>
    <t xml:space="preserve">Q4 Quarterly </t>
  </si>
  <si>
    <t>Q4 Cumulative</t>
  </si>
  <si>
    <t>Q5 Quarterly</t>
  </si>
  <si>
    <t>Q5 Cumulative</t>
  </si>
  <si>
    <t>Q6 Quarterly</t>
  </si>
  <si>
    <t>Q6 Cumulative</t>
  </si>
  <si>
    <t>Q7 Quarterly</t>
  </si>
  <si>
    <t>Q7 Cumulative</t>
  </si>
  <si>
    <t xml:space="preserve">Q8 Quarterly </t>
  </si>
  <si>
    <t>Q8 Cumulative</t>
  </si>
  <si>
    <t>Totals</t>
  </si>
  <si>
    <t>Undup Qtr First Trn</t>
  </si>
  <si>
    <t>Career Tech Trn</t>
  </si>
  <si>
    <t>OJT - Not Appren</t>
  </si>
  <si>
    <t>OJT - Appren</t>
  </si>
  <si>
    <t>Job Search Asst</t>
  </si>
  <si>
    <t>IVTP - Enrolled</t>
  </si>
  <si>
    <t>Female - Enrolled</t>
  </si>
  <si>
    <t>Family - Enrolled</t>
  </si>
  <si>
    <t>At-Risk - Enrolled</t>
  </si>
  <si>
    <t>ReadiTrn w Trans Job</t>
  </si>
  <si>
    <t>Readi Trn w Trans Job</t>
  </si>
  <si>
    <t>Undup Qtr First Trained</t>
  </si>
  <si>
    <r>
      <t>Placement Rate Overall (rate = employed/exited</t>
    </r>
    <r>
      <rPr>
        <sz val="12"/>
        <color theme="1"/>
        <rFont val="Calibri"/>
        <family val="2"/>
        <scheme val="minor"/>
      </rPr>
      <t>)</t>
    </r>
  </si>
  <si>
    <t xml:space="preserve">Carry Over Participants from prior PY </t>
  </si>
  <si>
    <t xml:space="preserve"># Placed into Employment </t>
  </si>
  <si>
    <t>Placement Rate Overall (rate = employed/exited)</t>
  </si>
  <si>
    <t>inpAdminCosts_Q1</t>
  </si>
  <si>
    <t>inpAdminCosts_Q2</t>
  </si>
  <si>
    <t>inpAdminCosts_Q3</t>
  </si>
  <si>
    <t>inpAdminCosts_Q4</t>
  </si>
  <si>
    <t>inpAdminCosts_Tot</t>
  </si>
  <si>
    <t>inpAvgHrlyWgPlmt_Q1</t>
  </si>
  <si>
    <t>inpAvgHrlyWgPlmt_Q2</t>
  </si>
  <si>
    <t>inpAvgHrlyWgPlmt_Q3</t>
  </si>
  <si>
    <t>inpAvgHrlyWgPlmt_Q4</t>
  </si>
  <si>
    <t>inpAvgHrlyWgPlmt_Tot</t>
  </si>
  <si>
    <t>inpCarTech</t>
  </si>
  <si>
    <t>inpDirCosts_Q1</t>
  </si>
  <si>
    <t>inpDirCosts_Q2</t>
  </si>
  <si>
    <t>inpDirCosts_Q3</t>
  </si>
  <si>
    <t>inpDirCosts_Q4</t>
  </si>
  <si>
    <t>inpDirCosts_Tot</t>
  </si>
  <si>
    <t>inpEmpRt2Qae_Q3</t>
  </si>
  <si>
    <t>inpEmpRt2Qae_Q4</t>
  </si>
  <si>
    <t>inpEmpRt2Qae_Q5</t>
  </si>
  <si>
    <t>inpEmpRt2Qae_Q6</t>
  </si>
  <si>
    <t>inpEmpRt2Qae_Tot</t>
  </si>
  <si>
    <t>inpEmpRt4Qae_Q5</t>
  </si>
  <si>
    <t>inpEmpRt4Qae_Q6</t>
  </si>
  <si>
    <t>inpEmpRt4Qae_Q7</t>
  </si>
  <si>
    <t>inpEmpRt4Qae_Q8</t>
  </si>
  <si>
    <t>inpEmpRt4Qae_Tot</t>
  </si>
  <si>
    <t>inpEnroll_Q1</t>
  </si>
  <si>
    <t>inpEnroll_Q2</t>
  </si>
  <si>
    <t>inpEnroll_Q3</t>
  </si>
  <si>
    <t>inpEnroll_Q4</t>
  </si>
  <si>
    <t>inpEnroll_Tot</t>
  </si>
  <si>
    <t>inpEpisEnrl_Q1</t>
  </si>
  <si>
    <t>inpEpisEnrl_Q2</t>
  </si>
  <si>
    <t>inpEpisEnrl_Q3</t>
  </si>
  <si>
    <t>inpEpisEnrl_Q4</t>
  </si>
  <si>
    <t>inpEpisEnrl_Tot</t>
  </si>
  <si>
    <t>inpEpisExit_Q1</t>
  </si>
  <si>
    <t>inpEpisExit_Q2</t>
  </si>
  <si>
    <t>inpEpisExit_Q3</t>
  </si>
  <si>
    <t>inpEpisExit_Q4</t>
  </si>
  <si>
    <t>inpEpisExit_Tot</t>
  </si>
  <si>
    <t>inpEpisPlcEmp_Q1</t>
  </si>
  <si>
    <t>inpEpisPlcEmp_Q2</t>
  </si>
  <si>
    <t>inpEpisPlcEmp_Q3</t>
  </si>
  <si>
    <t>inpEpisPlcEmp_Q4</t>
  </si>
  <si>
    <t>inpEpisPlcEmp_Tot</t>
  </si>
  <si>
    <t>inpErnWg2Qae_Q3</t>
  </si>
  <si>
    <t>inpErnWg2Qae_Q4</t>
  </si>
  <si>
    <t>inpErnWg2Qae_Q5</t>
  </si>
  <si>
    <t>inpErnWg2Qae_Q6</t>
  </si>
  <si>
    <t>inpErnWg2Qae_Tot</t>
  </si>
  <si>
    <t>inpErnWg4Qae_Q5</t>
  </si>
  <si>
    <t>inpErnWg4Qae_Q6</t>
  </si>
  <si>
    <t>inpErnWg4Qae_Q7</t>
  </si>
  <si>
    <t>inpErnWg4Qae_Q8</t>
  </si>
  <si>
    <t>inpErnWg4Qae_Tot</t>
  </si>
  <si>
    <t>inpExit_Q1</t>
  </si>
  <si>
    <t>inpExit_Q2</t>
  </si>
  <si>
    <t>inpExit_Q3</t>
  </si>
  <si>
    <t>inpExit_Q4</t>
  </si>
  <si>
    <t>inpExit_Tot</t>
  </si>
  <si>
    <t>inpFipsCovCodes</t>
  </si>
  <si>
    <t>inpGeoCovArea</t>
  </si>
  <si>
    <t>inpGrantBeginDate</t>
  </si>
  <si>
    <t>inpGranteeName</t>
  </si>
  <si>
    <t>inpGrantEndDate</t>
  </si>
  <si>
    <t>inpIndirCosts_Q1</t>
  </si>
  <si>
    <t>inpIndirCosts_Q2</t>
  </si>
  <si>
    <t>inpIndirCosts_Q3</t>
  </si>
  <si>
    <t>inpIndirCosts_Q4</t>
  </si>
  <si>
    <t>inpIndirCosts_Tot</t>
  </si>
  <si>
    <t>inpJobSrchAsst</t>
  </si>
  <si>
    <t>inpLocked</t>
  </si>
  <si>
    <t>inpMedErn2Qae_Q3</t>
  </si>
  <si>
    <t>inpMedErn2Qae_Q4</t>
  </si>
  <si>
    <t>inpMedErn2Qae_Q5</t>
  </si>
  <si>
    <t>inpMedErn2Qae_Q6</t>
  </si>
  <si>
    <t>inpMedErn2Qae_Tot</t>
  </si>
  <si>
    <t>inpOjt_App</t>
  </si>
  <si>
    <t>inpOjt_NotApp</t>
  </si>
  <si>
    <t>inpPartSvcExp_Q1</t>
  </si>
  <si>
    <t>inpPartSvcExp_Q2</t>
  </si>
  <si>
    <t>inpPartSvcExp_Q3</t>
  </si>
  <si>
    <t>inpPartSvcExp_Q4</t>
  </si>
  <si>
    <t>inpPartSvcExp_Tot</t>
  </si>
  <si>
    <t>inpPctPlnEnrl_AtRisk</t>
  </si>
  <si>
    <t>inpPctPlnEnrl_Fem</t>
  </si>
  <si>
    <t>inpPctPlnEnrl_Fmy</t>
  </si>
  <si>
    <t>inpPctPlnEnrl_Ivtp</t>
  </si>
  <si>
    <t>inpPlcEmp_Q1</t>
  </si>
  <si>
    <t>inpPlcEmp_Q2</t>
  </si>
  <si>
    <t>inpPlcEmp_Q3</t>
  </si>
  <si>
    <t>inpPlcEmp_Q4</t>
  </si>
  <si>
    <t>inpPlcEmp_Tot</t>
  </si>
  <si>
    <t>inpPlcHous_Q1</t>
  </si>
  <si>
    <t>inpPlcHous_Q2</t>
  </si>
  <si>
    <t>inpPlcHous_Q3</t>
  </si>
  <si>
    <t>inpPlcHous_Q4</t>
  </si>
  <si>
    <t>inpPlcHous_Tot</t>
  </si>
  <si>
    <t>inpPlmtRateEpis_Q1</t>
  </si>
  <si>
    <t>inpPlmtRateEpis_Q2</t>
  </si>
  <si>
    <t>inpPlmtRateEpis_Q3</t>
  </si>
  <si>
    <t>inpPlmtRateEpis_Q4</t>
  </si>
  <si>
    <t>inpPlmtRateEpis_Tot</t>
  </si>
  <si>
    <t>inpPlmtRateOvr_Q1</t>
  </si>
  <si>
    <t>inpPlmtRateOvr_Q2</t>
  </si>
  <si>
    <t>inpPlmtRateOvr_Q3</t>
  </si>
  <si>
    <t>inpPlmtRateOvr_Q4</t>
  </si>
  <si>
    <t>inpPlmtRateOvr_Tot</t>
  </si>
  <si>
    <t>inpProjectName</t>
  </si>
  <si>
    <t>inpRediTrans</t>
  </si>
  <si>
    <t>inpRequestedAmt</t>
  </si>
  <si>
    <t>inpStateAbbr</t>
  </si>
  <si>
    <t>inpStateName</t>
  </si>
  <si>
    <t>inpTotExp_Q1</t>
  </si>
  <si>
    <t>inpTotExp_Q2</t>
  </si>
  <si>
    <t>inpTotExp_Q3</t>
  </si>
  <si>
    <t>inpTotExp_Q4</t>
  </si>
  <si>
    <t>inpTotExp_Tot</t>
  </si>
  <si>
    <t>inpUndupCntTrn</t>
  </si>
  <si>
    <t>inpAjc_Q1</t>
  </si>
  <si>
    <t>inpAjc_Q2</t>
  </si>
  <si>
    <t>inpAjc_Q3</t>
  </si>
  <si>
    <t>inpAjc_Q4</t>
  </si>
  <si>
    <t>inpAjc_Tot</t>
  </si>
  <si>
    <t>inpAssmt_Q1</t>
  </si>
  <si>
    <t>inpAssmt_Q3</t>
  </si>
  <si>
    <t>inpAssmt_Tot</t>
  </si>
  <si>
    <t>inpCarryOvr_Q1</t>
  </si>
  <si>
    <t>inpCarryOvr_Tot</t>
  </si>
  <si>
    <t>inpFundingAmt</t>
  </si>
  <si>
    <t>inpGrantNum</t>
  </si>
  <si>
    <t>inpOptYear</t>
  </si>
  <si>
    <t>inpPartSvcCosts_Q1</t>
  </si>
  <si>
    <t>inpPartSvcCosts_Q2</t>
  </si>
  <si>
    <t>inpPartSvcCosts_Q3</t>
  </si>
  <si>
    <t>inpPartSvcCosts_Q4</t>
  </si>
  <si>
    <t>inpPartSvcCosts_Tot</t>
  </si>
  <si>
    <t>inpPlmtRate_Enrl</t>
  </si>
  <si>
    <t>inpPlmtRate_Exit</t>
  </si>
  <si>
    <t>inpPlmtRate_Q1</t>
  </si>
  <si>
    <t>inpPlmtRate_Q2</t>
  </si>
  <si>
    <t>inpPlmtRate_Q3</t>
  </si>
  <si>
    <t>inpPlmtRate_Q4</t>
  </si>
  <si>
    <t>inpReportQtr</t>
  </si>
  <si>
    <t>outOptYear</t>
  </si>
  <si>
    <t>outReportQtr</t>
  </si>
  <si>
    <t>ConflictName</t>
  </si>
  <si>
    <t>ConflictAbbr</t>
  </si>
  <si>
    <t>OIF</t>
  </si>
  <si>
    <t>OEF</t>
  </si>
  <si>
    <t>Clear Column Filters</t>
  </si>
  <si>
    <t># of At-Risk - Enrolled (should not exceed 10% of total enrollments)</t>
  </si>
  <si>
    <r>
      <t xml:space="preserve">AGE </t>
    </r>
    <r>
      <rPr>
        <sz val="11"/>
        <rFont val="Calibri"/>
        <family val="2"/>
        <scheme val="minor"/>
      </rPr>
      <t>(when first grant service was received)</t>
    </r>
  </si>
  <si>
    <t>ThisTprVersion</t>
  </si>
  <si>
    <t>20.1.0</t>
  </si>
  <si>
    <t>Training Activities</t>
  </si>
  <si>
    <t xml:space="preserve">Follow-Up </t>
  </si>
  <si>
    <t>Miscellaneous Calculated Columns</t>
  </si>
  <si>
    <t>Services</t>
  </si>
  <si>
    <t>Female - Exited</t>
  </si>
  <si>
    <t>Female - Employed</t>
  </si>
  <si>
    <t>Female - Plmt Rate</t>
  </si>
  <si>
    <t>Family - Exited</t>
  </si>
  <si>
    <t>Family - Plmt Rate</t>
  </si>
  <si>
    <t>Family - Employed</t>
  </si>
  <si>
    <t>IVTP - Exited</t>
  </si>
  <si>
    <t>IVTP - Employed</t>
  </si>
  <si>
    <t>IVTP - Plmt Rate</t>
  </si>
  <si>
    <t>% Part Trained</t>
  </si>
  <si>
    <t>Customized Trn</t>
  </si>
  <si>
    <t>Other Trn</t>
  </si>
  <si>
    <t>Entrep Trn</t>
  </si>
  <si>
    <t>Ed Suppy &amp; Fees</t>
  </si>
  <si>
    <t>Wrk Attr Tools</t>
  </si>
  <si>
    <t>Temp Shelter</t>
  </si>
  <si>
    <t>Child Care</t>
  </si>
  <si>
    <t>Accom Disab</t>
  </si>
  <si>
    <t>Legal Aid Svc</t>
  </si>
  <si>
    <t>Drug Alc Couns</t>
  </si>
  <si>
    <t>Finan Couns</t>
  </si>
  <si>
    <t>Othr Supp Svc</t>
  </si>
  <si>
    <t>Apprenticeship</t>
  </si>
  <si>
    <t>Form View</t>
  </si>
  <si>
    <t>M</t>
  </si>
  <si>
    <t>F</t>
  </si>
  <si>
    <t>Not an Apprenticeship</t>
  </si>
  <si>
    <t>Abbr</t>
  </si>
  <si>
    <r>
      <t xml:space="preserve">Quarter Last Provided Other Support Service 
</t>
    </r>
    <r>
      <rPr>
        <b/>
        <sz val="11"/>
        <color rgb="FFFF0000"/>
        <rFont val="Calibri"/>
        <family val="2"/>
        <scheme val="minor"/>
      </rPr>
      <t xml:space="preserve">(Support Service Type) </t>
    </r>
  </si>
  <si>
    <r>
      <t xml:space="preserve">Quarter Last Provided Job Readiness Training </t>
    </r>
    <r>
      <rPr>
        <b/>
        <sz val="11"/>
        <color rgb="FFFF0000"/>
        <rFont val="Calibri"/>
        <family val="2"/>
        <scheme val="minor"/>
      </rPr>
      <t>(Support Service Type)</t>
    </r>
  </si>
  <si>
    <r>
      <t xml:space="preserve">Quarter Last Provided Employment Adjustment Services 
</t>
    </r>
    <r>
      <rPr>
        <b/>
        <sz val="11"/>
        <color rgb="FFFF0000"/>
        <rFont val="Calibri"/>
        <family val="2"/>
        <scheme val="minor"/>
      </rPr>
      <t>(Support Service Type)</t>
    </r>
  </si>
  <si>
    <t>QtrLastEmpAdjSvc</t>
  </si>
  <si>
    <r>
      <rPr>
        <b/>
        <sz val="11"/>
        <color theme="1"/>
        <rFont val="Calibri"/>
        <family val="2"/>
        <scheme val="minor"/>
      </rPr>
      <t xml:space="preserve">Service Start Date
</t>
    </r>
    <r>
      <rPr>
        <i/>
        <sz val="11"/>
        <color theme="1"/>
        <rFont val="Calibri"/>
        <family val="2"/>
        <scheme val="minor"/>
      </rPr>
      <t>(YYYY/MM/DD)</t>
    </r>
    <r>
      <rPr>
        <sz val="11"/>
        <color theme="1"/>
        <rFont val="Calibri"/>
        <family val="2"/>
        <scheme val="minor"/>
      </rPr>
      <t xml:space="preserve">
</t>
    </r>
  </si>
  <si>
    <r>
      <rPr>
        <b/>
        <sz val="11"/>
        <color theme="1"/>
        <rFont val="Calibri"/>
        <family val="2"/>
        <scheme val="minor"/>
      </rPr>
      <t xml:space="preserve">Service End Date
</t>
    </r>
    <r>
      <rPr>
        <i/>
        <sz val="11"/>
        <color theme="1"/>
        <rFont val="Calibri"/>
        <family val="2"/>
        <scheme val="minor"/>
      </rPr>
      <t>(Leave Blank for Persons to be Carried Forward to a Subsequent Grant)
(YYYY/MM/DD)</t>
    </r>
  </si>
  <si>
    <r>
      <t xml:space="preserve">Placed in Employment
</t>
    </r>
    <r>
      <rPr>
        <i/>
        <sz val="11"/>
        <color theme="1"/>
        <rFont val="Calibri"/>
        <family val="2"/>
        <scheme val="minor"/>
      </rPr>
      <t>(1=Yes, 0=No)</t>
    </r>
  </si>
  <si>
    <r>
      <rPr>
        <b/>
        <sz val="11"/>
        <color theme="1"/>
        <rFont val="Calibri"/>
        <family val="2"/>
        <scheme val="minor"/>
      </rPr>
      <t>Hourly Wage at Placement</t>
    </r>
    <r>
      <rPr>
        <sz val="11"/>
        <color theme="1"/>
        <rFont val="Calibri"/>
        <family val="2"/>
        <scheme val="minor"/>
      </rPr>
      <t xml:space="preserve">
</t>
    </r>
  </si>
  <si>
    <r>
      <t xml:space="preserve">Gender
</t>
    </r>
    <r>
      <rPr>
        <i/>
        <sz val="11"/>
        <color theme="1"/>
        <rFont val="Calibri"/>
        <family val="2"/>
        <scheme val="minor"/>
      </rPr>
      <t>(1=Male, 2=Female)</t>
    </r>
  </si>
  <si>
    <r>
      <t xml:space="preserve">Ethnicity
</t>
    </r>
    <r>
      <rPr>
        <i/>
        <sz val="11"/>
        <color theme="1"/>
        <rFont val="Calibri"/>
        <family val="2"/>
        <scheme val="minor"/>
      </rPr>
      <t>(1=Hispanic or Latino, 0=Not Hispanic or Latino)</t>
    </r>
  </si>
  <si>
    <r>
      <t xml:space="preserve">American Indian or Alaska Native
</t>
    </r>
    <r>
      <rPr>
        <i/>
        <sz val="11"/>
        <color theme="1"/>
        <rFont val="Calibri"/>
        <family val="2"/>
        <scheme val="minor"/>
      </rPr>
      <t>(1=Yes, 0=No)</t>
    </r>
  </si>
  <si>
    <r>
      <t xml:space="preserve">Asian
</t>
    </r>
    <r>
      <rPr>
        <i/>
        <sz val="11"/>
        <color theme="1"/>
        <rFont val="Calibri"/>
        <family val="2"/>
        <scheme val="minor"/>
      </rPr>
      <t>(1=Yes, 0=No)</t>
    </r>
  </si>
  <si>
    <r>
      <t xml:space="preserve">Black or African American
</t>
    </r>
    <r>
      <rPr>
        <i/>
        <sz val="11"/>
        <color theme="1"/>
        <rFont val="Calibri"/>
        <family val="2"/>
        <scheme val="minor"/>
      </rPr>
      <t>(1=Yes, 0=No)</t>
    </r>
  </si>
  <si>
    <r>
      <t xml:space="preserve">Native Hawaiian or Other Pacific Islander
</t>
    </r>
    <r>
      <rPr>
        <i/>
        <sz val="11"/>
        <color theme="1"/>
        <rFont val="Calibri"/>
        <family val="2"/>
        <scheme val="minor"/>
      </rPr>
      <t>(1=Yes, 0=No)</t>
    </r>
  </si>
  <si>
    <r>
      <t xml:space="preserve">White
</t>
    </r>
    <r>
      <rPr>
        <i/>
        <sz val="11"/>
        <color theme="1"/>
        <rFont val="Calibri"/>
        <family val="2"/>
        <scheme val="minor"/>
      </rPr>
      <t>(1=Yes, 0=No)</t>
    </r>
  </si>
  <si>
    <r>
      <t xml:space="preserve">Age 
</t>
    </r>
    <r>
      <rPr>
        <i/>
        <sz val="11"/>
        <color theme="1"/>
        <rFont val="Calibri"/>
        <family val="2"/>
        <scheme val="minor"/>
      </rPr>
      <t>(at First Service)</t>
    </r>
  </si>
  <si>
    <r>
      <t xml:space="preserve">Highest Education Level 
</t>
    </r>
    <r>
      <rPr>
        <i/>
        <sz val="11"/>
        <color theme="1"/>
        <rFont val="Calibri"/>
        <family val="2"/>
        <scheme val="minor"/>
      </rPr>
      <t>(at First Service)</t>
    </r>
  </si>
  <si>
    <r>
      <t xml:space="preserve">At Risk of Homelessness
</t>
    </r>
    <r>
      <rPr>
        <i/>
        <sz val="11"/>
        <color theme="1"/>
        <rFont val="Calibri"/>
        <family val="2"/>
        <scheme val="minor"/>
      </rPr>
      <t>(1=Yes, 0=No)</t>
    </r>
  </si>
  <si>
    <r>
      <t xml:space="preserve">Homeless
</t>
    </r>
    <r>
      <rPr>
        <i/>
        <sz val="11"/>
        <color theme="1"/>
        <rFont val="Calibri"/>
        <family val="2"/>
        <scheme val="minor"/>
      </rPr>
      <t>(1=Yes,  0=No)</t>
    </r>
  </si>
  <si>
    <r>
      <t xml:space="preserve">Episodic Homelessness
</t>
    </r>
    <r>
      <rPr>
        <i/>
        <sz val="11"/>
        <color theme="1"/>
        <rFont val="Calibri"/>
        <family val="2"/>
        <scheme val="minor"/>
      </rPr>
      <t>(1=Yes, 0=No)</t>
    </r>
  </si>
  <si>
    <r>
      <t xml:space="preserve">Homeless With Family
</t>
    </r>
    <r>
      <rPr>
        <i/>
        <sz val="11"/>
        <color theme="1"/>
        <rFont val="Calibri"/>
        <family val="2"/>
        <scheme val="minor"/>
      </rPr>
      <t>(1=Yes, 0=No)</t>
    </r>
  </si>
  <si>
    <r>
      <t xml:space="preserve">IVTP Eligible
</t>
    </r>
    <r>
      <rPr>
        <i/>
        <sz val="11"/>
        <color theme="1"/>
        <rFont val="Calibri"/>
        <family val="2"/>
        <scheme val="minor"/>
      </rPr>
      <t>(1=Yes, 0=No)</t>
    </r>
  </si>
  <si>
    <r>
      <t xml:space="preserve">Disabled
</t>
    </r>
    <r>
      <rPr>
        <i/>
        <sz val="11"/>
        <color theme="1"/>
        <rFont val="Calibri"/>
        <family val="2"/>
        <scheme val="minor"/>
      </rPr>
      <t>(1=Yes, 0=No)</t>
    </r>
  </si>
  <si>
    <r>
      <t xml:space="preserve">Special Disabled
</t>
    </r>
    <r>
      <rPr>
        <i/>
        <sz val="11"/>
        <color theme="1"/>
        <rFont val="Calibri"/>
        <family val="2"/>
        <scheme val="minor"/>
      </rPr>
      <t>(1=Yes, 0=No)</t>
    </r>
  </si>
  <si>
    <r>
      <t xml:space="preserve">On-the-Job Training Type 
</t>
    </r>
    <r>
      <rPr>
        <i/>
        <sz val="11"/>
        <color theme="1"/>
        <rFont val="Calibri"/>
        <family val="2"/>
        <scheme val="minor"/>
      </rPr>
      <t>(1=Apprenticeship; 2=Not an Apprenticeship)</t>
    </r>
  </si>
  <si>
    <r>
      <t xml:space="preserve">Earned Wages in 1st Quarter After Exit
</t>
    </r>
    <r>
      <rPr>
        <i/>
        <sz val="11"/>
        <color theme="1"/>
        <rFont val="Calibri"/>
        <family val="2"/>
        <scheme val="minor"/>
      </rPr>
      <t>(1=Yes, 0=No)</t>
    </r>
  </si>
  <si>
    <r>
      <t xml:space="preserve">Earned Wages in 2nd Quarter After Exit
</t>
    </r>
    <r>
      <rPr>
        <i/>
        <sz val="11"/>
        <color theme="1"/>
        <rFont val="Calibri"/>
        <family val="2"/>
        <scheme val="minor"/>
      </rPr>
      <t>(1=Yes, 0=No)</t>
    </r>
  </si>
  <si>
    <r>
      <t xml:space="preserve">Earned Wages in 3rd Quarter After Exit
</t>
    </r>
    <r>
      <rPr>
        <i/>
        <sz val="11"/>
        <color theme="1"/>
        <rFont val="Calibri"/>
        <family val="2"/>
        <scheme val="minor"/>
      </rPr>
      <t>(1=Yes, 0=No)</t>
    </r>
  </si>
  <si>
    <r>
      <t xml:space="preserve">Earned Wages in 4th Quarter After Exit
</t>
    </r>
    <r>
      <rPr>
        <i/>
        <sz val="11"/>
        <color theme="1"/>
        <rFont val="Calibri"/>
        <family val="2"/>
        <scheme val="minor"/>
      </rPr>
      <t>(1=Yes, 0=No)</t>
    </r>
  </si>
  <si>
    <r>
      <t xml:space="preserve">Carry Over
</t>
    </r>
    <r>
      <rPr>
        <i/>
        <sz val="11"/>
        <color theme="1"/>
        <rFont val="Calibri"/>
        <family val="2"/>
        <scheme val="minor"/>
      </rPr>
      <t>(1=Yes, 0=No)</t>
    </r>
  </si>
  <si>
    <r>
      <t xml:space="preserve">Employed All 3 Quarters After Exit
</t>
    </r>
    <r>
      <rPr>
        <i/>
        <sz val="11"/>
        <color theme="1"/>
        <rFont val="Calibri"/>
        <family val="2"/>
        <scheme val="minor"/>
      </rPr>
      <t>(1=Yes, 0=No)</t>
    </r>
  </si>
  <si>
    <r>
      <t xml:space="preserve">Date Provided Last Training Service
</t>
    </r>
    <r>
      <rPr>
        <i/>
        <sz val="11"/>
        <color theme="1"/>
        <rFont val="Calibri"/>
        <family val="2"/>
        <scheme val="minor"/>
      </rPr>
      <t>(unduplicated count)</t>
    </r>
    <r>
      <rPr>
        <b/>
        <sz val="11"/>
        <color theme="1"/>
        <rFont val="Calibri"/>
        <family val="2"/>
        <scheme val="minor"/>
      </rPr>
      <t xml:space="preserve">
</t>
    </r>
  </si>
  <si>
    <r>
      <t>Date Provided First Training Service</t>
    </r>
    <r>
      <rPr>
        <sz val="11"/>
        <color theme="1"/>
        <rFont val="Calibri"/>
        <family val="2"/>
        <scheme val="minor"/>
      </rPr>
      <t xml:space="preserve">
</t>
    </r>
  </si>
  <si>
    <r>
      <rPr>
        <b/>
        <sz val="11"/>
        <color theme="1"/>
        <rFont val="Calibri"/>
        <family val="2"/>
        <scheme val="minor"/>
      </rPr>
      <t xml:space="preserve">Exit Quarter </t>
    </r>
    <r>
      <rPr>
        <sz val="11"/>
        <color theme="1"/>
        <rFont val="Calibri"/>
        <family val="2"/>
        <scheme val="minor"/>
      </rPr>
      <t xml:space="preserve">
</t>
    </r>
    <r>
      <rPr>
        <i/>
        <sz val="11"/>
        <color theme="1"/>
        <rFont val="Calibri"/>
        <family val="2"/>
        <scheme val="minor"/>
      </rPr>
      <t>(Use filter button to show Exited Participants by Quarter)</t>
    </r>
  </si>
  <si>
    <r>
      <t xml:space="preserve">Last Military Service
</t>
    </r>
    <r>
      <rPr>
        <i/>
        <sz val="11"/>
        <color theme="1"/>
        <rFont val="Calibri"/>
        <family val="2"/>
        <scheme val="minor"/>
      </rPr>
      <t>(# Years Ago)</t>
    </r>
  </si>
  <si>
    <r>
      <t xml:space="preserve">Multiracial
</t>
    </r>
    <r>
      <rPr>
        <i/>
        <sz val="11"/>
        <color theme="1"/>
        <rFont val="Calibri"/>
        <family val="2"/>
        <scheme val="minor"/>
      </rPr>
      <t>(1=Yes, 0=No)</t>
    </r>
  </si>
  <si>
    <t>PlacedInEmp</t>
  </si>
  <si>
    <t>CoEnrAjc</t>
  </si>
  <si>
    <t>CoEnrGpd</t>
  </si>
  <si>
    <t>CoEnrVash</t>
  </si>
  <si>
    <t>CoEnrSsvf</t>
  </si>
  <si>
    <t>CoEnrFema</t>
  </si>
  <si>
    <r>
      <t xml:space="preserve">Co-Enrolled in FEMA
</t>
    </r>
    <r>
      <rPr>
        <i/>
        <sz val="11"/>
        <color theme="1"/>
        <rFont val="Calibri"/>
        <family val="2"/>
        <scheme val="minor"/>
      </rPr>
      <t>(1=Yes, 0=No)</t>
    </r>
  </si>
  <si>
    <r>
      <t xml:space="preserve">Co-Enrolled in VA's Grant and Per Diem (GPD)
</t>
    </r>
    <r>
      <rPr>
        <i/>
        <sz val="11"/>
        <color theme="1"/>
        <rFont val="Calibri"/>
        <family val="2"/>
        <scheme val="minor"/>
      </rPr>
      <t>(1=Yes, 0=No)</t>
    </r>
  </si>
  <si>
    <r>
      <t xml:space="preserve">Co-Enrolled in SSVF-Shallow Subsidy
</t>
    </r>
    <r>
      <rPr>
        <i/>
        <sz val="11"/>
        <color theme="1"/>
        <rFont val="Calibri"/>
        <family val="2"/>
        <scheme val="minor"/>
      </rPr>
      <t>(1=Yes, 0=No)</t>
    </r>
  </si>
  <si>
    <r>
      <t xml:space="preserve">Co-Enrolled in Veterans Affairs Supportive Housing (VASH)
</t>
    </r>
    <r>
      <rPr>
        <i/>
        <sz val="11"/>
        <color theme="1"/>
        <rFont val="Calibri"/>
        <family val="2"/>
        <scheme val="minor"/>
      </rPr>
      <t>(1=Yes, 0=No)</t>
    </r>
  </si>
  <si>
    <r>
      <t xml:space="preserve">Co-Enrolled in Supportive Services for Veteran Families (SSVF)
</t>
    </r>
    <r>
      <rPr>
        <i/>
        <sz val="11"/>
        <color theme="1"/>
        <rFont val="Calibri"/>
        <family val="2"/>
        <scheme val="minor"/>
      </rPr>
      <t>(1=Yes, 0=No)</t>
    </r>
  </si>
  <si>
    <r>
      <rPr>
        <b/>
        <sz val="11"/>
        <color theme="1"/>
        <rFont val="Calibri"/>
        <family val="2"/>
        <scheme val="minor"/>
      </rPr>
      <t xml:space="preserve">Date First Registered in American Job Center (AJC)
</t>
    </r>
    <r>
      <rPr>
        <i/>
        <sz val="11"/>
        <color theme="1"/>
        <rFont val="Calibri"/>
        <family val="2"/>
        <scheme val="minor"/>
      </rPr>
      <t>(YYYY/MM/DD)</t>
    </r>
  </si>
  <si>
    <r>
      <rPr>
        <b/>
        <sz val="11"/>
        <color theme="1"/>
        <rFont val="Calibri"/>
        <family val="2"/>
        <scheme val="minor"/>
      </rPr>
      <t>Co-Enrolled in American Job Center (AJC)</t>
    </r>
    <r>
      <rPr>
        <i/>
        <sz val="11"/>
        <color theme="1"/>
        <rFont val="Calibri"/>
        <family val="2"/>
        <scheme val="minor"/>
      </rPr>
      <t xml:space="preserve">
(1=Yes, 0=No)</t>
    </r>
  </si>
  <si>
    <r>
      <t xml:space="preserve">Co-Enrolled in VA's Homelessness Prevention and Rapid Re-Housing Program (HPRP)
</t>
    </r>
    <r>
      <rPr>
        <i/>
        <sz val="11"/>
        <color theme="1"/>
        <rFont val="Calibri"/>
        <family val="2"/>
        <scheme val="minor"/>
      </rPr>
      <t>(1=Yes, 0=No)</t>
    </r>
  </si>
  <si>
    <t>CoEnrSsvfSs</t>
  </si>
  <si>
    <r>
      <t xml:space="preserve">Co-Enrolled in Native American Housing Assistance &amp; Self-Determination Act (NAHASDA)
</t>
    </r>
    <r>
      <rPr>
        <i/>
        <sz val="11"/>
        <color theme="1"/>
        <rFont val="Calibri"/>
        <family val="2"/>
        <scheme val="minor"/>
      </rPr>
      <t>(1=Yes, 0=No)</t>
    </r>
  </si>
  <si>
    <t>CoEnrNahasda</t>
  </si>
  <si>
    <t>CoEnrHprp</t>
  </si>
  <si>
    <t>Select Year</t>
  </si>
  <si>
    <t>Unlocked</t>
  </si>
  <si>
    <t>LOCK</t>
  </si>
  <si>
    <t>OMB Approval nnnn-nnnn
Expires X/XX/XXXX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</si>
</sst>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43" formatCode="_(* #,##0.00_);_(* \(#,##0.00\);_(* &quot;-&quot;??_);_(@_)"/>
    <numFmt numFmtId="164" formatCode="yyyy/mm/dd"/>
    <numFmt numFmtId="165" formatCode="&quot;$&quot;#,##0.00"/>
    <numFmt numFmtId="166" formatCode="0.0%"/>
    <numFmt numFmtId="167" formatCode="0.0000%"/>
    <numFmt numFmtId="168" formatCode="0.000"/>
    <numFmt numFmtId="169" formatCode="0.0000"/>
    <numFmt numFmtId="170" formatCode="#,##0.000"/>
    <numFmt numFmtId="171" formatCode="#,##0.0000"/>
  </numFmts>
  <fonts count="45" x14ac:knownFonts="1">
    <font>
      <sz val="11"/>
      <color theme="1"/>
      <name val="Calibri"/>
      <family val="2"/>
      <scheme val="minor"/>
    </font>
    <font>
      <b/>
      <sz val="11"/>
      <color theme="1"/>
      <name val="Calibri"/>
      <family val="2"/>
      <scheme val="minor"/>
    </font>
    <font>
      <sz val="11"/>
      <color rgb="FF333333"/>
      <name val="Calibri"/>
      <family val="2"/>
      <scheme val="minor"/>
    </font>
    <font>
      <sz val="9"/>
      <color indexed="81"/>
      <name val="Tahoma"/>
      <family val="2"/>
    </font>
    <font>
      <b/>
      <sz val="9"/>
      <color indexed="81"/>
      <name val="Tahoma"/>
      <family val="2"/>
    </font>
    <font>
      <u/>
      <sz val="11"/>
      <color theme="10"/>
      <name val="Calibri"/>
      <family val="2"/>
      <scheme val="minor"/>
    </font>
    <font>
      <sz val="11"/>
      <color theme="1"/>
      <name val="Calibri"/>
      <family val="2"/>
      <scheme val="minor"/>
    </font>
    <font>
      <b/>
      <sz val="11"/>
      <color theme="0"/>
      <name val="Calibri"/>
      <family val="2"/>
      <scheme val="minor"/>
    </font>
    <font>
      <b/>
      <sz val="11"/>
      <color rgb="FFFF0000"/>
      <name val="Calibri"/>
      <family val="2"/>
      <scheme val="minor"/>
    </font>
    <font>
      <sz val="11"/>
      <color theme="0"/>
      <name val="Calibri"/>
      <family val="2"/>
      <scheme val="minor"/>
    </font>
    <font>
      <i/>
      <sz val="11"/>
      <color theme="1"/>
      <name val="Calibri"/>
      <family val="2"/>
      <scheme val="minor"/>
    </font>
    <font>
      <sz val="14"/>
      <color theme="1"/>
      <name val="Calibri"/>
      <family val="2"/>
      <scheme val="minor"/>
    </font>
    <font>
      <sz val="12"/>
      <color theme="1"/>
      <name val="Calibri"/>
      <family val="2"/>
      <scheme val="minor"/>
    </font>
    <font>
      <b/>
      <sz val="12"/>
      <color theme="1"/>
      <name val="Calibri"/>
      <family val="2"/>
      <scheme val="minor"/>
    </font>
    <font>
      <sz val="13"/>
      <color theme="1"/>
      <name val="Calibri"/>
      <family val="2"/>
      <scheme val="minor"/>
    </font>
    <font>
      <sz val="10"/>
      <color theme="1"/>
      <name val="Calibri"/>
      <family val="2"/>
      <scheme val="minor"/>
    </font>
    <font>
      <b/>
      <sz val="11"/>
      <name val="Times New Roman"/>
      <family val="1"/>
    </font>
    <font>
      <sz val="11"/>
      <name val="Times New Roman"/>
      <family val="1"/>
    </font>
    <font>
      <sz val="11"/>
      <color rgb="FFFF0000"/>
      <name val="Times New Roman"/>
      <family val="1"/>
    </font>
    <font>
      <b/>
      <sz val="13"/>
      <color theme="1"/>
      <name val="Calibri"/>
      <family val="2"/>
      <scheme val="minor"/>
    </font>
    <font>
      <sz val="9"/>
      <color theme="1"/>
      <name val="Calibri"/>
      <family val="2"/>
      <scheme val="minor"/>
    </font>
    <font>
      <b/>
      <i/>
      <sz val="12"/>
      <color rgb="FFFF0000"/>
      <name val="Calibri"/>
      <family val="2"/>
      <scheme val="minor"/>
    </font>
    <font>
      <sz val="24"/>
      <color theme="1"/>
      <name val="Calibri"/>
      <family val="2"/>
      <scheme val="minor"/>
    </font>
    <font>
      <b/>
      <sz val="14"/>
      <color theme="1"/>
      <name val="Times New Roman"/>
      <family val="1"/>
    </font>
    <font>
      <b/>
      <sz val="11"/>
      <color theme="1"/>
      <name val="Times New Roman"/>
      <family val="1"/>
    </font>
    <font>
      <b/>
      <sz val="9"/>
      <color theme="1"/>
      <name val="Times New Roman"/>
      <family val="1"/>
    </font>
    <font>
      <b/>
      <sz val="11"/>
      <color theme="1" tint="4.9989318521683403E-2"/>
      <name val="Calibri"/>
      <family val="2"/>
      <scheme val="minor"/>
    </font>
    <font>
      <b/>
      <sz val="14"/>
      <color theme="1"/>
      <name val="Calibri"/>
      <family val="2"/>
      <scheme val="minor"/>
    </font>
    <font>
      <b/>
      <sz val="12"/>
      <name val="Times New Roman"/>
      <family val="1"/>
    </font>
    <font>
      <sz val="12"/>
      <name val="Times New Roman"/>
      <family val="1"/>
    </font>
    <font>
      <sz val="12"/>
      <color rgb="FFFF0000"/>
      <name val="Times New Roman"/>
      <family val="1"/>
    </font>
    <font>
      <u/>
      <sz val="11"/>
      <color theme="1"/>
      <name val="Calibri"/>
      <family val="2"/>
      <scheme val="minor"/>
    </font>
    <font>
      <sz val="12"/>
      <color indexed="81"/>
      <name val="Tahoma"/>
      <family val="2"/>
    </font>
    <font>
      <sz val="14"/>
      <color rgb="FFFF0000"/>
      <name val="Times New Roman"/>
      <family val="1"/>
    </font>
    <font>
      <b/>
      <sz val="20"/>
      <color theme="1"/>
      <name val="Calibri"/>
      <family val="2"/>
      <scheme val="minor"/>
    </font>
    <font>
      <b/>
      <i/>
      <sz val="12"/>
      <color theme="1"/>
      <name val="Calibri"/>
      <family val="2"/>
      <scheme val="minor"/>
    </font>
    <font>
      <b/>
      <sz val="14"/>
      <color rgb="FFFF0000"/>
      <name val="Calibri"/>
      <family val="2"/>
      <scheme val="minor"/>
    </font>
    <font>
      <b/>
      <sz val="11"/>
      <name val="Calibri"/>
      <family val="2"/>
      <scheme val="minor"/>
    </font>
    <font>
      <sz val="11"/>
      <name val="Calibri"/>
      <family val="2"/>
      <scheme val="minor"/>
    </font>
    <font>
      <sz val="8"/>
      <name val="Calibri"/>
      <family val="2"/>
      <scheme val="minor"/>
    </font>
    <font>
      <b/>
      <sz val="12"/>
      <color theme="0"/>
      <name val="Calibri"/>
      <family val="2"/>
      <scheme val="minor"/>
    </font>
    <font>
      <b/>
      <sz val="14"/>
      <color theme="0"/>
      <name val="Calibri"/>
      <family val="2"/>
      <scheme val="minor"/>
    </font>
    <font>
      <sz val="11"/>
      <color rgb="FF0075BF"/>
      <name val="Calibri"/>
      <family val="2"/>
      <scheme val="minor"/>
    </font>
    <font>
      <b/>
      <sz val="12"/>
      <color indexed="81"/>
      <name val="Tahoma"/>
      <family val="2"/>
    </font>
    <font>
      <i/>
      <sz val="12"/>
      <color indexed="81"/>
      <name val="Tahoma"/>
      <family val="2"/>
    </font>
  </fonts>
  <fills count="16">
    <fill>
      <patternFill patternType="none"/>
    </fill>
    <fill>
      <patternFill patternType="gray125"/>
    </fill>
    <fill>
      <patternFill patternType="solid">
        <fgColor rgb="FFFFFF00"/>
        <bgColor indexed="64"/>
      </patternFill>
    </fill>
    <fill>
      <patternFill patternType="solid">
        <fgColor rgb="FFDDD9C4"/>
        <bgColor indexed="64"/>
      </patternFill>
    </fill>
    <fill>
      <patternFill patternType="solid">
        <fgColor theme="3" tint="0.79998168889431442"/>
        <bgColor indexed="64"/>
      </patternFill>
    </fill>
    <fill>
      <patternFill patternType="solid">
        <fgColor rgb="FFD6DCE4"/>
        <bgColor indexed="64"/>
      </patternFill>
    </fill>
    <fill>
      <patternFill patternType="solid">
        <fgColor rgb="FFDDEBF7"/>
        <bgColor indexed="64"/>
      </patternFill>
    </fill>
    <fill>
      <patternFill patternType="solid">
        <fgColor theme="0"/>
        <bgColor indexed="64"/>
      </patternFill>
    </fill>
    <fill>
      <patternFill patternType="solid">
        <fgColor rgb="FFF0EEE4"/>
        <bgColor indexed="64"/>
      </patternFill>
    </fill>
    <fill>
      <patternFill patternType="solid">
        <fgColor theme="4" tint="0.79998168889431442"/>
        <bgColor indexed="64"/>
      </patternFill>
    </fill>
    <fill>
      <patternFill patternType="solid">
        <fgColor rgb="FFD8E4BC"/>
        <bgColor indexed="64"/>
      </patternFill>
    </fill>
    <fill>
      <patternFill patternType="solid">
        <fgColor theme="5" tint="0.59999389629810485"/>
        <bgColor indexed="64"/>
      </patternFill>
    </fill>
    <fill>
      <patternFill patternType="solid">
        <fgColor rgb="FFF8B16E"/>
        <bgColor indexed="64"/>
      </patternFill>
    </fill>
    <fill>
      <gradientFill degree="90">
        <stop position="0">
          <color theme="0"/>
        </stop>
        <stop position="1">
          <color theme="0" tint="-0.25098422193060094"/>
        </stop>
      </gradientFill>
    </fill>
    <fill>
      <patternFill patternType="solid">
        <fgColor rgb="FF0075BF"/>
        <bgColor indexed="64"/>
      </patternFill>
    </fill>
    <fill>
      <gradientFill degree="90">
        <stop position="0">
          <color rgb="FFFFFFFF"/>
        </stop>
        <stop position="1">
          <color rgb="FFBEBEBE"/>
        </stop>
      </gradientFill>
    </fill>
  </fills>
  <borders count="19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bottom>
      <diagonal/>
    </border>
    <border>
      <left/>
      <right style="thin">
        <color theme="0"/>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top style="thin">
        <color theme="4" tint="0.39997558519241921"/>
      </top>
      <bottom style="thin">
        <color theme="4" tint="0.39997558519241921"/>
      </bottom>
      <diagonal/>
    </border>
    <border>
      <left/>
      <right/>
      <top style="thin">
        <color theme="1"/>
      </top>
      <bottom style="thin">
        <color theme="0"/>
      </bottom>
      <diagonal/>
    </border>
    <border>
      <left style="thin">
        <color theme="1"/>
      </left>
      <right style="thin">
        <color theme="1"/>
      </right>
      <top/>
      <bottom style="thin">
        <color theme="1"/>
      </bottom>
      <diagonal/>
    </border>
    <border>
      <left/>
      <right/>
      <top style="thin">
        <color indexed="64"/>
      </top>
      <bottom style="thin">
        <color theme="0"/>
      </bottom>
      <diagonal/>
    </border>
    <border>
      <left style="thin">
        <color theme="1"/>
      </left>
      <right/>
      <top style="thin">
        <color theme="1"/>
      </top>
      <bottom style="thin">
        <color theme="0"/>
      </bottom>
      <diagonal/>
    </border>
    <border>
      <left/>
      <right style="thin">
        <color theme="0"/>
      </right>
      <top style="thin">
        <color theme="1"/>
      </top>
      <bottom style="thin">
        <color theme="0"/>
      </bottom>
      <diagonal/>
    </border>
    <border>
      <left style="thin">
        <color indexed="64"/>
      </left>
      <right style="thin">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style="thin">
        <color indexed="64"/>
      </left>
      <right/>
      <top style="thin">
        <color theme="1"/>
      </top>
      <bottom style="thin">
        <color theme="1"/>
      </bottom>
      <diagonal/>
    </border>
    <border>
      <left/>
      <right style="thin">
        <color theme="0"/>
      </right>
      <top/>
      <bottom style="thin">
        <color theme="0"/>
      </bottom>
      <diagonal/>
    </border>
    <border>
      <left style="thin">
        <color indexed="64"/>
      </left>
      <right style="thin">
        <color indexed="64"/>
      </right>
      <top style="thin">
        <color indexed="64"/>
      </top>
      <bottom/>
      <diagonal/>
    </border>
    <border>
      <left style="thin">
        <color indexed="64"/>
      </left>
      <right style="thin">
        <color theme="1"/>
      </right>
      <top/>
      <bottom style="thin">
        <color indexed="64"/>
      </bottom>
      <diagonal/>
    </border>
    <border>
      <left style="thin">
        <color theme="1"/>
      </left>
      <right/>
      <top/>
      <bottom/>
      <diagonal/>
    </border>
    <border>
      <left style="medium">
        <color theme="1"/>
      </left>
      <right/>
      <top/>
      <bottom/>
      <diagonal/>
    </border>
    <border>
      <left/>
      <right style="medium">
        <color theme="1"/>
      </right>
      <top/>
      <bottom/>
      <diagonal/>
    </border>
    <border>
      <left/>
      <right style="medium">
        <color theme="1"/>
      </right>
      <top/>
      <bottom style="medium">
        <color theme="1"/>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style="thin">
        <color theme="0"/>
      </top>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bottom style="thin">
        <color theme="0"/>
      </bottom>
      <diagonal/>
    </border>
    <border>
      <left/>
      <right style="thin">
        <color theme="1"/>
      </right>
      <top style="thin">
        <color theme="1"/>
      </top>
      <bottom style="thin">
        <color theme="0"/>
      </bottom>
      <diagonal/>
    </border>
    <border>
      <left/>
      <right style="thin">
        <color theme="1"/>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1"/>
      </bottom>
      <diagonal/>
    </border>
    <border>
      <left/>
      <right/>
      <top style="thin">
        <color theme="0"/>
      </top>
      <bottom style="thin">
        <color theme="1"/>
      </bottom>
      <diagonal/>
    </border>
    <border>
      <left/>
      <right style="thin">
        <color theme="0"/>
      </right>
      <top style="thin">
        <color theme="0"/>
      </top>
      <bottom style="thin">
        <color theme="1"/>
      </bottom>
      <diagonal/>
    </border>
    <border>
      <left style="thin">
        <color theme="1"/>
      </left>
      <right/>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right style="thin">
        <color indexed="64"/>
      </right>
      <top style="thin">
        <color theme="0"/>
      </top>
      <bottom style="thin">
        <color theme="0"/>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0"/>
      </left>
      <right/>
      <top style="thin">
        <color theme="0"/>
      </top>
      <bottom style="thin">
        <color theme="0"/>
      </bottom>
      <diagonal/>
    </border>
    <border>
      <left style="thin">
        <color theme="0"/>
      </left>
      <right/>
      <top style="thin">
        <color theme="1"/>
      </top>
      <bottom style="thin">
        <color theme="1"/>
      </bottom>
      <diagonal/>
    </border>
    <border>
      <left/>
      <right style="thin">
        <color theme="0"/>
      </right>
      <top style="thin">
        <color theme="1"/>
      </top>
      <bottom style="thin">
        <color theme="1"/>
      </bottom>
      <diagonal/>
    </border>
    <border>
      <left style="thin">
        <color theme="0"/>
      </left>
      <right/>
      <top style="thin">
        <color theme="1"/>
      </top>
      <bottom style="thin">
        <color theme="0"/>
      </bottom>
      <diagonal/>
    </border>
    <border>
      <left style="thin">
        <color theme="1"/>
      </left>
      <right style="thin">
        <color indexed="64"/>
      </right>
      <top/>
      <bottom style="thin">
        <color indexed="64"/>
      </bottom>
      <diagonal/>
    </border>
    <border>
      <left style="thin">
        <color theme="1"/>
      </left>
      <right style="thin">
        <color theme="1"/>
      </right>
      <top style="thin">
        <color theme="1"/>
      </top>
      <bottom/>
      <diagonal/>
    </border>
    <border>
      <left style="thin">
        <color indexed="64"/>
      </left>
      <right style="thin">
        <color theme="1"/>
      </right>
      <top/>
      <bottom/>
      <diagonal/>
    </border>
    <border>
      <left style="thin">
        <color theme="1"/>
      </left>
      <right/>
      <top/>
      <bottom style="thin">
        <color theme="0"/>
      </bottom>
      <diagonal/>
    </border>
    <border>
      <left style="thin">
        <color theme="1"/>
      </left>
      <right/>
      <top style="thin">
        <color theme="0"/>
      </top>
      <bottom style="thin">
        <color theme="0"/>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theme="0"/>
      </top>
      <bottom style="thin">
        <color theme="1"/>
      </bottom>
      <diagonal/>
    </border>
    <border>
      <left/>
      <right style="thin">
        <color theme="1"/>
      </right>
      <top style="thin">
        <color theme="0"/>
      </top>
      <bottom style="thin">
        <color theme="1"/>
      </bottom>
      <diagonal/>
    </border>
    <border>
      <left/>
      <right style="thin">
        <color indexed="64"/>
      </right>
      <top style="thin">
        <color theme="1"/>
      </top>
      <bottom style="thin">
        <color theme="0"/>
      </bottom>
      <diagonal/>
    </border>
    <border>
      <left style="thin">
        <color theme="1"/>
      </left>
      <right/>
      <top style="thin">
        <color theme="0"/>
      </top>
      <bottom style="thin">
        <color theme="1"/>
      </bottom>
      <diagonal/>
    </border>
    <border>
      <left style="thin">
        <color indexed="64"/>
      </left>
      <right style="thin">
        <color theme="0"/>
      </right>
      <top style="thin">
        <color indexed="64"/>
      </top>
      <bottom style="thin">
        <color theme="0"/>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theme="0"/>
      </left>
      <right/>
      <top style="thin">
        <color theme="0"/>
      </top>
      <bottom style="thin">
        <color indexed="64"/>
      </bottom>
      <diagonal/>
    </border>
    <border>
      <left style="thin">
        <color theme="0"/>
      </left>
      <right/>
      <top style="thin">
        <color indexed="64"/>
      </top>
      <bottom style="thin">
        <color indexed="64"/>
      </bottom>
      <diagonal/>
    </border>
    <border>
      <left style="thin">
        <color theme="1"/>
      </left>
      <right style="thin">
        <color theme="0"/>
      </right>
      <top/>
      <bottom/>
      <diagonal/>
    </border>
    <border>
      <left style="thin">
        <color indexed="64"/>
      </left>
      <right/>
      <top style="thin">
        <color theme="1"/>
      </top>
      <bottom/>
      <diagonal/>
    </border>
    <border>
      <left/>
      <right style="thin">
        <color indexed="64"/>
      </right>
      <top style="thin">
        <color theme="1"/>
      </top>
      <bottom/>
      <diagonal/>
    </border>
    <border>
      <left/>
      <right style="thin">
        <color indexed="64"/>
      </right>
      <top style="thin">
        <color theme="1"/>
      </top>
      <bottom style="thin">
        <color theme="1"/>
      </bottom>
      <diagonal/>
    </border>
    <border>
      <left style="thin">
        <color theme="1"/>
      </left>
      <right style="thin">
        <color theme="1"/>
      </right>
      <top/>
      <bottom/>
      <diagonal/>
    </border>
    <border>
      <left/>
      <right style="thin">
        <color indexed="64"/>
      </right>
      <top style="thin">
        <color indexed="64"/>
      </top>
      <bottom style="thin">
        <color theme="1"/>
      </bottom>
      <diagonal/>
    </border>
    <border>
      <left style="thin">
        <color rgb="FFD6DCE4"/>
      </left>
      <right/>
      <top style="thin">
        <color theme="1"/>
      </top>
      <bottom style="thin">
        <color theme="1"/>
      </bottom>
      <diagonal/>
    </border>
    <border>
      <left style="thin">
        <color theme="1"/>
      </left>
      <right/>
      <top style="thin">
        <color rgb="FFD6DCE4"/>
      </top>
      <bottom/>
      <diagonal/>
    </border>
    <border>
      <left/>
      <right/>
      <top style="thin">
        <color rgb="FFD6DCE4"/>
      </top>
      <bottom/>
      <diagonal/>
    </border>
    <border>
      <left style="thin">
        <color theme="1"/>
      </left>
      <right/>
      <top style="thin">
        <color rgb="FFD6DCE4"/>
      </top>
      <bottom style="thin">
        <color rgb="FFD6DCE4"/>
      </bottom>
      <diagonal/>
    </border>
    <border>
      <left/>
      <right/>
      <top style="thin">
        <color rgb="FFD6DCE4"/>
      </top>
      <bottom style="thin">
        <color rgb="FFD6DCE4"/>
      </bottom>
      <diagonal/>
    </border>
    <border>
      <left style="thin">
        <color theme="1"/>
      </left>
      <right/>
      <top style="thin">
        <color theme="1"/>
      </top>
      <bottom style="thin">
        <color rgb="FFD6DCE4"/>
      </bottom>
      <diagonal/>
    </border>
    <border>
      <left/>
      <right/>
      <top style="thin">
        <color theme="1"/>
      </top>
      <bottom style="thin">
        <color rgb="FFD6DCE4"/>
      </bottom>
      <diagonal/>
    </border>
    <border>
      <left/>
      <right style="thin">
        <color indexed="64"/>
      </right>
      <top/>
      <bottom style="thin">
        <color rgb="FFD6DCE4"/>
      </bottom>
      <diagonal/>
    </border>
    <border>
      <left/>
      <right style="thin">
        <color indexed="64"/>
      </right>
      <top style="thin">
        <color rgb="FFD6DCE4"/>
      </top>
      <bottom style="thin">
        <color rgb="FFD6DCE4"/>
      </bottom>
      <diagonal/>
    </border>
    <border>
      <left/>
      <right style="thin">
        <color theme="1"/>
      </right>
      <top style="thin">
        <color rgb="FFD6DCE4"/>
      </top>
      <bottom style="thin">
        <color rgb="FFD6DCE4"/>
      </bottom>
      <diagonal/>
    </border>
    <border>
      <left style="thin">
        <color theme="1"/>
      </left>
      <right/>
      <top style="thin">
        <color rgb="FFD6DCE4"/>
      </top>
      <bottom style="thin">
        <color theme="0"/>
      </bottom>
      <diagonal/>
    </border>
    <border>
      <left/>
      <right/>
      <top/>
      <bottom style="thin">
        <color rgb="FFD6DCE4"/>
      </bottom>
      <diagonal/>
    </border>
    <border>
      <left style="thin">
        <color theme="1"/>
      </left>
      <right/>
      <top/>
      <bottom style="thin">
        <color rgb="FFD6DCE4"/>
      </bottom>
      <diagonal/>
    </border>
    <border>
      <left/>
      <right style="thin">
        <color indexed="64"/>
      </right>
      <top style="thin">
        <color theme="1"/>
      </top>
      <bottom style="thin">
        <color rgb="FFD6DCE4"/>
      </bottom>
      <diagonal/>
    </border>
    <border>
      <left/>
      <right style="thin">
        <color rgb="FFD6DCE4"/>
      </right>
      <top style="thin">
        <color theme="1"/>
      </top>
      <bottom style="thin">
        <color rgb="FFD6DCE4"/>
      </bottom>
      <diagonal/>
    </border>
    <border>
      <left style="thin">
        <color rgb="FFD6DCE4"/>
      </left>
      <right/>
      <top style="thin">
        <color rgb="FFD6DCE4"/>
      </top>
      <bottom style="thin">
        <color rgb="FFD6DCE4"/>
      </bottom>
      <diagonal/>
    </border>
    <border>
      <left/>
      <right style="thin">
        <color rgb="FFD6DCE4"/>
      </right>
      <top style="thin">
        <color rgb="FFD6DCE4"/>
      </top>
      <bottom style="thin">
        <color rgb="FFD6DCE4"/>
      </bottom>
      <diagonal/>
    </border>
    <border>
      <left style="thin">
        <color rgb="FFD6DCE4"/>
      </left>
      <right/>
      <top style="thin">
        <color theme="1"/>
      </top>
      <bottom style="thin">
        <color rgb="FFD6DCE4"/>
      </bottom>
      <diagonal/>
    </border>
    <border>
      <left style="thin">
        <color rgb="FFD6DCE4"/>
      </left>
      <right/>
      <top style="thin">
        <color rgb="FFD6DCE4"/>
      </top>
      <bottom style="thin">
        <color theme="0"/>
      </bottom>
      <diagonal/>
    </border>
    <border>
      <left/>
      <right style="thin">
        <color theme="1"/>
      </right>
      <top style="thin">
        <color theme="1"/>
      </top>
      <bottom style="thin">
        <color rgb="FFD6DCE4"/>
      </bottom>
      <diagonal/>
    </border>
    <border>
      <left/>
      <right style="thin">
        <color rgb="FFD6DCE4"/>
      </right>
      <top/>
      <bottom style="thin">
        <color rgb="FFD6DCE4"/>
      </bottom>
      <diagonal/>
    </border>
    <border>
      <left style="thin">
        <color rgb="FFD6DCE4"/>
      </left>
      <right/>
      <top style="thin">
        <color rgb="FFD6DCE4"/>
      </top>
      <bottom style="thin">
        <color theme="1"/>
      </bottom>
      <diagonal/>
    </border>
    <border>
      <left style="thin">
        <color indexed="64"/>
      </left>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rgb="FFD6DCE4"/>
      </right>
      <top style="thin">
        <color theme="1"/>
      </top>
      <bottom style="thin">
        <color theme="1"/>
      </bottom>
      <diagonal/>
    </border>
    <border>
      <left style="thin">
        <color theme="1"/>
      </left>
      <right/>
      <top style="thin">
        <color rgb="FFD6DCE4"/>
      </top>
      <bottom style="thin">
        <color theme="1"/>
      </bottom>
      <diagonal/>
    </border>
    <border>
      <left/>
      <right/>
      <top style="thin">
        <color rgb="FFD6DCE4"/>
      </top>
      <bottom style="thin">
        <color theme="1"/>
      </bottom>
      <diagonal/>
    </border>
    <border>
      <left/>
      <right style="thin">
        <color rgb="FFD6DCE4"/>
      </right>
      <top style="thin">
        <color rgb="FFD6DCE4"/>
      </top>
      <bottom style="thin">
        <color theme="1"/>
      </bottom>
      <diagonal/>
    </border>
    <border>
      <left/>
      <right style="thin">
        <color indexed="64"/>
      </right>
      <top style="thin">
        <color rgb="FFD6DCE4"/>
      </top>
      <bottom style="thin">
        <color theme="1"/>
      </bottom>
      <diagonal/>
    </border>
    <border>
      <left/>
      <right/>
      <top style="thin">
        <color rgb="FFD6DCE4"/>
      </top>
      <bottom style="thin">
        <color theme="0"/>
      </bottom>
      <diagonal/>
    </border>
    <border>
      <left/>
      <right style="thin">
        <color rgb="FFD6DCE4"/>
      </right>
      <top style="thin">
        <color rgb="FFD6DCE4"/>
      </top>
      <bottom style="thin">
        <color theme="0"/>
      </bottom>
      <diagonal/>
    </border>
    <border>
      <left/>
      <right style="thin">
        <color theme="1"/>
      </right>
      <top style="thin">
        <color rgb="FFD6DCE4"/>
      </top>
      <bottom style="thin">
        <color theme="1"/>
      </bottom>
      <diagonal/>
    </border>
    <border>
      <left style="thin">
        <color theme="0"/>
      </left>
      <right/>
      <top style="thin">
        <color theme="0"/>
      </top>
      <bottom/>
      <diagonal/>
    </border>
    <border>
      <left style="thin">
        <color theme="0"/>
      </left>
      <right/>
      <top/>
      <bottom/>
      <diagonal/>
    </border>
    <border>
      <left style="thin">
        <color theme="0"/>
      </left>
      <right/>
      <top/>
      <bottom style="thin">
        <color theme="1"/>
      </bottom>
      <diagonal/>
    </border>
    <border>
      <left style="thin">
        <color rgb="FFD6DCE4"/>
      </left>
      <right/>
      <top/>
      <bottom style="thin">
        <color rgb="FFD6DCE4"/>
      </bottom>
      <diagonal/>
    </border>
    <border>
      <left style="thin">
        <color indexed="64"/>
      </left>
      <right/>
      <top style="thin">
        <color theme="1"/>
      </top>
      <bottom style="thin">
        <color theme="0"/>
      </bottom>
      <diagonal/>
    </border>
    <border>
      <left style="thin">
        <color theme="1"/>
      </left>
      <right style="thin">
        <color theme="1"/>
      </right>
      <top style="thin">
        <color theme="1"/>
      </top>
      <bottom style="thin">
        <color theme="0"/>
      </bottom>
      <diagonal/>
    </border>
    <border>
      <left style="thin">
        <color indexed="64"/>
      </left>
      <right style="thin">
        <color theme="1"/>
      </right>
      <top style="thin">
        <color indexed="64"/>
      </top>
      <bottom style="thin">
        <color theme="0"/>
      </bottom>
      <diagonal/>
    </border>
    <border>
      <left style="thin">
        <color theme="0"/>
      </left>
      <right style="thin">
        <color theme="0"/>
      </right>
      <top style="thin">
        <color theme="0"/>
      </top>
      <bottom style="thin">
        <color theme="1"/>
      </bottom>
      <diagonal/>
    </border>
    <border>
      <left/>
      <right style="thin">
        <color theme="1"/>
      </right>
      <top style="thin">
        <color indexed="64"/>
      </top>
      <bottom style="thin">
        <color indexed="64"/>
      </bottom>
      <diagonal/>
    </border>
    <border>
      <left/>
      <right style="thin">
        <color rgb="FFD6DCE4"/>
      </right>
      <top style="thin">
        <color rgb="FFD6DCE4"/>
      </top>
      <bottom/>
      <diagonal/>
    </border>
    <border>
      <left style="thin">
        <color rgb="FFD6DCE4"/>
      </left>
      <right/>
      <top/>
      <bottom style="thin">
        <color theme="1"/>
      </bottom>
      <diagonal/>
    </border>
    <border>
      <left style="thin">
        <color rgb="FFD6DCE4"/>
      </left>
      <right/>
      <top style="thin">
        <color theme="1"/>
      </top>
      <bottom style="thin">
        <color theme="0"/>
      </bottom>
      <diagonal/>
    </border>
    <border>
      <left/>
      <right style="thin">
        <color rgb="FFD6DCE4"/>
      </right>
      <top style="thin">
        <color theme="1"/>
      </top>
      <bottom style="thin">
        <color theme="0"/>
      </bottom>
      <diagonal/>
    </border>
    <border>
      <left style="thin">
        <color theme="0"/>
      </left>
      <right/>
      <top style="thin">
        <color theme="1"/>
      </top>
      <bottom/>
      <diagonal/>
    </border>
    <border>
      <left/>
      <right style="thin">
        <color theme="0"/>
      </right>
      <top style="thin">
        <color theme="1"/>
      </top>
      <bottom/>
      <diagonal/>
    </border>
    <border>
      <left/>
      <right style="thin">
        <color theme="0"/>
      </right>
      <top/>
      <bottom style="thin">
        <color theme="1"/>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medium">
        <color theme="1"/>
      </right>
      <top/>
      <bottom style="thin">
        <color theme="0"/>
      </bottom>
      <diagonal/>
    </border>
    <border>
      <left style="medium">
        <color theme="1"/>
      </left>
      <right style="thin">
        <color theme="0"/>
      </right>
      <top/>
      <bottom/>
      <diagonal/>
    </border>
    <border>
      <left style="medium">
        <color theme="1"/>
      </left>
      <right style="thin">
        <color theme="0"/>
      </right>
      <top/>
      <bottom style="thin">
        <color theme="0"/>
      </bottom>
      <diagonal/>
    </border>
    <border>
      <left/>
      <right style="medium">
        <color theme="1"/>
      </right>
      <top style="thin">
        <color theme="0"/>
      </top>
      <bottom style="thin">
        <color theme="0"/>
      </bottom>
      <diagonal/>
    </border>
    <border>
      <left style="medium">
        <color theme="1"/>
      </left>
      <right style="thin">
        <color theme="0"/>
      </right>
      <top style="thin">
        <color theme="0"/>
      </top>
      <bottom style="thin">
        <color theme="0"/>
      </bottom>
      <diagonal/>
    </border>
    <border>
      <left style="medium">
        <color theme="1"/>
      </left>
      <right style="thin">
        <color theme="0"/>
      </right>
      <top/>
      <bottom style="medium">
        <color theme="1"/>
      </bottom>
      <diagonal/>
    </border>
    <border>
      <left style="thin">
        <color theme="0"/>
      </left>
      <right style="thin">
        <color theme="0"/>
      </right>
      <top/>
      <bottom style="medium">
        <color theme="1"/>
      </bottom>
      <diagonal/>
    </border>
    <border>
      <left style="thin">
        <color rgb="FFD6DCE4"/>
      </left>
      <right style="thin">
        <color rgb="FFD6DCE4"/>
      </right>
      <top style="thin">
        <color rgb="FFD6DCE4"/>
      </top>
      <bottom style="thin">
        <color rgb="FFD6DCE4"/>
      </bottom>
      <diagonal/>
    </border>
    <border>
      <left/>
      <right style="thin">
        <color rgb="FFD6DCE4"/>
      </right>
      <top/>
      <bottom style="thin">
        <color theme="1"/>
      </bottom>
      <diagonal/>
    </border>
    <border>
      <left style="thin">
        <color theme="0"/>
      </left>
      <right/>
      <top/>
      <bottom style="thin">
        <color theme="0"/>
      </bottom>
      <diagonal/>
    </border>
    <border>
      <left style="thin">
        <color theme="0"/>
      </left>
      <right style="thin">
        <color theme="0"/>
      </right>
      <top style="thin">
        <color theme="1"/>
      </top>
      <bottom/>
      <diagonal/>
    </border>
    <border>
      <left style="thin">
        <color theme="0"/>
      </left>
      <right style="medium">
        <color theme="1"/>
      </right>
      <top/>
      <bottom/>
      <diagonal/>
    </border>
    <border>
      <left/>
      <right style="thin">
        <color theme="0"/>
      </right>
      <top/>
      <bottom style="thin">
        <color rgb="FFD6DCE4"/>
      </bottom>
      <diagonal/>
    </border>
    <border>
      <left/>
      <right style="thin">
        <color theme="1"/>
      </right>
      <top/>
      <bottom style="thin">
        <color theme="0"/>
      </bottom>
      <diagonal/>
    </border>
    <border>
      <left style="thin">
        <color theme="0"/>
      </left>
      <right style="thin">
        <color theme="1"/>
      </right>
      <top style="thin">
        <color theme="0"/>
      </top>
      <bottom style="thin">
        <color theme="1"/>
      </bottom>
      <diagonal/>
    </border>
    <border>
      <left style="thin">
        <color theme="0"/>
      </left>
      <right style="thin">
        <color theme="1"/>
      </right>
      <top style="thin">
        <color theme="0"/>
      </top>
      <bottom/>
      <diagonal/>
    </border>
    <border>
      <left/>
      <right/>
      <top style="thin">
        <color theme="0"/>
      </top>
      <bottom/>
      <diagonal/>
    </border>
    <border>
      <left/>
      <right style="medium">
        <color theme="1"/>
      </right>
      <top style="thin">
        <color theme="0"/>
      </top>
      <bottom/>
      <diagonal/>
    </border>
    <border>
      <left style="thin">
        <color theme="0"/>
      </left>
      <right style="medium">
        <color theme="1"/>
      </right>
      <top style="thin">
        <color theme="0"/>
      </top>
      <bottom/>
      <diagonal/>
    </border>
    <border>
      <left style="thin">
        <color indexed="64"/>
      </left>
      <right style="thin">
        <color theme="1"/>
      </right>
      <top style="thin">
        <color indexed="64"/>
      </top>
      <bottom/>
      <diagonal/>
    </border>
    <border>
      <left style="thin">
        <color rgb="FFD6DCE4"/>
      </left>
      <right/>
      <top style="thin">
        <color rgb="FFD6DCE4"/>
      </top>
      <bottom/>
      <diagonal/>
    </border>
    <border>
      <left/>
      <right style="thin">
        <color indexed="64"/>
      </right>
      <top style="thin">
        <color rgb="FFD6DCE4"/>
      </top>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0"/>
      </bottom>
      <diagonal/>
    </border>
    <border>
      <left/>
      <right style="thin">
        <color theme="0"/>
      </right>
      <top style="thin">
        <color theme="0"/>
      </top>
      <bottom/>
      <diagonal/>
    </border>
    <border>
      <left/>
      <right style="thin">
        <color theme="1"/>
      </right>
      <top style="thin">
        <color theme="0"/>
      </top>
      <bottom/>
      <diagonal/>
    </border>
    <border>
      <left/>
      <right style="thin">
        <color theme="1"/>
      </right>
      <top style="thin">
        <color rgb="FFD6DCE4"/>
      </top>
      <bottom/>
      <diagonal/>
    </border>
    <border>
      <left/>
      <right style="thin">
        <color indexed="64"/>
      </right>
      <top/>
      <bottom style="thin">
        <color theme="1"/>
      </bottom>
      <diagonal/>
    </border>
    <border>
      <left style="thin">
        <color indexed="64"/>
      </left>
      <right/>
      <top style="thin">
        <color rgb="FFD6DCE4"/>
      </top>
      <bottom style="thin">
        <color rgb="FFD6DCE4"/>
      </bottom>
      <diagonal/>
    </border>
    <border>
      <left style="thin">
        <color theme="0"/>
      </left>
      <right/>
      <top/>
      <bottom style="thin">
        <color indexed="64"/>
      </bottom>
      <diagonal/>
    </border>
    <border>
      <left style="thin">
        <color indexed="64"/>
      </left>
      <right/>
      <top/>
      <bottom/>
      <diagonal/>
    </border>
    <border>
      <left style="thin">
        <color rgb="FFF0EEE4"/>
      </left>
      <right style="thin">
        <color rgb="FFF0EEE4"/>
      </right>
      <top style="thin">
        <color rgb="FFF0EEE4"/>
      </top>
      <bottom/>
      <diagonal/>
    </border>
    <border>
      <left style="thin">
        <color rgb="FFF0EEE4"/>
      </left>
      <right style="thin">
        <color rgb="FFF0EEE4"/>
      </right>
      <top/>
      <bottom/>
      <diagonal/>
    </border>
    <border>
      <left style="thin">
        <color rgb="FFF0EEE4"/>
      </left>
      <right/>
      <top/>
      <bottom/>
      <diagonal/>
    </border>
    <border>
      <left style="thin">
        <color rgb="FFF0EEE4"/>
      </left>
      <right/>
      <top style="thin">
        <color rgb="FFF0EEE4"/>
      </top>
      <bottom/>
      <diagonal/>
    </border>
    <border>
      <left style="thin">
        <color theme="0"/>
      </left>
      <right style="thin">
        <color indexed="64"/>
      </right>
      <top/>
      <bottom/>
      <diagonal/>
    </border>
    <border>
      <left style="thin">
        <color theme="0"/>
      </left>
      <right style="thin">
        <color theme="1"/>
      </right>
      <top/>
      <bottom/>
      <diagonal/>
    </border>
    <border>
      <left/>
      <right style="thin">
        <color theme="1"/>
      </right>
      <top/>
      <bottom style="thin">
        <color indexed="64"/>
      </bottom>
      <diagonal/>
    </border>
    <border>
      <left style="thin">
        <color rgb="FFF0EEE4"/>
      </left>
      <right style="thin">
        <color theme="1"/>
      </right>
      <top style="thin">
        <color rgb="FFF0EEE4"/>
      </top>
      <bottom/>
      <diagonal/>
    </border>
    <border>
      <left/>
      <right style="thin">
        <color rgb="FFF0EEE4"/>
      </right>
      <top style="thin">
        <color rgb="FFF0EEE4"/>
      </top>
      <bottom/>
      <diagonal/>
    </border>
    <border>
      <left style="thin">
        <color theme="1"/>
      </left>
      <right style="thin">
        <color rgb="FFF0EEE4"/>
      </right>
      <top/>
      <bottom/>
      <diagonal/>
    </border>
    <border>
      <left style="thin">
        <color theme="1"/>
      </left>
      <right style="thin">
        <color theme="0"/>
      </right>
      <top style="thin">
        <color theme="0"/>
      </top>
      <bottom/>
      <diagonal/>
    </border>
    <border>
      <left style="thin">
        <color theme="1"/>
      </left>
      <right/>
      <top style="thin">
        <color indexed="64"/>
      </top>
      <bottom/>
      <diagonal/>
    </border>
    <border>
      <left/>
      <right style="thin">
        <color theme="1"/>
      </right>
      <top style="thin">
        <color indexed="64"/>
      </top>
      <bottom/>
      <diagonal/>
    </border>
    <border>
      <left style="thin">
        <color theme="1"/>
      </left>
      <right/>
      <top style="thin">
        <color theme="1"/>
      </top>
      <bottom style="thin">
        <color rgb="FFF0EEE4"/>
      </bottom>
      <diagonal/>
    </border>
    <border>
      <left style="thin">
        <color theme="1"/>
      </left>
      <right/>
      <top/>
      <bottom style="thin">
        <color rgb="FFF0EEE4"/>
      </bottom>
      <diagonal/>
    </border>
    <border>
      <left style="thin">
        <color theme="1"/>
      </left>
      <right style="thin">
        <color theme="1"/>
      </right>
      <top style="thin">
        <color theme="1"/>
      </top>
      <bottom style="thin">
        <color rgb="FFF0EEE4"/>
      </bottom>
      <diagonal/>
    </border>
    <border>
      <left style="thin">
        <color theme="1"/>
      </left>
      <right style="thin">
        <color theme="1"/>
      </right>
      <top/>
      <bottom style="thin">
        <color theme="0"/>
      </bottom>
      <diagonal/>
    </border>
    <border>
      <left style="thin">
        <color theme="1"/>
      </left>
      <right/>
      <top style="thin">
        <color theme="0"/>
      </top>
      <bottom/>
      <diagonal/>
    </border>
    <border>
      <left style="thin">
        <color indexed="64"/>
      </left>
      <right/>
      <top style="thin">
        <color theme="1"/>
      </top>
      <bottom style="thin">
        <color rgb="FFD6DCE4"/>
      </bottom>
      <diagonal/>
    </border>
    <border>
      <left style="thin">
        <color indexed="64"/>
      </left>
      <right style="thin">
        <color indexed="64"/>
      </right>
      <top style="thin">
        <color theme="0"/>
      </top>
      <bottom style="thin">
        <color theme="0"/>
      </bottom>
      <diagonal/>
    </border>
    <border>
      <left style="thin">
        <color indexed="64"/>
      </left>
      <right style="thin">
        <color indexed="64"/>
      </right>
      <top/>
      <bottom style="thin">
        <color theme="0"/>
      </bottom>
      <diagonal/>
    </border>
  </borders>
  <cellStyleXfs count="3">
    <xf numFmtId="0" fontId="0" fillId="0" borderId="0"/>
    <xf numFmtId="0" fontId="5" fillId="0" borderId="0" applyNumberFormat="0" applyFill="0" applyBorder="0" applyAlignment="0" applyProtection="0"/>
    <xf numFmtId="43" fontId="6" fillId="0" borderId="0" applyFont="0" applyFill="0" applyBorder="0" applyAlignment="0" applyProtection="0"/>
  </cellStyleXfs>
  <cellXfs count="1178">
    <xf numFmtId="0" fontId="0" fillId="0" borderId="0" xfId="0"/>
    <xf numFmtId="49" fontId="0" fillId="0" borderId="0" xfId="0" applyNumberFormat="1"/>
    <xf numFmtId="0" fontId="1" fillId="0" borderId="0" xfId="0" applyFont="1"/>
    <xf numFmtId="49" fontId="2" fillId="0" borderId="0" xfId="0" applyNumberFormat="1" applyFont="1" applyFill="1" applyBorder="1" applyAlignment="1">
      <alignment horizontal="left" vertical="top" wrapText="1"/>
    </xf>
    <xf numFmtId="0" fontId="2" fillId="0" borderId="0" xfId="0" applyFont="1" applyFill="1" applyBorder="1" applyAlignment="1">
      <alignment horizontal="left" vertical="top" wrapText="1"/>
    </xf>
    <xf numFmtId="49" fontId="0" fillId="0" borderId="0" xfId="0" applyNumberFormat="1" applyFont="1" applyAlignment="1">
      <alignment horizontal="left"/>
    </xf>
    <xf numFmtId="0" fontId="0" fillId="0" borderId="0" xfId="0" applyFont="1" applyFill="1" applyBorder="1" applyAlignment="1">
      <alignment horizontal="left" vertical="center" wrapText="1"/>
    </xf>
    <xf numFmtId="0" fontId="5" fillId="0" borderId="0" xfId="1"/>
    <xf numFmtId="0" fontId="0" fillId="0" borderId="0" xfId="0" applyFill="1"/>
    <xf numFmtId="0" fontId="0" fillId="4" borderId="0" xfId="0" applyFill="1" applyAlignment="1">
      <alignment horizontal="center" vertical="top"/>
    </xf>
    <xf numFmtId="1" fontId="0" fillId="4" borderId="0" xfId="0" applyNumberFormat="1" applyFill="1" applyAlignment="1">
      <alignment horizontal="center" vertical="top"/>
    </xf>
    <xf numFmtId="4" fontId="0" fillId="4" borderId="0" xfId="0" applyNumberFormat="1" applyFill="1" applyAlignment="1">
      <alignment vertical="top"/>
    </xf>
    <xf numFmtId="4" fontId="0" fillId="5" borderId="0" xfId="0" applyNumberFormat="1" applyFill="1" applyAlignment="1">
      <alignment vertical="top"/>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164" fontId="0" fillId="0" borderId="0" xfId="2" applyNumberFormat="1" applyFont="1" applyAlignment="1">
      <alignment horizontal="center"/>
    </xf>
    <xf numFmtId="164" fontId="0" fillId="5" borderId="0" xfId="0" applyNumberFormat="1" applyFill="1" applyAlignment="1">
      <alignment horizontal="center" vertical="top"/>
    </xf>
    <xf numFmtId="164" fontId="0" fillId="4" borderId="0" xfId="0" applyNumberFormat="1" applyFill="1" applyAlignment="1">
      <alignment horizontal="center" vertical="top"/>
    </xf>
    <xf numFmtId="49" fontId="0" fillId="0" borderId="0" xfId="0" applyNumberFormat="1" applyAlignment="1" applyProtection="1">
      <alignment vertical="top"/>
      <protection locked="0"/>
    </xf>
    <xf numFmtId="164" fontId="0" fillId="0" borderId="0" xfId="0" applyNumberFormat="1" applyAlignment="1" applyProtection="1">
      <alignment horizontal="center" vertical="top"/>
      <protection locked="0"/>
    </xf>
    <xf numFmtId="0" fontId="0" fillId="0" borderId="0" xfId="0" applyAlignment="1" applyProtection="1">
      <alignment horizontal="center" vertical="top"/>
      <protection locked="0"/>
    </xf>
    <xf numFmtId="4" fontId="0" fillId="0" borderId="0" xfId="0" applyNumberFormat="1" applyAlignment="1" applyProtection="1">
      <alignment horizontal="center" vertical="top"/>
      <protection locked="0"/>
    </xf>
    <xf numFmtId="0" fontId="0" fillId="0" borderId="0" xfId="0" applyAlignment="1" applyProtection="1">
      <alignment horizontal="center" vertical="center"/>
      <protection locked="0"/>
    </xf>
    <xf numFmtId="3" fontId="0" fillId="0" borderId="0" xfId="0" applyNumberFormat="1" applyAlignment="1" applyProtection="1">
      <alignment horizontal="center" vertical="top"/>
      <protection locked="0"/>
    </xf>
    <xf numFmtId="164" fontId="0" fillId="0" borderId="0" xfId="0" applyNumberFormat="1" applyFill="1" applyAlignment="1" applyProtection="1">
      <alignment horizontal="center" vertical="top"/>
      <protection locked="0"/>
    </xf>
    <xf numFmtId="0" fontId="0" fillId="0" borderId="0" xfId="0" applyNumberFormat="1" applyAlignment="1" applyProtection="1">
      <alignment horizontal="center" vertical="top"/>
      <protection locked="0"/>
    </xf>
    <xf numFmtId="0" fontId="0" fillId="5" borderId="0" xfId="0" applyFill="1"/>
    <xf numFmtId="0" fontId="0" fillId="5" borderId="3" xfId="0" applyFill="1" applyBorder="1"/>
    <xf numFmtId="0" fontId="0" fillId="5" borderId="4" xfId="0" applyFill="1" applyBorder="1"/>
    <xf numFmtId="0" fontId="0" fillId="5" borderId="0" xfId="0" applyFill="1" applyBorder="1" applyAlignment="1"/>
    <xf numFmtId="0" fontId="0" fillId="5" borderId="0" xfId="0" applyFill="1" applyBorder="1"/>
    <xf numFmtId="0" fontId="12" fillId="5" borderId="0" xfId="0" applyFont="1" applyFill="1" applyBorder="1" applyAlignment="1"/>
    <xf numFmtId="0" fontId="11" fillId="5" borderId="0" xfId="0" applyFont="1" applyFill="1" applyBorder="1" applyAlignment="1"/>
    <xf numFmtId="0" fontId="12" fillId="5" borderId="0" xfId="0" applyFont="1" applyFill="1"/>
    <xf numFmtId="0" fontId="12" fillId="5" borderId="0" xfId="0" applyFont="1" applyFill="1" applyBorder="1"/>
    <xf numFmtId="0" fontId="0" fillId="5" borderId="27" xfId="0" applyFill="1" applyBorder="1" applyAlignment="1"/>
    <xf numFmtId="0" fontId="15" fillId="5" borderId="0" xfId="0" applyFont="1" applyFill="1" applyBorder="1" applyAlignment="1"/>
    <xf numFmtId="0" fontId="0" fillId="5" borderId="3" xfId="0" applyFill="1" applyBorder="1" applyAlignment="1"/>
    <xf numFmtId="0" fontId="0" fillId="5" borderId="27" xfId="0" applyFill="1" applyBorder="1"/>
    <xf numFmtId="0" fontId="0" fillId="5" borderId="0" xfId="0" applyFill="1" applyBorder="1" applyAlignment="1">
      <alignment horizontal="center" vertical="center"/>
    </xf>
    <xf numFmtId="0" fontId="0" fillId="5" borderId="22" xfId="0" applyFill="1" applyBorder="1"/>
    <xf numFmtId="0" fontId="12" fillId="5" borderId="4" xfId="0" applyFont="1" applyFill="1" applyBorder="1"/>
    <xf numFmtId="0" fontId="12" fillId="5" borderId="0" xfId="0" applyFont="1" applyFill="1" applyBorder="1" applyAlignment="1">
      <alignment horizontal="center" vertical="center"/>
    </xf>
    <xf numFmtId="0" fontId="12" fillId="5" borderId="0" xfId="0" applyFont="1" applyFill="1" applyBorder="1" applyAlignment="1">
      <alignment horizontal="right" indent="1"/>
    </xf>
    <xf numFmtId="0" fontId="16" fillId="10" borderId="0" xfId="0" applyFont="1" applyFill="1" applyBorder="1" applyAlignment="1" applyProtection="1">
      <alignment horizontal="right"/>
    </xf>
    <xf numFmtId="0" fontId="0" fillId="0" borderId="0" xfId="0" applyBorder="1"/>
    <xf numFmtId="0" fontId="0" fillId="0" borderId="40" xfId="0" applyBorder="1"/>
    <xf numFmtId="0" fontId="0" fillId="0" borderId="39" xfId="0" applyBorder="1"/>
    <xf numFmtId="0" fontId="7" fillId="0" borderId="24" xfId="0" applyFont="1" applyFill="1" applyBorder="1" applyAlignment="1">
      <alignment horizontal="center" vertical="center" wrapText="1"/>
    </xf>
    <xf numFmtId="0" fontId="0" fillId="0" borderId="0" xfId="0" applyFill="1" applyBorder="1"/>
    <xf numFmtId="49" fontId="0" fillId="0" borderId="4" xfId="0" applyNumberFormat="1" applyBorder="1" applyAlignment="1" applyProtection="1">
      <alignment vertical="top"/>
      <protection locked="0"/>
    </xf>
    <xf numFmtId="0" fontId="12" fillId="0" borderId="0" xfId="0" applyFont="1" applyFill="1" applyBorder="1" applyAlignment="1">
      <alignment vertical="center"/>
    </xf>
    <xf numFmtId="0" fontId="0" fillId="5" borderId="48" xfId="0" applyFill="1" applyBorder="1"/>
    <xf numFmtId="0" fontId="12" fillId="5" borderId="0" xfId="0" applyFont="1" applyFill="1" applyBorder="1" applyAlignment="1">
      <alignment vertical="center"/>
    </xf>
    <xf numFmtId="0" fontId="0" fillId="5" borderId="0" xfId="0" applyFill="1" applyBorder="1" applyAlignment="1">
      <alignment vertical="center"/>
    </xf>
    <xf numFmtId="0" fontId="11" fillId="5" borderId="0" xfId="0" applyFont="1" applyFill="1" applyBorder="1" applyAlignment="1">
      <alignment horizontal="left"/>
    </xf>
    <xf numFmtId="0" fontId="11" fillId="0" borderId="9" xfId="0" applyFont="1" applyFill="1" applyBorder="1" applyAlignment="1">
      <alignment horizontal="center"/>
    </xf>
    <xf numFmtId="0" fontId="11" fillId="0" borderId="31" xfId="0" applyFont="1" applyFill="1" applyBorder="1" applyAlignment="1">
      <alignment horizontal="center"/>
    </xf>
    <xf numFmtId="0" fontId="12" fillId="3" borderId="15" xfId="0" applyFont="1" applyFill="1" applyBorder="1"/>
    <xf numFmtId="0" fontId="11" fillId="0" borderId="55" xfId="0" applyFont="1" applyFill="1" applyBorder="1" applyAlignment="1">
      <alignment horizontal="center"/>
    </xf>
    <xf numFmtId="0" fontId="0" fillId="5" borderId="35" xfId="0" applyFill="1" applyBorder="1"/>
    <xf numFmtId="0" fontId="0" fillId="5" borderId="0" xfId="0" applyFont="1" applyFill="1" applyBorder="1" applyAlignment="1"/>
    <xf numFmtId="0" fontId="11" fillId="0" borderId="13" xfId="0" applyFont="1" applyFill="1" applyBorder="1" applyAlignment="1">
      <alignment horizontal="center"/>
    </xf>
    <xf numFmtId="0" fontId="11" fillId="5" borderId="13" xfId="0" applyFont="1" applyFill="1" applyBorder="1" applyAlignment="1">
      <alignment horizontal="center"/>
    </xf>
    <xf numFmtId="0" fontId="0" fillId="5" borderId="19" xfId="0" applyFill="1" applyBorder="1"/>
    <xf numFmtId="0" fontId="11" fillId="0" borderId="6" xfId="0" applyFont="1" applyFill="1" applyBorder="1" applyAlignment="1">
      <alignment horizontal="center"/>
    </xf>
    <xf numFmtId="0" fontId="11" fillId="0" borderId="14" xfId="0" applyFont="1" applyFill="1" applyBorder="1" applyAlignment="1">
      <alignment horizontal="center"/>
    </xf>
    <xf numFmtId="0" fontId="11" fillId="5" borderId="14" xfId="0" applyFont="1" applyFill="1" applyBorder="1" applyAlignment="1">
      <alignment horizontal="center"/>
    </xf>
    <xf numFmtId="0" fontId="11" fillId="0" borderId="74" xfId="0" applyFont="1" applyFill="1" applyBorder="1" applyAlignment="1">
      <alignment horizontal="center"/>
    </xf>
    <xf numFmtId="0" fontId="11" fillId="0" borderId="75" xfId="0" applyFont="1" applyFill="1" applyBorder="1" applyAlignment="1">
      <alignment horizontal="center"/>
    </xf>
    <xf numFmtId="0" fontId="0" fillId="5" borderId="22" xfId="0" applyFill="1" applyBorder="1" applyAlignment="1">
      <alignment horizontal="center"/>
    </xf>
    <xf numFmtId="0" fontId="12" fillId="5" borderId="22" xfId="0" applyFont="1" applyFill="1" applyBorder="1" applyAlignment="1"/>
    <xf numFmtId="0" fontId="0" fillId="5" borderId="22" xfId="0" applyFill="1" applyBorder="1" applyAlignment="1"/>
    <xf numFmtId="0" fontId="12" fillId="5" borderId="22" xfId="0" applyFont="1" applyFill="1" applyBorder="1"/>
    <xf numFmtId="0" fontId="12" fillId="5" borderId="22" xfId="0" applyFont="1" applyFill="1" applyBorder="1" applyAlignment="1">
      <alignment horizontal="center" vertical="center"/>
    </xf>
    <xf numFmtId="0" fontId="0" fillId="5" borderId="22" xfId="0" applyFill="1" applyBorder="1" applyAlignment="1">
      <alignment horizontal="center" vertical="center"/>
    </xf>
    <xf numFmtId="9" fontId="12" fillId="5" borderId="22" xfId="0" applyNumberFormat="1" applyFont="1" applyFill="1" applyBorder="1" applyAlignment="1">
      <alignment horizontal="center" vertical="center"/>
    </xf>
    <xf numFmtId="9" fontId="0" fillId="5" borderId="22" xfId="0" applyNumberFormat="1" applyFill="1" applyBorder="1" applyAlignment="1">
      <alignment horizontal="center" vertical="center"/>
    </xf>
    <xf numFmtId="0" fontId="11" fillId="5" borderId="70" xfId="0" applyFont="1" applyFill="1" applyBorder="1" applyAlignment="1">
      <alignment horizontal="center"/>
    </xf>
    <xf numFmtId="0" fontId="11" fillId="0" borderId="26" xfId="0" applyFont="1" applyFill="1" applyBorder="1" applyAlignment="1">
      <alignment horizontal="center"/>
    </xf>
    <xf numFmtId="49" fontId="12" fillId="5" borderId="27" xfId="0" applyNumberFormat="1" applyFont="1" applyFill="1" applyBorder="1" applyAlignment="1">
      <alignment horizontal="left" vertical="top"/>
    </xf>
    <xf numFmtId="0" fontId="0" fillId="5" borderId="30" xfId="0" applyFill="1" applyBorder="1" applyAlignment="1"/>
    <xf numFmtId="0" fontId="11" fillId="5" borderId="38" xfId="0" applyFont="1" applyFill="1" applyBorder="1" applyAlignment="1">
      <alignment horizontal="left"/>
    </xf>
    <xf numFmtId="0" fontId="0" fillId="5" borderId="38" xfId="0" applyFill="1" applyBorder="1"/>
    <xf numFmtId="0" fontId="0" fillId="5" borderId="10" xfId="0" applyFill="1" applyBorder="1"/>
    <xf numFmtId="0" fontId="31" fillId="5" borderId="0" xfId="0" applyFont="1" applyFill="1"/>
    <xf numFmtId="0" fontId="12" fillId="0" borderId="13" xfId="0" applyFont="1" applyFill="1" applyBorder="1" applyAlignment="1">
      <alignment vertical="center"/>
    </xf>
    <xf numFmtId="0" fontId="12" fillId="0" borderId="13" xfId="0" applyFont="1" applyFill="1" applyBorder="1" applyAlignment="1">
      <alignment horizontal="center" vertical="center"/>
    </xf>
    <xf numFmtId="0" fontId="12" fillId="0" borderId="56" xfId="0" applyFont="1" applyFill="1" applyBorder="1" applyAlignment="1">
      <alignment horizontal="center" vertical="center"/>
    </xf>
    <xf numFmtId="0" fontId="12" fillId="0" borderId="62" xfId="0" applyFont="1" applyFill="1" applyBorder="1" applyAlignment="1">
      <alignment horizontal="center" vertical="center"/>
    </xf>
    <xf numFmtId="0" fontId="12" fillId="6" borderId="1" xfId="0" applyFont="1" applyFill="1" applyBorder="1" applyAlignment="1">
      <alignment horizontal="center" vertical="center"/>
    </xf>
    <xf numFmtId="0" fontId="12" fillId="6" borderId="12" xfId="0" applyFont="1" applyFill="1" applyBorder="1" applyAlignment="1">
      <alignment horizontal="center" vertical="center"/>
    </xf>
    <xf numFmtId="0" fontId="12" fillId="8" borderId="1" xfId="0" applyFont="1" applyFill="1" applyBorder="1" applyAlignment="1">
      <alignment horizontal="center" vertical="center"/>
    </xf>
    <xf numFmtId="0" fontId="20" fillId="5" borderId="0" xfId="0" applyFont="1" applyFill="1" applyBorder="1" applyAlignment="1">
      <alignment horizontal="left" vertical="center" wrapText="1"/>
    </xf>
    <xf numFmtId="0" fontId="0" fillId="5" borderId="30" xfId="0" applyFill="1" applyBorder="1"/>
    <xf numFmtId="0" fontId="12" fillId="0" borderId="13" xfId="0" applyFont="1" applyFill="1" applyBorder="1" applyAlignment="1"/>
    <xf numFmtId="0" fontId="0" fillId="5" borderId="72" xfId="0" applyFill="1" applyBorder="1"/>
    <xf numFmtId="1" fontId="0" fillId="0" borderId="0" xfId="0" applyNumberFormat="1" applyAlignment="1" applyProtection="1">
      <alignment horizontal="center" vertical="top"/>
      <protection locked="0"/>
    </xf>
    <xf numFmtId="0" fontId="12" fillId="0" borderId="9" xfId="0" applyFont="1" applyFill="1" applyBorder="1" applyAlignment="1">
      <alignment horizontal="center" vertical="center"/>
    </xf>
    <xf numFmtId="0" fontId="12" fillId="6" borderId="47" xfId="0" applyFont="1" applyFill="1" applyBorder="1" applyAlignment="1">
      <alignment horizontal="center" vertical="center"/>
    </xf>
    <xf numFmtId="0" fontId="12" fillId="6" borderId="62" xfId="0" applyFont="1" applyFill="1" applyBorder="1" applyAlignment="1">
      <alignment horizontal="center" vertical="center"/>
    </xf>
    <xf numFmtId="0" fontId="12" fillId="6" borderId="56" xfId="0" applyFont="1" applyFill="1" applyBorder="1" applyAlignment="1">
      <alignment horizontal="center" vertical="center"/>
    </xf>
    <xf numFmtId="0" fontId="12" fillId="6" borderId="58" xfId="0" applyFont="1" applyFill="1" applyBorder="1" applyAlignment="1">
      <alignment horizontal="center" vertical="center"/>
    </xf>
    <xf numFmtId="0" fontId="12" fillId="6" borderId="69" xfId="0" applyFont="1" applyFill="1" applyBorder="1" applyAlignment="1">
      <alignment horizontal="center" vertical="center"/>
    </xf>
    <xf numFmtId="4" fontId="0" fillId="0" borderId="0" xfId="0" applyNumberFormat="1"/>
    <xf numFmtId="0" fontId="0" fillId="0" borderId="0" xfId="0" applyNumberFormat="1"/>
    <xf numFmtId="49" fontId="0" fillId="0" borderId="0" xfId="0" applyNumberFormat="1" applyBorder="1" applyAlignment="1" applyProtection="1">
      <alignment vertical="top"/>
      <protection locked="0"/>
    </xf>
    <xf numFmtId="49" fontId="0" fillId="11" borderId="0" xfId="0" applyNumberFormat="1" applyFill="1"/>
    <xf numFmtId="0" fontId="0" fillId="5" borderId="0" xfId="0" applyNumberFormat="1" applyFill="1" applyAlignment="1" applyProtection="1">
      <alignment horizontal="center" vertical="top"/>
    </xf>
    <xf numFmtId="0" fontId="0" fillId="3" borderId="19" xfId="0" applyFill="1" applyBorder="1" applyAlignment="1"/>
    <xf numFmtId="0" fontId="0" fillId="3" borderId="0" xfId="0" applyFill="1" applyBorder="1" applyAlignment="1"/>
    <xf numFmtId="0" fontId="27" fillId="3" borderId="0" xfId="0" applyFont="1" applyFill="1" applyBorder="1" applyAlignment="1">
      <alignment vertical="top" wrapText="1"/>
    </xf>
    <xf numFmtId="0" fontId="0" fillId="3" borderId="0" xfId="0" applyFont="1" applyFill="1" applyBorder="1" applyAlignment="1"/>
    <xf numFmtId="0" fontId="27" fillId="3" borderId="19" xfId="0" applyFont="1" applyFill="1" applyBorder="1" applyAlignment="1">
      <alignment vertical="top" wrapText="1"/>
    </xf>
    <xf numFmtId="0" fontId="0" fillId="3" borderId="19" xfId="0" applyFont="1" applyFill="1" applyBorder="1" applyAlignment="1"/>
    <xf numFmtId="0" fontId="0" fillId="3" borderId="19" xfId="0" applyFont="1" applyFill="1" applyBorder="1" applyAlignment="1">
      <alignment vertical="center"/>
    </xf>
    <xf numFmtId="0" fontId="0" fillId="3" borderId="19" xfId="0" applyFont="1" applyFill="1" applyBorder="1" applyAlignment="1">
      <alignment horizontal="center" vertical="center"/>
    </xf>
    <xf numFmtId="0" fontId="0" fillId="3" borderId="19" xfId="0" applyFont="1" applyFill="1" applyBorder="1" applyAlignment="1">
      <alignment horizontal="right" vertical="top" wrapText="1"/>
    </xf>
    <xf numFmtId="0" fontId="0" fillId="3" borderId="19" xfId="0" applyFont="1" applyFill="1" applyBorder="1" applyAlignment="1">
      <alignment wrapText="1"/>
    </xf>
    <xf numFmtId="0" fontId="0" fillId="3" borderId="20" xfId="0" applyFont="1" applyFill="1" applyBorder="1" applyAlignment="1"/>
    <xf numFmtId="0" fontId="0" fillId="3" borderId="0" xfId="0" applyFont="1" applyFill="1" applyBorder="1" applyAlignment="1">
      <alignment horizontal="right" vertical="top" wrapText="1"/>
    </xf>
    <xf numFmtId="0" fontId="0" fillId="3" borderId="0" xfId="0" applyFont="1" applyFill="1" applyBorder="1" applyAlignment="1">
      <alignment wrapText="1"/>
    </xf>
    <xf numFmtId="0" fontId="0" fillId="3" borderId="17" xfId="0" applyFont="1" applyFill="1" applyBorder="1" applyAlignment="1"/>
    <xf numFmtId="0" fontId="0" fillId="3" borderId="124" xfId="0" applyFill="1" applyBorder="1" applyAlignment="1"/>
    <xf numFmtId="0" fontId="0" fillId="3" borderId="125" xfId="0" applyFill="1" applyBorder="1" applyAlignment="1"/>
    <xf numFmtId="0" fontId="0" fillId="3" borderId="126" xfId="0" applyFill="1" applyBorder="1" applyAlignment="1"/>
    <xf numFmtId="0" fontId="0" fillId="3" borderId="52" xfId="0" applyFill="1" applyBorder="1" applyAlignment="1"/>
    <xf numFmtId="0" fontId="0" fillId="3" borderId="53" xfId="0" applyFill="1" applyBorder="1" applyAlignment="1"/>
    <xf numFmtId="0" fontId="0" fillId="3" borderId="4" xfId="0" applyFont="1" applyFill="1" applyBorder="1" applyAlignment="1"/>
    <xf numFmtId="0" fontId="12" fillId="3" borderId="53" xfId="0" applyFont="1" applyFill="1" applyBorder="1"/>
    <xf numFmtId="0" fontId="12" fillId="0" borderId="129" xfId="0" applyFont="1" applyFill="1" applyBorder="1" applyAlignment="1">
      <alignment horizontal="center" vertical="center"/>
    </xf>
    <xf numFmtId="0" fontId="0" fillId="3" borderId="131" xfId="0" applyFill="1" applyBorder="1"/>
    <xf numFmtId="0" fontId="12" fillId="3" borderId="52" xfId="0" applyFont="1" applyFill="1" applyBorder="1"/>
    <xf numFmtId="0" fontId="12" fillId="3" borderId="126" xfId="0" applyFont="1" applyFill="1" applyBorder="1" applyAlignment="1"/>
    <xf numFmtId="0" fontId="11" fillId="5" borderId="31" xfId="0" applyFont="1" applyFill="1" applyBorder="1" applyAlignment="1">
      <alignment horizontal="center"/>
    </xf>
    <xf numFmtId="0" fontId="1" fillId="3" borderId="44" xfId="0" applyFont="1" applyFill="1" applyBorder="1" applyAlignment="1">
      <alignment horizontal="center" vertical="center" wrapText="1"/>
    </xf>
    <xf numFmtId="0" fontId="1" fillId="3" borderId="45" xfId="0" applyFont="1" applyFill="1" applyBorder="1" applyAlignment="1">
      <alignment horizontal="center" vertical="center" wrapText="1"/>
    </xf>
    <xf numFmtId="0" fontId="0" fillId="3" borderId="0" xfId="0" applyFill="1"/>
    <xf numFmtId="0" fontId="33" fillId="3" borderId="0" xfId="0" applyFont="1" applyFill="1" applyAlignment="1">
      <alignment vertical="center"/>
    </xf>
    <xf numFmtId="0" fontId="0" fillId="3" borderId="3" xfId="0" applyFill="1" applyBorder="1"/>
    <xf numFmtId="0" fontId="1" fillId="3" borderId="4" xfId="0" applyFont="1" applyFill="1" applyBorder="1"/>
    <xf numFmtId="0" fontId="0" fillId="3" borderId="4" xfId="0" applyFill="1" applyBorder="1"/>
    <xf numFmtId="0" fontId="1" fillId="3" borderId="139" xfId="0" applyFont="1" applyFill="1" applyBorder="1"/>
    <xf numFmtId="0" fontId="0" fillId="3" borderId="85" xfId="0" applyFill="1" applyBorder="1"/>
    <xf numFmtId="0" fontId="0" fillId="0" borderId="3" xfId="0" applyBorder="1"/>
    <xf numFmtId="0" fontId="0" fillId="10" borderId="144" xfId="0" applyFill="1" applyBorder="1"/>
    <xf numFmtId="0" fontId="0" fillId="10" borderId="143" xfId="0" applyFill="1" applyBorder="1"/>
    <xf numFmtId="0" fontId="0" fillId="10" borderId="141" xfId="0" applyFill="1" applyBorder="1"/>
    <xf numFmtId="0" fontId="0" fillId="10" borderId="140" xfId="0" applyFill="1" applyBorder="1"/>
    <xf numFmtId="166" fontId="0" fillId="10" borderId="141" xfId="0" applyNumberFormat="1" applyFill="1" applyBorder="1"/>
    <xf numFmtId="166" fontId="0" fillId="10" borderId="140" xfId="0" applyNumberFormat="1" applyFill="1" applyBorder="1"/>
    <xf numFmtId="0" fontId="0" fillId="10" borderId="146" xfId="0" applyFill="1" applyBorder="1"/>
    <xf numFmtId="0" fontId="0" fillId="10" borderId="43" xfId="0" applyFill="1" applyBorder="1"/>
    <xf numFmtId="0" fontId="0" fillId="10" borderId="147" xfId="0" applyFill="1" applyBorder="1"/>
    <xf numFmtId="0" fontId="0" fillId="10" borderId="148" xfId="0" applyFill="1" applyBorder="1"/>
    <xf numFmtId="0" fontId="0" fillId="0" borderId="93" xfId="0" applyBorder="1"/>
    <xf numFmtId="0" fontId="0" fillId="8" borderId="0" xfId="0" applyFill="1"/>
    <xf numFmtId="0" fontId="0" fillId="8" borderId="39" xfId="0" applyFill="1" applyBorder="1"/>
    <xf numFmtId="0" fontId="0" fillId="8" borderId="0" xfId="0" applyFill="1" applyBorder="1"/>
    <xf numFmtId="0" fontId="0" fillId="8" borderId="40" xfId="0" applyFill="1" applyBorder="1"/>
    <xf numFmtId="0" fontId="0" fillId="8" borderId="39" xfId="0" quotePrefix="1" applyFill="1" applyBorder="1"/>
    <xf numFmtId="0" fontId="16" fillId="6" borderId="126" xfId="0" applyFont="1" applyFill="1" applyBorder="1" applyAlignment="1" applyProtection="1">
      <alignment horizontal="right"/>
    </xf>
    <xf numFmtId="0" fontId="0" fillId="6" borderId="35" xfId="0" applyFill="1" applyBorder="1"/>
    <xf numFmtId="0" fontId="0" fillId="6" borderId="141" xfId="0" applyFill="1" applyBorder="1"/>
    <xf numFmtId="4" fontId="0" fillId="6" borderId="3" xfId="0" applyNumberFormat="1" applyFill="1" applyBorder="1"/>
    <xf numFmtId="0" fontId="0" fillId="6" borderId="4" xfId="0" applyFill="1" applyBorder="1"/>
    <xf numFmtId="0" fontId="0" fillId="6" borderId="140" xfId="0" applyFill="1" applyBorder="1"/>
    <xf numFmtId="4" fontId="0" fillId="6" borderId="0" xfId="0" applyNumberFormat="1" applyFill="1"/>
    <xf numFmtId="0" fontId="16" fillId="6" borderId="0" xfId="0" applyFont="1" applyFill="1" applyAlignment="1" applyProtection="1">
      <alignment horizontal="right"/>
    </xf>
    <xf numFmtId="165" fontId="16" fillId="6" borderId="17" xfId="0" applyNumberFormat="1" applyFont="1" applyFill="1" applyBorder="1" applyAlignment="1" applyProtection="1">
      <alignment horizontal="right"/>
    </xf>
    <xf numFmtId="0" fontId="0" fillId="6" borderId="3" xfId="0" applyFill="1" applyBorder="1"/>
    <xf numFmtId="0" fontId="0" fillId="6" borderId="0" xfId="0" applyFill="1"/>
    <xf numFmtId="0" fontId="0" fillId="6" borderId="151" xfId="0" applyFill="1" applyBorder="1"/>
    <xf numFmtId="0" fontId="0" fillId="6" borderId="46" xfId="0" applyFill="1" applyBorder="1"/>
    <xf numFmtId="0" fontId="0" fillId="6" borderId="43" xfId="0" applyFill="1" applyBorder="1"/>
    <xf numFmtId="0" fontId="0" fillId="8" borderId="137" xfId="0" applyFill="1" applyBorder="1"/>
    <xf numFmtId="0" fontId="0" fillId="8" borderId="152" xfId="0" applyFill="1" applyBorder="1"/>
    <xf numFmtId="0" fontId="0" fillId="8" borderId="125" xfId="0" applyFill="1" applyBorder="1"/>
    <xf numFmtId="0" fontId="0" fillId="8" borderId="140" xfId="0" applyFill="1" applyBorder="1"/>
    <xf numFmtId="0" fontId="0" fillId="8" borderId="151" xfId="0" applyFill="1" applyBorder="1"/>
    <xf numFmtId="0" fontId="0" fillId="8" borderId="153" xfId="0" applyFill="1" applyBorder="1"/>
    <xf numFmtId="0" fontId="0" fillId="8" borderId="141" xfId="0" applyFill="1" applyBorder="1"/>
    <xf numFmtId="0" fontId="16" fillId="6" borderId="52" xfId="0" applyFont="1" applyFill="1" applyBorder="1" applyAlignment="1" applyProtection="1">
      <alignment horizontal="right"/>
    </xf>
    <xf numFmtId="165" fontId="16" fillId="6" borderId="156" xfId="0" applyNumberFormat="1" applyFont="1" applyFill="1" applyBorder="1" applyAlignment="1" applyProtection="1">
      <alignment horizontal="right"/>
    </xf>
    <xf numFmtId="0" fontId="16" fillId="6" borderId="124" xfId="0" applyFont="1" applyFill="1" applyBorder="1" applyAlignment="1" applyProtection="1">
      <alignment horizontal="right"/>
    </xf>
    <xf numFmtId="165" fontId="16" fillId="6" borderId="157" xfId="0" applyNumberFormat="1" applyFont="1" applyFill="1" applyBorder="1" applyAlignment="1" applyProtection="1">
      <alignment horizontal="right"/>
    </xf>
    <xf numFmtId="0" fontId="16" fillId="6" borderId="42" xfId="0" applyFont="1" applyFill="1" applyBorder="1" applyAlignment="1" applyProtection="1">
      <alignment horizontal="right"/>
    </xf>
    <xf numFmtId="0" fontId="16" fillId="10" borderId="124" xfId="0" applyFont="1" applyFill="1" applyBorder="1" applyAlignment="1" applyProtection="1">
      <alignment horizontal="right"/>
    </xf>
    <xf numFmtId="0" fontId="16" fillId="10" borderId="160" xfId="0" applyFont="1" applyFill="1" applyBorder="1" applyAlignment="1" applyProtection="1">
      <alignment horizontal="right"/>
    </xf>
    <xf numFmtId="4" fontId="0" fillId="10" borderId="142" xfId="0" applyNumberFormat="1" applyFill="1" applyBorder="1"/>
    <xf numFmtId="4" fontId="0" fillId="10" borderId="40" xfId="0" applyNumberFormat="1" applyFill="1" applyBorder="1"/>
    <xf numFmtId="4" fontId="0" fillId="6" borderId="151" xfId="0" applyNumberFormat="1" applyFill="1" applyBorder="1"/>
    <xf numFmtId="4" fontId="0" fillId="6" borderId="125" xfId="0" applyNumberFormat="1" applyFill="1" applyBorder="1"/>
    <xf numFmtId="4" fontId="0" fillId="6" borderId="51" xfId="0" applyNumberFormat="1" applyFill="1" applyBorder="1"/>
    <xf numFmtId="0" fontId="0" fillId="5" borderId="0" xfId="0" applyFill="1" applyAlignment="1">
      <alignment horizontal="center" vertical="top"/>
    </xf>
    <xf numFmtId="0" fontId="0" fillId="6" borderId="124" xfId="0" applyFill="1" applyBorder="1"/>
    <xf numFmtId="4" fontId="0" fillId="6" borderId="124" xfId="0" applyNumberFormat="1" applyFill="1" applyBorder="1"/>
    <xf numFmtId="4" fontId="0" fillId="10" borderId="145" xfId="0" applyNumberFormat="1" applyFill="1" applyBorder="1"/>
    <xf numFmtId="4" fontId="0" fillId="10" borderId="41" xfId="0" applyNumberFormat="1" applyFill="1" applyBorder="1"/>
    <xf numFmtId="166" fontId="0" fillId="10" borderId="43" xfId="0" applyNumberFormat="1" applyFill="1" applyBorder="1"/>
    <xf numFmtId="166" fontId="0" fillId="10" borderId="148" xfId="0" applyNumberFormat="1" applyFill="1" applyBorder="1"/>
    <xf numFmtId="0" fontId="37" fillId="8" borderId="97" xfId="0" applyFont="1" applyFill="1" applyBorder="1" applyAlignment="1" applyProtection="1">
      <alignment horizontal="left"/>
    </xf>
    <xf numFmtId="0" fontId="38" fillId="0" borderId="95" xfId="0" applyFont="1" applyBorder="1" applyAlignment="1" applyProtection="1">
      <alignment horizontal="left"/>
    </xf>
    <xf numFmtId="0" fontId="37" fillId="0" borderId="0" xfId="0" applyFont="1" applyAlignment="1" applyProtection="1">
      <alignment horizontal="right"/>
    </xf>
    <xf numFmtId="0" fontId="37" fillId="8" borderId="102" xfId="0" applyFont="1" applyFill="1" applyBorder="1" applyAlignment="1" applyProtection="1">
      <alignment horizontal="left"/>
    </xf>
    <xf numFmtId="0" fontId="37" fillId="0" borderId="0" xfId="0" applyFont="1" applyBorder="1" applyAlignment="1" applyProtection="1">
      <alignment horizontal="right"/>
    </xf>
    <xf numFmtId="0" fontId="37" fillId="8" borderId="154" xfId="0" applyFont="1" applyFill="1" applyBorder="1" applyAlignment="1" applyProtection="1">
      <alignment horizontal="left" wrapText="1"/>
    </xf>
    <xf numFmtId="0" fontId="38" fillId="0" borderId="149" xfId="0" applyFont="1" applyBorder="1" applyAlignment="1" applyProtection="1">
      <alignment horizontal="left"/>
    </xf>
    <xf numFmtId="16" fontId="38" fillId="0" borderId="95" xfId="0" applyNumberFormat="1" applyFont="1" applyBorder="1" applyAlignment="1" applyProtection="1">
      <alignment horizontal="left"/>
    </xf>
    <xf numFmtId="0" fontId="38" fillId="0" borderId="0" xfId="0" applyFont="1" applyAlignment="1" applyProtection="1">
      <alignment horizontal="left"/>
    </xf>
    <xf numFmtId="0" fontId="38" fillId="0" borderId="93" xfId="0" applyFont="1" applyBorder="1" applyAlignment="1" applyProtection="1">
      <alignment horizontal="left"/>
    </xf>
    <xf numFmtId="0" fontId="38" fillId="0" borderId="0" xfId="0" applyFont="1" applyBorder="1" applyAlignment="1" applyProtection="1">
      <alignment horizontal="left"/>
    </xf>
    <xf numFmtId="0" fontId="37" fillId="8" borderId="0" xfId="0" applyFont="1" applyFill="1" applyAlignment="1" applyProtection="1">
      <alignment horizontal="left"/>
    </xf>
    <xf numFmtId="0" fontId="0" fillId="0" borderId="0" xfId="0" applyFont="1" applyAlignment="1">
      <alignment wrapText="1"/>
    </xf>
    <xf numFmtId="0" fontId="0" fillId="0" borderId="93" xfId="0" applyFont="1" applyBorder="1" applyAlignment="1">
      <alignment wrapText="1"/>
    </xf>
    <xf numFmtId="0" fontId="0" fillId="0" borderId="95" xfId="0" applyFont="1" applyBorder="1" applyAlignment="1">
      <alignment wrapText="1"/>
    </xf>
    <xf numFmtId="3" fontId="0" fillId="0" borderId="0" xfId="0" applyNumberFormat="1" applyFill="1" applyAlignment="1" applyProtection="1">
      <alignment horizontal="center" vertical="top"/>
      <protection locked="0"/>
    </xf>
    <xf numFmtId="0" fontId="12" fillId="6" borderId="13" xfId="0" applyFont="1" applyFill="1" applyBorder="1" applyAlignment="1">
      <alignment horizontal="center" vertical="center"/>
    </xf>
    <xf numFmtId="1" fontId="0" fillId="0" borderId="0" xfId="0" applyNumberFormat="1" applyFill="1" applyAlignment="1" applyProtection="1">
      <alignment horizontal="center" vertical="top"/>
      <protection locked="0"/>
    </xf>
    <xf numFmtId="0" fontId="0" fillId="5" borderId="0" xfId="0" applyFill="1" applyBorder="1" applyAlignment="1" applyProtection="1">
      <alignment vertical="center"/>
      <protection locked="0"/>
    </xf>
    <xf numFmtId="0" fontId="0" fillId="5" borderId="25" xfId="0" applyFill="1" applyBorder="1"/>
    <xf numFmtId="0" fontId="12" fillId="6" borderId="1" xfId="0" applyFont="1" applyFill="1" applyBorder="1" applyAlignment="1">
      <alignment horizontal="center" vertical="center"/>
    </xf>
    <xf numFmtId="0" fontId="12" fillId="8" borderId="1" xfId="0" applyFont="1" applyFill="1" applyBorder="1" applyAlignment="1">
      <alignment horizontal="center" vertical="center"/>
    </xf>
    <xf numFmtId="0" fontId="0" fillId="5" borderId="3" xfId="0" applyFont="1" applyFill="1" applyBorder="1" applyAlignment="1">
      <alignment vertical="center"/>
    </xf>
    <xf numFmtId="0" fontId="20" fillId="5" borderId="3" xfId="0" applyFont="1" applyFill="1" applyBorder="1" applyAlignment="1">
      <alignment horizontal="left" vertical="center" wrapText="1"/>
    </xf>
    <xf numFmtId="0" fontId="12" fillId="8" borderId="36" xfId="0" applyFont="1" applyFill="1" applyBorder="1" applyAlignment="1">
      <alignment horizontal="center" vertical="center"/>
    </xf>
    <xf numFmtId="0" fontId="12" fillId="8" borderId="167" xfId="0" applyFont="1" applyFill="1" applyBorder="1" applyAlignment="1">
      <alignment horizontal="center" vertical="center"/>
    </xf>
    <xf numFmtId="0" fontId="12" fillId="8" borderId="13" xfId="0" applyFont="1" applyFill="1" applyBorder="1" applyAlignment="1">
      <alignment horizontal="center" vertical="top"/>
    </xf>
    <xf numFmtId="0" fontId="0" fillId="5" borderId="102" xfId="0" applyFill="1" applyBorder="1"/>
    <xf numFmtId="0" fontId="12" fillId="5" borderId="170" xfId="0" applyFont="1" applyFill="1" applyBorder="1"/>
    <xf numFmtId="167" fontId="12" fillId="0" borderId="13" xfId="0" applyNumberFormat="1" applyFont="1" applyFill="1" applyBorder="1" applyAlignment="1">
      <alignment horizontal="center" vertical="center"/>
    </xf>
    <xf numFmtId="1" fontId="0" fillId="5" borderId="0" xfId="0" applyNumberFormat="1" applyFill="1" applyAlignment="1" applyProtection="1">
      <alignment horizontal="center" vertical="top"/>
    </xf>
    <xf numFmtId="0" fontId="0" fillId="5" borderId="0" xfId="0" applyFill="1" applyAlignment="1" applyProtection="1">
      <alignment horizontal="center" vertical="top"/>
    </xf>
    <xf numFmtId="3" fontId="0" fillId="5" borderId="0" xfId="0" applyNumberFormat="1" applyFill="1" applyAlignment="1" applyProtection="1">
      <alignment horizontal="center" vertical="top"/>
    </xf>
    <xf numFmtId="0" fontId="0" fillId="5" borderId="4" xfId="0" applyFill="1" applyBorder="1" applyAlignment="1">
      <alignment vertical="center"/>
    </xf>
    <xf numFmtId="0" fontId="12" fillId="0" borderId="13" xfId="0" applyFont="1" applyBorder="1"/>
    <xf numFmtId="0" fontId="12" fillId="0" borderId="13" xfId="0" applyFont="1" applyBorder="1" applyAlignment="1">
      <alignment horizontal="center"/>
    </xf>
    <xf numFmtId="0" fontId="13" fillId="0" borderId="13" xfId="0" applyFont="1" applyBorder="1"/>
    <xf numFmtId="0" fontId="13" fillId="0" borderId="13" xfId="0" applyFont="1" applyBorder="1" applyAlignment="1">
      <alignment horizontal="center"/>
    </xf>
    <xf numFmtId="3" fontId="12" fillId="0" borderId="13" xfId="0" applyNumberFormat="1" applyFont="1" applyBorder="1" applyAlignment="1">
      <alignment horizontal="center"/>
    </xf>
    <xf numFmtId="0" fontId="12" fillId="0" borderId="0" xfId="0" applyFont="1" applyBorder="1" applyAlignment="1">
      <alignment horizontal="center"/>
    </xf>
    <xf numFmtId="0" fontId="27" fillId="0" borderId="13" xfId="0" applyFont="1" applyBorder="1" applyAlignment="1">
      <alignment horizontal="center"/>
    </xf>
    <xf numFmtId="0" fontId="11" fillId="0" borderId="13" xfId="0" applyFont="1" applyBorder="1"/>
    <xf numFmtId="0" fontId="11" fillId="0" borderId="13" xfId="0" applyFont="1" applyBorder="1" applyAlignment="1">
      <alignment horizontal="center"/>
    </xf>
    <xf numFmtId="3" fontId="11" fillId="0" borderId="13" xfId="0" applyNumberFormat="1" applyFont="1" applyBorder="1" applyAlignment="1">
      <alignment horizontal="center"/>
    </xf>
    <xf numFmtId="49" fontId="11" fillId="0" borderId="13" xfId="0" applyNumberFormat="1" applyFont="1" applyBorder="1"/>
    <xf numFmtId="0" fontId="27" fillId="0" borderId="13" xfId="0" applyFont="1" applyBorder="1" applyAlignment="1">
      <alignment horizontal="left"/>
    </xf>
    <xf numFmtId="0" fontId="12" fillId="0" borderId="1" xfId="0" applyFont="1" applyBorder="1" applyAlignment="1">
      <alignment horizontal="center" vertical="center"/>
    </xf>
    <xf numFmtId="0" fontId="13" fillId="0" borderId="13" xfId="0" applyFont="1" applyFill="1" applyBorder="1" applyAlignment="1">
      <alignment horizontal="center"/>
    </xf>
    <xf numFmtId="0" fontId="27" fillId="0" borderId="13" xfId="0" applyFont="1" applyFill="1" applyBorder="1" applyAlignment="1">
      <alignment horizontal="center"/>
    </xf>
    <xf numFmtId="0" fontId="11" fillId="0" borderId="13" xfId="0" applyFont="1" applyFill="1" applyBorder="1"/>
    <xf numFmtId="168" fontId="12" fillId="0" borderId="13" xfId="0" applyNumberFormat="1" applyFont="1" applyFill="1" applyBorder="1" applyAlignment="1">
      <alignment horizontal="center" vertical="center"/>
    </xf>
    <xf numFmtId="4" fontId="12" fillId="0" borderId="13" xfId="0" applyNumberFormat="1" applyFont="1" applyBorder="1" applyAlignment="1">
      <alignment horizontal="center"/>
    </xf>
    <xf numFmtId="169" fontId="12" fillId="0" borderId="13" xfId="0" applyNumberFormat="1" applyFont="1" applyBorder="1" applyAlignment="1">
      <alignment horizontal="center"/>
    </xf>
    <xf numFmtId="169" fontId="11" fillId="0" borderId="13" xfId="0" applyNumberFormat="1" applyFont="1" applyBorder="1" applyAlignment="1">
      <alignment horizontal="center"/>
    </xf>
    <xf numFmtId="170" fontId="11" fillId="0" borderId="13" xfId="0" applyNumberFormat="1" applyFont="1" applyBorder="1" applyAlignment="1">
      <alignment horizontal="center"/>
    </xf>
    <xf numFmtId="0" fontId="12" fillId="0" borderId="13" xfId="0" applyFont="1" applyBorder="1" applyAlignment="1">
      <alignment vertical="center"/>
    </xf>
    <xf numFmtId="0" fontId="12" fillId="0" borderId="13" xfId="0" applyFont="1" applyBorder="1" applyAlignment="1">
      <alignment horizontal="center" vertical="center"/>
    </xf>
    <xf numFmtId="3" fontId="12" fillId="0" borderId="13" xfId="0" applyNumberFormat="1" applyFont="1" applyBorder="1" applyAlignment="1">
      <alignment horizontal="center" vertical="center"/>
    </xf>
    <xf numFmtId="0" fontId="12" fillId="0" borderId="1" xfId="0" applyFont="1" applyBorder="1" applyAlignment="1">
      <alignment vertical="center"/>
    </xf>
    <xf numFmtId="4" fontId="12" fillId="0" borderId="13" xfId="0" applyNumberFormat="1" applyFont="1" applyBorder="1" applyAlignment="1">
      <alignment horizontal="center" vertical="center"/>
    </xf>
    <xf numFmtId="169" fontId="12" fillId="0" borderId="1" xfId="0" applyNumberFormat="1" applyFont="1" applyBorder="1" applyAlignment="1">
      <alignment horizontal="center" vertical="center"/>
    </xf>
    <xf numFmtId="3" fontId="12" fillId="0" borderId="1" xfId="0" applyNumberFormat="1" applyFont="1" applyBorder="1" applyAlignment="1">
      <alignment horizontal="center" vertical="center"/>
    </xf>
    <xf numFmtId="4" fontId="12" fillId="0" borderId="1" xfId="0" applyNumberFormat="1" applyFont="1" applyBorder="1" applyAlignment="1">
      <alignment horizontal="center" vertical="center"/>
    </xf>
    <xf numFmtId="4" fontId="11" fillId="0" borderId="13" xfId="0" applyNumberFormat="1" applyFont="1" applyBorder="1" applyAlignment="1">
      <alignment horizontal="center"/>
    </xf>
    <xf numFmtId="166" fontId="0" fillId="0" borderId="0" xfId="0" applyNumberFormat="1"/>
    <xf numFmtId="4" fontId="0" fillId="8" borderId="0" xfId="0" applyNumberFormat="1" applyFill="1"/>
    <xf numFmtId="0" fontId="0" fillId="0" borderId="0" xfId="0" quotePrefix="1" applyAlignment="1">
      <alignment horizontal="center"/>
    </xf>
    <xf numFmtId="166" fontId="0" fillId="0" borderId="0" xfId="0" quotePrefix="1" applyNumberFormat="1" applyAlignment="1">
      <alignment horizontal="center"/>
    </xf>
    <xf numFmtId="169" fontId="12" fillId="0" borderId="13" xfId="0" applyNumberFormat="1" applyFont="1" applyBorder="1" applyAlignment="1">
      <alignment horizontal="center" vertical="center"/>
    </xf>
    <xf numFmtId="4" fontId="11" fillId="0" borderId="0" xfId="0" applyNumberFormat="1" applyFont="1" applyAlignment="1">
      <alignment horizontal="center"/>
    </xf>
    <xf numFmtId="0" fontId="0" fillId="2" borderId="0" xfId="0" applyFill="1"/>
    <xf numFmtId="0" fontId="11" fillId="0" borderId="14" xfId="0" applyFont="1" applyFill="1" applyBorder="1"/>
    <xf numFmtId="169" fontId="11" fillId="0" borderId="70" xfId="0" applyNumberFormat="1" applyFont="1" applyBorder="1" applyAlignment="1">
      <alignment horizontal="center"/>
    </xf>
    <xf numFmtId="0" fontId="11" fillId="0" borderId="26" xfId="0" applyFont="1" applyBorder="1" applyAlignment="1">
      <alignment horizontal="center"/>
    </xf>
    <xf numFmtId="4" fontId="11" fillId="0" borderId="1" xfId="0" applyNumberFormat="1" applyFont="1" applyBorder="1" applyAlignment="1">
      <alignment horizontal="center"/>
    </xf>
    <xf numFmtId="0" fontId="12" fillId="0" borderId="12" xfId="0" applyFont="1" applyBorder="1" applyAlignment="1">
      <alignment vertical="center"/>
    </xf>
    <xf numFmtId="0" fontId="12" fillId="0" borderId="12" xfId="0" applyFont="1" applyBorder="1" applyAlignment="1">
      <alignment horizontal="center" vertical="center"/>
    </xf>
    <xf numFmtId="0" fontId="12" fillId="0" borderId="26" xfId="0" applyFont="1" applyBorder="1" applyAlignment="1">
      <alignment horizontal="center" vertical="center"/>
    </xf>
    <xf numFmtId="0" fontId="12" fillId="0" borderId="1" xfId="0" applyFont="1" applyFill="1" applyBorder="1"/>
    <xf numFmtId="0" fontId="1" fillId="0" borderId="1" xfId="0" applyFont="1" applyBorder="1" applyAlignment="1">
      <alignment horizontal="center" vertical="center"/>
    </xf>
    <xf numFmtId="0" fontId="0" fillId="0" borderId="1" xfId="0" applyFont="1" applyBorder="1" applyAlignment="1">
      <alignment horizontal="center" vertical="center"/>
    </xf>
    <xf numFmtId="0" fontId="1" fillId="3" borderId="0" xfId="0" applyFont="1" applyFill="1"/>
    <xf numFmtId="166" fontId="0" fillId="3" borderId="0" xfId="0" applyNumberFormat="1" applyFill="1"/>
    <xf numFmtId="0" fontId="7" fillId="14" borderId="0" xfId="0" applyFont="1" applyFill="1" applyBorder="1" applyAlignment="1">
      <alignment horizontal="center"/>
    </xf>
    <xf numFmtId="0" fontId="0" fillId="6" borderId="0" xfId="0" applyFill="1" applyAlignment="1">
      <alignment horizontal="center"/>
    </xf>
    <xf numFmtId="0" fontId="0" fillId="6" borderId="0" xfId="0" quotePrefix="1" applyFill="1" applyAlignment="1">
      <alignment horizontal="center"/>
    </xf>
    <xf numFmtId="166" fontId="0" fillId="6" borderId="0" xfId="0" quotePrefix="1" applyNumberFormat="1" applyFill="1" applyAlignment="1">
      <alignment horizontal="center"/>
    </xf>
    <xf numFmtId="0" fontId="0" fillId="3" borderId="125" xfId="0" applyFill="1" applyBorder="1"/>
    <xf numFmtId="166" fontId="0" fillId="3" borderId="125" xfId="0" applyNumberFormat="1" applyFill="1" applyBorder="1"/>
    <xf numFmtId="0" fontId="0" fillId="3" borderId="140" xfId="0" applyFill="1" applyBorder="1"/>
    <xf numFmtId="0" fontId="7" fillId="14" borderId="3" xfId="0" applyFont="1" applyFill="1" applyBorder="1" applyAlignment="1">
      <alignment horizontal="center"/>
    </xf>
    <xf numFmtId="0" fontId="0" fillId="3" borderId="158" xfId="0" applyFill="1" applyBorder="1"/>
    <xf numFmtId="0" fontId="0" fillId="0" borderId="174" xfId="0" applyBorder="1"/>
    <xf numFmtId="0" fontId="0" fillId="3" borderId="0" xfId="0" applyFill="1" applyBorder="1"/>
    <xf numFmtId="166" fontId="0" fillId="3" borderId="179" xfId="0" applyNumberFormat="1" applyFill="1" applyBorder="1"/>
    <xf numFmtId="0" fontId="0" fillId="3" borderId="30" xfId="0" applyFill="1" applyBorder="1"/>
    <xf numFmtId="0" fontId="0" fillId="0" borderId="174" xfId="0" quotePrefix="1" applyBorder="1" applyAlignment="1">
      <alignment horizontal="center"/>
    </xf>
    <xf numFmtId="166" fontId="0" fillId="6" borderId="8" xfId="0" quotePrefix="1" applyNumberFormat="1" applyFill="1" applyBorder="1" applyAlignment="1">
      <alignment horizontal="center"/>
    </xf>
    <xf numFmtId="0" fontId="0" fillId="6" borderId="174" xfId="0" quotePrefix="1" applyFill="1" applyBorder="1" applyAlignment="1">
      <alignment horizontal="center"/>
    </xf>
    <xf numFmtId="166" fontId="0" fillId="0" borderId="8" xfId="0" applyNumberFormat="1" applyBorder="1"/>
    <xf numFmtId="166" fontId="0" fillId="3" borderId="8" xfId="0" applyNumberFormat="1" applyFill="1" applyBorder="1"/>
    <xf numFmtId="166" fontId="0" fillId="0" borderId="8" xfId="0" quotePrefix="1" applyNumberFormat="1" applyBorder="1" applyAlignment="1">
      <alignment horizontal="center"/>
    </xf>
    <xf numFmtId="166" fontId="0" fillId="0" borderId="17" xfId="0" applyNumberFormat="1" applyBorder="1"/>
    <xf numFmtId="166" fontId="0" fillId="3" borderId="17" xfId="0" applyNumberFormat="1" applyFill="1" applyBorder="1"/>
    <xf numFmtId="166" fontId="0" fillId="3" borderId="180" xfId="0" applyNumberFormat="1" applyFill="1" applyBorder="1"/>
    <xf numFmtId="166" fontId="0" fillId="0" borderId="17" xfId="0" quotePrefix="1" applyNumberFormat="1" applyBorder="1" applyAlignment="1">
      <alignment horizontal="center"/>
    </xf>
    <xf numFmtId="166" fontId="0" fillId="6" borderId="17" xfId="0" quotePrefix="1" applyNumberFormat="1" applyFill="1" applyBorder="1" applyAlignment="1">
      <alignment horizontal="center"/>
    </xf>
    <xf numFmtId="0" fontId="0" fillId="8" borderId="17" xfId="0" applyFill="1" applyBorder="1"/>
    <xf numFmtId="4" fontId="0" fillId="8" borderId="17" xfId="0" applyNumberFormat="1" applyFill="1" applyBorder="1"/>
    <xf numFmtId="0" fontId="0" fillId="3" borderId="180" xfId="0" applyFill="1" applyBorder="1"/>
    <xf numFmtId="0" fontId="0" fillId="0" borderId="17" xfId="0" applyBorder="1"/>
    <xf numFmtId="0" fontId="0" fillId="3" borderId="17" xfId="0" applyFill="1" applyBorder="1"/>
    <xf numFmtId="0" fontId="0" fillId="8" borderId="38" xfId="0" applyFill="1" applyBorder="1"/>
    <xf numFmtId="0" fontId="0" fillId="3" borderId="5" xfId="0" applyFont="1" applyFill="1" applyBorder="1"/>
    <xf numFmtId="0" fontId="1" fillId="3" borderId="176" xfId="0" applyFont="1" applyFill="1" applyBorder="1" applyAlignment="1">
      <alignment horizontal="center"/>
    </xf>
    <xf numFmtId="0" fontId="1" fillId="3" borderId="177" xfId="0" applyFont="1" applyFill="1" applyBorder="1" applyAlignment="1">
      <alignment horizontal="center"/>
    </xf>
    <xf numFmtId="0" fontId="1" fillId="3" borderId="175" xfId="0" applyFont="1" applyFill="1" applyBorder="1" applyAlignment="1">
      <alignment horizontal="center"/>
    </xf>
    <xf numFmtId="0" fontId="1" fillId="3" borderId="178" xfId="0" applyFont="1" applyFill="1" applyBorder="1" applyAlignment="1">
      <alignment horizontal="center"/>
    </xf>
    <xf numFmtId="0" fontId="1" fillId="3" borderId="0" xfId="0" applyFont="1" applyFill="1" applyBorder="1" applyAlignment="1">
      <alignment horizontal="center"/>
    </xf>
    <xf numFmtId="0" fontId="1" fillId="3" borderId="124" xfId="0" applyFont="1" applyFill="1" applyBorder="1" applyAlignment="1">
      <alignment horizontal="center"/>
    </xf>
    <xf numFmtId="0" fontId="1" fillId="3" borderId="42" xfId="0" applyFont="1" applyFill="1" applyBorder="1" applyAlignment="1">
      <alignment horizontal="center"/>
    </xf>
    <xf numFmtId="0" fontId="1" fillId="3" borderId="158" xfId="0" applyFont="1" applyFill="1" applyBorder="1" applyAlignment="1">
      <alignment horizontal="center"/>
    </xf>
    <xf numFmtId="0" fontId="1" fillId="3" borderId="183" xfId="0" applyFont="1" applyFill="1" applyBorder="1" applyAlignment="1">
      <alignment horizontal="center"/>
    </xf>
    <xf numFmtId="0" fontId="1" fillId="3" borderId="182" xfId="0" applyFont="1" applyFill="1" applyBorder="1" applyAlignment="1">
      <alignment horizontal="center"/>
    </xf>
    <xf numFmtId="0" fontId="1" fillId="3" borderId="184" xfId="0" applyFont="1" applyFill="1" applyBorder="1" applyAlignment="1">
      <alignment horizontal="center"/>
    </xf>
    <xf numFmtId="0" fontId="1" fillId="3" borderId="85" xfId="0" applyFont="1" applyFill="1" applyBorder="1" applyAlignment="1">
      <alignment horizontal="center"/>
    </xf>
    <xf numFmtId="0" fontId="1" fillId="3" borderId="185" xfId="0" applyFont="1" applyFill="1" applyBorder="1" applyAlignment="1">
      <alignment horizontal="center"/>
    </xf>
    <xf numFmtId="0" fontId="1" fillId="3" borderId="168" xfId="0" applyFont="1" applyFill="1" applyBorder="1" applyAlignment="1">
      <alignment horizontal="center"/>
    </xf>
    <xf numFmtId="0" fontId="1" fillId="3" borderId="157" xfId="0" applyFont="1" applyFill="1" applyBorder="1" applyAlignment="1">
      <alignment horizontal="center"/>
    </xf>
    <xf numFmtId="0" fontId="7" fillId="14" borderId="21" xfId="0" applyFont="1" applyFill="1" applyBorder="1" applyAlignment="1">
      <alignment horizontal="center"/>
    </xf>
    <xf numFmtId="0" fontId="7" fillId="14" borderId="188" xfId="0" applyFont="1" applyFill="1" applyBorder="1" applyAlignment="1">
      <alignment horizontal="center"/>
    </xf>
    <xf numFmtId="0" fontId="7" fillId="14" borderId="189" xfId="0" applyFont="1" applyFill="1" applyBorder="1" applyAlignment="1">
      <alignment horizontal="center"/>
    </xf>
    <xf numFmtId="0" fontId="7" fillId="14" borderId="190" xfId="0" applyFont="1" applyFill="1" applyBorder="1" applyAlignment="1">
      <alignment horizontal="center"/>
    </xf>
    <xf numFmtId="0" fontId="7" fillId="14" borderId="38" xfId="0" applyFont="1" applyFill="1" applyBorder="1" applyAlignment="1">
      <alignment horizontal="center"/>
    </xf>
    <xf numFmtId="0" fontId="7" fillId="14" borderId="89" xfId="0" applyFont="1" applyFill="1" applyBorder="1" applyAlignment="1">
      <alignment horizontal="center"/>
    </xf>
    <xf numFmtId="0" fontId="7" fillId="14" borderId="28" xfId="0" applyFont="1" applyFill="1" applyBorder="1" applyAlignment="1">
      <alignment horizontal="center"/>
    </xf>
    <xf numFmtId="0" fontId="7" fillId="14" borderId="129" xfId="0" applyFont="1" applyFill="1" applyBorder="1" applyAlignment="1">
      <alignment horizontal="center"/>
    </xf>
    <xf numFmtId="0" fontId="7" fillId="14" borderId="72" xfId="0" applyFont="1" applyFill="1" applyBorder="1" applyAlignment="1">
      <alignment horizontal="center"/>
    </xf>
    <xf numFmtId="0" fontId="7" fillId="14" borderId="191" xfId="0" applyFont="1" applyFill="1" applyBorder="1" applyAlignment="1">
      <alignment horizontal="center"/>
    </xf>
    <xf numFmtId="0" fontId="0" fillId="5" borderId="181" xfId="0" applyFill="1" applyBorder="1"/>
    <xf numFmtId="0" fontId="0" fillId="0" borderId="0" xfId="0" applyFont="1" applyFill="1" applyBorder="1"/>
    <xf numFmtId="0" fontId="0" fillId="0" borderId="0" xfId="0" applyFont="1" applyFill="1" applyBorder="1" applyAlignment="1">
      <alignment horizontal="center"/>
    </xf>
    <xf numFmtId="0" fontId="0" fillId="8" borderId="0" xfId="0" applyFont="1" applyFill="1" applyBorder="1" applyAlignment="1">
      <alignment horizontal="center"/>
    </xf>
    <xf numFmtId="0" fontId="0" fillId="8" borderId="17" xfId="0" applyFont="1" applyFill="1" applyBorder="1" applyAlignment="1">
      <alignment horizontal="center"/>
    </xf>
    <xf numFmtId="3" fontId="0" fillId="0" borderId="0" xfId="0" applyNumberFormat="1" applyFont="1" applyFill="1" applyBorder="1" applyAlignment="1">
      <alignment horizontal="center"/>
    </xf>
    <xf numFmtId="3" fontId="0" fillId="8" borderId="0" xfId="0" applyNumberFormat="1" applyFont="1" applyFill="1" applyBorder="1" applyAlignment="1">
      <alignment horizontal="center"/>
    </xf>
    <xf numFmtId="0" fontId="0" fillId="8" borderId="0" xfId="0" applyFill="1" applyAlignment="1">
      <alignment horizontal="center"/>
    </xf>
    <xf numFmtId="0" fontId="0" fillId="0" borderId="0" xfId="0" applyFill="1" applyAlignment="1">
      <alignment horizontal="center"/>
    </xf>
    <xf numFmtId="3" fontId="0" fillId="0" borderId="0" xfId="0" quotePrefix="1" applyNumberFormat="1" applyFont="1" applyFill="1" applyBorder="1" applyAlignment="1">
      <alignment horizontal="center"/>
    </xf>
    <xf numFmtId="0" fontId="0" fillId="0" borderId="0" xfId="0" quotePrefix="1" applyFont="1" applyFill="1" applyBorder="1" applyAlignment="1">
      <alignment horizontal="center"/>
    </xf>
    <xf numFmtId="0" fontId="0" fillId="0" borderId="17" xfId="0" applyFont="1" applyFill="1" applyBorder="1" applyAlignment="1">
      <alignment horizontal="center"/>
    </xf>
    <xf numFmtId="3" fontId="0" fillId="6" borderId="0" xfId="0" applyNumberFormat="1" applyFill="1" applyAlignment="1">
      <alignment horizontal="center"/>
    </xf>
    <xf numFmtId="3" fontId="0" fillId="0" borderId="0" xfId="0" applyNumberFormat="1" applyFill="1" applyAlignment="1">
      <alignment horizontal="center"/>
    </xf>
    <xf numFmtId="3" fontId="0" fillId="0" borderId="0" xfId="0" applyNumberFormat="1" applyAlignment="1">
      <alignment horizontal="center"/>
    </xf>
    <xf numFmtId="4" fontId="0" fillId="6" borderId="0" xfId="0" applyNumberFormat="1" applyFill="1" applyAlignment="1">
      <alignment horizontal="center"/>
    </xf>
    <xf numFmtId="166" fontId="0" fillId="0" borderId="0" xfId="0" applyNumberFormat="1" applyAlignment="1">
      <alignment horizontal="center"/>
    </xf>
    <xf numFmtId="166" fontId="0" fillId="6" borderId="0" xfId="0" applyNumberFormat="1" applyFill="1" applyAlignment="1">
      <alignment horizontal="center"/>
    </xf>
    <xf numFmtId="166" fontId="0" fillId="0" borderId="0" xfId="0" applyNumberFormat="1" applyFill="1" applyAlignment="1">
      <alignment horizontal="center"/>
    </xf>
    <xf numFmtId="0" fontId="0" fillId="6" borderId="174" xfId="0" applyFill="1" applyBorder="1" applyAlignment="1">
      <alignment horizontal="center"/>
    </xf>
    <xf numFmtId="0" fontId="0" fillId="8" borderId="174" xfId="0" applyFill="1" applyBorder="1" applyAlignment="1">
      <alignment horizontal="center"/>
    </xf>
    <xf numFmtId="3" fontId="0" fillId="8" borderId="0" xfId="0" applyNumberFormat="1" applyFill="1" applyAlignment="1">
      <alignment horizontal="center"/>
    </xf>
    <xf numFmtId="166" fontId="0" fillId="8" borderId="0" xfId="0" applyNumberFormat="1" applyFill="1" applyAlignment="1">
      <alignment horizontal="center"/>
    </xf>
    <xf numFmtId="0" fontId="0" fillId="0" borderId="174" xfId="0" applyBorder="1" applyAlignment="1">
      <alignment horizontal="center"/>
    </xf>
    <xf numFmtId="4" fontId="0" fillId="6" borderId="174" xfId="0" applyNumberFormat="1" applyFill="1" applyBorder="1" applyAlignment="1">
      <alignment horizontal="center"/>
    </xf>
    <xf numFmtId="166" fontId="0" fillId="6" borderId="8" xfId="0" applyNumberFormat="1" applyFill="1" applyBorder="1" applyAlignment="1">
      <alignment horizontal="center"/>
    </xf>
    <xf numFmtId="166" fontId="0" fillId="0" borderId="8" xfId="0" applyNumberFormat="1" applyBorder="1" applyAlignment="1">
      <alignment horizontal="center"/>
    </xf>
    <xf numFmtId="166" fontId="0" fillId="6" borderId="17" xfId="0" applyNumberFormat="1" applyFill="1" applyBorder="1" applyAlignment="1">
      <alignment horizontal="center"/>
    </xf>
    <xf numFmtId="0" fontId="0" fillId="8" borderId="17" xfId="0" applyFill="1" applyBorder="1" applyAlignment="1">
      <alignment horizontal="center"/>
    </xf>
    <xf numFmtId="166" fontId="0" fillId="8" borderId="8" xfId="0" applyNumberFormat="1" applyFill="1" applyBorder="1" applyAlignment="1">
      <alignment horizontal="center"/>
    </xf>
    <xf numFmtId="166" fontId="0" fillId="8" borderId="17" xfId="0" applyNumberFormat="1" applyFill="1" applyBorder="1" applyAlignment="1">
      <alignment horizontal="center"/>
    </xf>
    <xf numFmtId="3" fontId="0" fillId="6" borderId="174" xfId="0" applyNumberFormat="1" applyFill="1" applyBorder="1" applyAlignment="1">
      <alignment horizontal="center"/>
    </xf>
    <xf numFmtId="166" fontId="0" fillId="0" borderId="17" xfId="0" applyNumberFormat="1" applyBorder="1" applyAlignment="1">
      <alignment horizontal="center"/>
    </xf>
    <xf numFmtId="4" fontId="0" fillId="8" borderId="0" xfId="0" applyNumberFormat="1" applyFill="1" applyAlignment="1">
      <alignment horizontal="center"/>
    </xf>
    <xf numFmtId="4" fontId="0" fillId="8" borderId="17" xfId="0" applyNumberFormat="1" applyFill="1" applyBorder="1" applyAlignment="1">
      <alignment horizontal="center"/>
    </xf>
    <xf numFmtId="9" fontId="0" fillId="6" borderId="0" xfId="0" applyNumberFormat="1" applyFill="1" applyAlignment="1">
      <alignment horizontal="center"/>
    </xf>
    <xf numFmtId="4" fontId="0" fillId="0" borderId="0" xfId="0" applyNumberFormat="1" applyAlignment="1">
      <alignment horizontal="center"/>
    </xf>
    <xf numFmtId="0" fontId="0" fillId="3" borderId="0" xfId="0" applyFill="1" applyAlignment="1">
      <alignment horizontal="center"/>
    </xf>
    <xf numFmtId="0" fontId="0" fillId="3" borderId="125" xfId="0" applyFill="1" applyBorder="1" applyAlignment="1">
      <alignment horizontal="center"/>
    </xf>
    <xf numFmtId="166" fontId="0" fillId="3" borderId="179" xfId="0" applyNumberFormat="1" applyFill="1" applyBorder="1" applyAlignment="1">
      <alignment horizontal="center"/>
    </xf>
    <xf numFmtId="0" fontId="0" fillId="3" borderId="0" xfId="0" applyFill="1" applyBorder="1" applyAlignment="1">
      <alignment horizontal="center"/>
    </xf>
    <xf numFmtId="0" fontId="0" fillId="3" borderId="140" xfId="0" applyFill="1" applyBorder="1" applyAlignment="1">
      <alignment horizontal="center"/>
    </xf>
    <xf numFmtId="166" fontId="0" fillId="3" borderId="17" xfId="0" applyNumberFormat="1" applyFill="1" applyBorder="1" applyAlignment="1">
      <alignment horizontal="center"/>
    </xf>
    <xf numFmtId="166" fontId="0" fillId="3" borderId="180" xfId="0" applyNumberFormat="1" applyFill="1" applyBorder="1" applyAlignment="1">
      <alignment horizontal="center"/>
    </xf>
    <xf numFmtId="0" fontId="0" fillId="3" borderId="4" xfId="0" applyFill="1" applyBorder="1" applyAlignment="1">
      <alignment horizontal="center"/>
    </xf>
    <xf numFmtId="0" fontId="0" fillId="3" borderId="180" xfId="0" applyFill="1" applyBorder="1" applyAlignment="1">
      <alignment horizontal="center"/>
    </xf>
    <xf numFmtId="166" fontId="0" fillId="3" borderId="0" xfId="0" applyNumberFormat="1" applyFill="1" applyAlignment="1">
      <alignment horizontal="center"/>
    </xf>
    <xf numFmtId="166" fontId="0" fillId="6" borderId="174" xfId="0" applyNumberFormat="1" applyFill="1" applyBorder="1" applyAlignment="1">
      <alignment horizontal="center"/>
    </xf>
    <xf numFmtId="0" fontId="0" fillId="0" borderId="174" xfId="0" applyFill="1" applyBorder="1" applyAlignment="1">
      <alignment horizontal="center"/>
    </xf>
    <xf numFmtId="166" fontId="0" fillId="0" borderId="8" xfId="0" applyNumberFormat="1" applyFill="1" applyBorder="1" applyAlignment="1">
      <alignment horizontal="center"/>
    </xf>
    <xf numFmtId="166" fontId="0" fillId="0" borderId="17" xfId="0" applyNumberFormat="1" applyFill="1" applyBorder="1" applyAlignment="1">
      <alignment horizontal="center"/>
    </xf>
    <xf numFmtId="3" fontId="0" fillId="0" borderId="174" xfId="0" applyNumberFormat="1" applyFill="1" applyBorder="1" applyAlignment="1">
      <alignment horizontal="center"/>
    </xf>
    <xf numFmtId="1" fontId="0" fillId="6" borderId="0" xfId="0" applyNumberFormat="1" applyFill="1" applyAlignment="1">
      <alignment horizontal="center"/>
    </xf>
    <xf numFmtId="4" fontId="0" fillId="0" borderId="0" xfId="0" applyNumberFormat="1" applyFill="1" applyAlignment="1">
      <alignment horizontal="center"/>
    </xf>
    <xf numFmtId="4" fontId="0" fillId="0" borderId="174" xfId="0" applyNumberFormat="1" applyFill="1" applyBorder="1" applyAlignment="1">
      <alignment horizontal="center"/>
    </xf>
    <xf numFmtId="2" fontId="0" fillId="0" borderId="0" xfId="0" applyNumberFormat="1" applyFill="1" applyAlignment="1">
      <alignment horizontal="center"/>
    </xf>
    <xf numFmtId="4" fontId="0" fillId="0" borderId="38" xfId="0" applyNumberFormat="1" applyBorder="1" applyAlignment="1">
      <alignment horizontal="center"/>
    </xf>
    <xf numFmtId="4" fontId="0" fillId="0" borderId="174" xfId="0" applyNumberFormat="1" applyBorder="1" applyAlignment="1">
      <alignment horizontal="center"/>
    </xf>
    <xf numFmtId="3" fontId="0" fillId="8" borderId="38" xfId="0" applyNumberFormat="1" applyFont="1" applyFill="1" applyBorder="1" applyAlignment="1">
      <alignment horizontal="center"/>
    </xf>
    <xf numFmtId="3" fontId="0" fillId="0" borderId="38" xfId="0" applyNumberFormat="1" applyFont="1" applyFill="1" applyBorder="1" applyAlignment="1">
      <alignment horizontal="center"/>
    </xf>
    <xf numFmtId="0" fontId="0" fillId="0" borderId="38" xfId="0" applyFont="1" applyFill="1" applyBorder="1" applyAlignment="1">
      <alignment horizontal="center"/>
    </xf>
    <xf numFmtId="0" fontId="0" fillId="0" borderId="38" xfId="0" quotePrefix="1" applyFont="1" applyFill="1" applyBorder="1" applyAlignment="1">
      <alignment horizontal="center"/>
    </xf>
    <xf numFmtId="0" fontId="0" fillId="0" borderId="17" xfId="0" quotePrefix="1" applyFont="1" applyFill="1" applyBorder="1" applyAlignment="1">
      <alignment horizontal="center"/>
    </xf>
    <xf numFmtId="3" fontId="0" fillId="0" borderId="38" xfId="0" quotePrefix="1" applyNumberFormat="1" applyFont="1" applyFill="1" applyBorder="1" applyAlignment="1">
      <alignment horizontal="center"/>
    </xf>
    <xf numFmtId="3" fontId="0" fillId="6" borderId="38" xfId="0" applyNumberFormat="1" applyFill="1" applyBorder="1" applyAlignment="1">
      <alignment horizontal="center"/>
    </xf>
    <xf numFmtId="3" fontId="0" fillId="8" borderId="38" xfId="0" applyNumberFormat="1" applyFill="1" applyBorder="1" applyAlignment="1">
      <alignment horizontal="center"/>
    </xf>
    <xf numFmtId="0" fontId="0" fillId="0" borderId="0" xfId="0" applyFill="1" applyAlignment="1">
      <alignment vertical="top"/>
    </xf>
    <xf numFmtId="0" fontId="0" fillId="3" borderId="45" xfId="0" applyFill="1" applyBorder="1" applyAlignment="1">
      <alignment horizontal="center" vertical="center" wrapText="1"/>
    </xf>
    <xf numFmtId="0" fontId="1" fillId="3" borderId="0" xfId="0" applyFont="1" applyFill="1" applyBorder="1"/>
    <xf numFmtId="0" fontId="0" fillId="0" borderId="0" xfId="0" quotePrefix="1"/>
    <xf numFmtId="3" fontId="0" fillId="0" borderId="0" xfId="0" applyNumberFormat="1"/>
    <xf numFmtId="14" fontId="0" fillId="0" borderId="0" xfId="0" applyNumberFormat="1"/>
    <xf numFmtId="0" fontId="0" fillId="0" borderId="0" xfId="0" applyAlignment="1">
      <alignment wrapText="1"/>
    </xf>
    <xf numFmtId="9" fontId="0" fillId="0" borderId="0" xfId="0" applyNumberFormat="1"/>
    <xf numFmtId="1" fontId="0" fillId="0" borderId="0" xfId="0" applyNumberFormat="1"/>
    <xf numFmtId="44" fontId="0" fillId="0" borderId="0" xfId="0" applyNumberFormat="1"/>
    <xf numFmtId="39" fontId="0" fillId="0" borderId="0" xfId="0" applyNumberFormat="1"/>
    <xf numFmtId="2" fontId="0" fillId="0" borderId="0" xfId="0" applyNumberFormat="1"/>
    <xf numFmtId="0" fontId="0" fillId="0" borderId="0" xfId="0" applyAlignment="1" applyProtection="1">
      <alignment horizontal="center" vertical="top"/>
    </xf>
    <xf numFmtId="0" fontId="0" fillId="0" borderId="0" xfId="0" applyAlignment="1" applyProtection="1">
      <alignment horizontal="center" vertical="center"/>
    </xf>
    <xf numFmtId="0" fontId="0" fillId="0" borderId="0" xfId="0" applyNumberFormat="1" applyAlignment="1" applyProtection="1">
      <alignment horizontal="center" vertical="top"/>
    </xf>
    <xf numFmtId="0" fontId="0" fillId="0" borderId="0" xfId="0" applyAlignment="1" applyProtection="1">
      <alignment vertical="top"/>
    </xf>
    <xf numFmtId="0" fontId="0" fillId="0" borderId="0" xfId="0" applyNumberFormat="1" applyAlignment="1" applyProtection="1">
      <alignment vertical="top"/>
    </xf>
    <xf numFmtId="0" fontId="0" fillId="0" borderId="0" xfId="0" applyProtection="1"/>
    <xf numFmtId="0" fontId="0" fillId="0" borderId="0" xfId="0" applyFill="1" applyAlignment="1" applyProtection="1">
      <alignment horizontal="center" vertical="top"/>
    </xf>
    <xf numFmtId="4" fontId="0" fillId="0" borderId="0" xfId="0" applyNumberFormat="1" applyAlignment="1" applyProtection="1">
      <alignment vertical="top"/>
    </xf>
    <xf numFmtId="0" fontId="0" fillId="0" borderId="0" xfId="0" applyProtection="1">
      <protection hidden="1"/>
    </xf>
    <xf numFmtId="14" fontId="0" fillId="0" borderId="0" xfId="0" applyNumberFormat="1" applyProtection="1">
      <protection hidden="1"/>
    </xf>
    <xf numFmtId="0" fontId="0" fillId="3" borderId="44" xfId="0" applyFill="1" applyBorder="1" applyAlignment="1">
      <alignment horizontal="center" vertical="center" wrapText="1"/>
    </xf>
    <xf numFmtId="0" fontId="1" fillId="3" borderId="194" xfId="0" applyFont="1" applyFill="1" applyBorder="1" applyAlignment="1">
      <alignment horizontal="center" vertical="center" wrapText="1"/>
    </xf>
    <xf numFmtId="0" fontId="1" fillId="3" borderId="195" xfId="0" applyFont="1" applyFill="1" applyBorder="1" applyAlignment="1">
      <alignment horizontal="center" vertical="center" wrapText="1"/>
    </xf>
    <xf numFmtId="0" fontId="1" fillId="3" borderId="44" xfId="0" applyFont="1" applyFill="1" applyBorder="1" applyAlignment="1">
      <alignment vertical="center" wrapText="1"/>
    </xf>
    <xf numFmtId="0" fontId="11" fillId="13" borderId="52" xfId="0" applyFont="1" applyFill="1" applyBorder="1" applyAlignment="1" applyProtection="1">
      <alignment horizontal="center" vertical="center"/>
      <protection locked="0"/>
    </xf>
    <xf numFmtId="0" fontId="0" fillId="8" borderId="3" xfId="0" applyFill="1" applyBorder="1" applyAlignment="1"/>
    <xf numFmtId="0" fontId="42" fillId="13" borderId="0" xfId="0" applyFont="1" applyFill="1" applyBorder="1"/>
    <xf numFmtId="0" fontId="42" fillId="13" borderId="0" xfId="0" applyFont="1" applyFill="1"/>
    <xf numFmtId="0" fontId="42" fillId="13" borderId="19" xfId="0" applyFont="1" applyFill="1" applyBorder="1"/>
    <xf numFmtId="0" fontId="0" fillId="8" borderId="25" xfId="0" applyFill="1" applyBorder="1" applyAlignment="1"/>
    <xf numFmtId="0" fontId="42" fillId="13" borderId="126" xfId="0" applyFont="1" applyFill="1" applyBorder="1"/>
    <xf numFmtId="0" fontId="9" fillId="14" borderId="158" xfId="0" applyFont="1" applyFill="1" applyBorder="1" applyAlignment="1" applyProtection="1">
      <alignment horizontal="center" vertical="center" wrapText="1"/>
    </xf>
    <xf numFmtId="0" fontId="9" fillId="14" borderId="158" xfId="0" applyFont="1" applyFill="1" applyBorder="1" applyAlignment="1" applyProtection="1">
      <alignment horizontal="center" vertical="top" wrapText="1"/>
    </xf>
    <xf numFmtId="0" fontId="9" fillId="0" borderId="0" xfId="0" applyFont="1" applyFill="1" applyAlignment="1" applyProtection="1">
      <alignment horizontal="center" vertical="center" wrapText="1"/>
    </xf>
    <xf numFmtId="0" fontId="9" fillId="0" borderId="0" xfId="0" applyFont="1" applyAlignment="1">
      <alignment horizontal="center" vertical="center"/>
    </xf>
    <xf numFmtId="0" fontId="42" fillId="13" borderId="158" xfId="0" applyFont="1" applyFill="1" applyBorder="1"/>
    <xf numFmtId="0" fontId="0" fillId="0" borderId="0" xfId="0" applyAlignment="1" applyProtection="1">
      <alignment horizontal="center"/>
      <protection locked="0"/>
    </xf>
    <xf numFmtId="164" fontId="0" fillId="0" borderId="0" xfId="0" applyNumberFormat="1" applyAlignment="1" applyProtection="1">
      <alignment horizontal="center"/>
      <protection locked="0"/>
    </xf>
    <xf numFmtId="171" fontId="12" fillId="0" borderId="13" xfId="0" applyNumberFormat="1" applyFont="1" applyBorder="1" applyAlignment="1">
      <alignment horizontal="center" vertical="center"/>
    </xf>
    <xf numFmtId="0" fontId="11" fillId="13" borderId="19" xfId="0" applyFont="1" applyFill="1" applyBorder="1" applyAlignment="1" applyProtection="1">
      <alignment horizontal="center" vertical="center"/>
      <protection locked="0"/>
    </xf>
    <xf numFmtId="0" fontId="7" fillId="14" borderId="158" xfId="0" applyFont="1" applyFill="1" applyBorder="1" applyAlignment="1" applyProtection="1">
      <alignment horizontal="center" vertical="center" wrapText="1"/>
    </xf>
    <xf numFmtId="49" fontId="1" fillId="0" borderId="0" xfId="0" applyNumberFormat="1" applyFont="1"/>
    <xf numFmtId="164" fontId="1" fillId="0" borderId="0" xfId="0" applyNumberFormat="1" applyFont="1" applyAlignment="1">
      <alignment horizontal="center"/>
    </xf>
    <xf numFmtId="0" fontId="1" fillId="0" borderId="0" xfId="0" applyNumberFormat="1" applyFont="1" applyAlignment="1">
      <alignment horizontal="center"/>
    </xf>
    <xf numFmtId="0" fontId="0" fillId="0" borderId="0" xfId="0" applyNumberFormat="1" applyAlignment="1">
      <alignment horizontal="center"/>
    </xf>
    <xf numFmtId="0" fontId="1" fillId="0" borderId="0" xfId="0" applyNumberFormat="1" applyFont="1"/>
    <xf numFmtId="4" fontId="1" fillId="0" borderId="0" xfId="0" applyNumberFormat="1" applyFont="1" applyAlignment="1">
      <alignment horizontal="center"/>
    </xf>
    <xf numFmtId="4" fontId="1" fillId="0" borderId="0" xfId="0" applyNumberFormat="1" applyFont="1"/>
    <xf numFmtId="0" fontId="11" fillId="0" borderId="14" xfId="0" applyFont="1" applyFill="1" applyBorder="1" applyAlignment="1"/>
    <xf numFmtId="0" fontId="0" fillId="0" borderId="15" xfId="0" applyBorder="1" applyAlignment="1"/>
    <xf numFmtId="0" fontId="0" fillId="0" borderId="16" xfId="0" applyBorder="1" applyAlignment="1"/>
    <xf numFmtId="4" fontId="11" fillId="0" borderId="14" xfId="0" applyNumberFormat="1" applyFont="1" applyFill="1" applyBorder="1" applyAlignment="1" applyProtection="1">
      <alignment horizontal="center" vertical="center"/>
      <protection locked="0"/>
    </xf>
    <xf numFmtId="0" fontId="0" fillId="0" borderId="15" xfId="0" applyBorder="1" applyAlignment="1" applyProtection="1">
      <alignment horizontal="center"/>
      <protection locked="0"/>
    </xf>
    <xf numFmtId="0" fontId="0" fillId="0" borderId="16" xfId="0" applyBorder="1" applyAlignment="1" applyProtection="1">
      <alignment horizontal="center"/>
      <protection locked="0"/>
    </xf>
    <xf numFmtId="4" fontId="11" fillId="0" borderId="15" xfId="0" applyNumberFormat="1" applyFont="1" applyFill="1" applyBorder="1" applyAlignment="1" applyProtection="1">
      <alignment horizontal="center" vertical="center"/>
      <protection locked="0"/>
    </xf>
    <xf numFmtId="4" fontId="11" fillId="0" borderId="16" xfId="0" applyNumberFormat="1" applyFont="1" applyFill="1" applyBorder="1" applyAlignment="1" applyProtection="1">
      <alignment horizontal="center" vertical="center"/>
      <protection locked="0"/>
    </xf>
    <xf numFmtId="4" fontId="11" fillId="5" borderId="31" xfId="0" applyNumberFormat="1" applyFont="1" applyFill="1" applyBorder="1" applyAlignment="1" applyProtection="1">
      <alignment horizontal="center" vertical="center"/>
      <protection hidden="1"/>
    </xf>
    <xf numFmtId="4" fontId="11" fillId="5" borderId="32" xfId="0" applyNumberFormat="1" applyFont="1" applyFill="1" applyBorder="1" applyAlignment="1" applyProtection="1">
      <alignment horizontal="center" vertical="center"/>
      <protection hidden="1"/>
    </xf>
    <xf numFmtId="4" fontId="11" fillId="5" borderId="2" xfId="0" applyNumberFormat="1" applyFont="1" applyFill="1" applyBorder="1" applyAlignment="1" applyProtection="1">
      <alignment horizontal="center" vertical="center"/>
      <protection hidden="1"/>
    </xf>
    <xf numFmtId="0" fontId="0" fillId="6" borderId="73" xfId="0" applyFill="1" applyBorder="1" applyAlignment="1">
      <alignment horizontal="center"/>
    </xf>
    <xf numFmtId="0" fontId="0" fillId="6" borderId="51" xfId="0" applyFill="1" applyBorder="1" applyAlignment="1">
      <alignment horizontal="center"/>
    </xf>
    <xf numFmtId="0" fontId="0" fillId="6" borderId="46" xfId="0" applyFill="1" applyBorder="1" applyAlignment="1">
      <alignment horizontal="center"/>
    </xf>
    <xf numFmtId="0" fontId="0" fillId="6" borderId="65" xfId="0" applyFill="1" applyBorder="1" applyAlignment="1">
      <alignment horizontal="center"/>
    </xf>
    <xf numFmtId="0" fontId="12" fillId="6" borderId="65" xfId="0" applyFont="1" applyFill="1" applyBorder="1" applyAlignment="1">
      <alignment horizontal="center"/>
    </xf>
    <xf numFmtId="0" fontId="12" fillId="6" borderId="51" xfId="0" applyFont="1" applyFill="1" applyBorder="1" applyAlignment="1">
      <alignment horizontal="center"/>
    </xf>
    <xf numFmtId="0" fontId="12" fillId="6" borderId="46" xfId="0" applyFont="1" applyFill="1" applyBorder="1" applyAlignment="1">
      <alignment horizontal="center"/>
    </xf>
    <xf numFmtId="0" fontId="0" fillId="6" borderId="61" xfId="0" applyFill="1" applyBorder="1" applyAlignment="1">
      <alignment horizontal="center"/>
    </xf>
    <xf numFmtId="0" fontId="0" fillId="6" borderId="52" xfId="0" applyFill="1" applyBorder="1" applyAlignment="1">
      <alignment horizontal="center"/>
    </xf>
    <xf numFmtId="0" fontId="0" fillId="6" borderId="53" xfId="0" applyFill="1" applyBorder="1" applyAlignment="1">
      <alignment horizontal="center"/>
    </xf>
    <xf numFmtId="0" fontId="0" fillId="6" borderId="76" xfId="0" applyFill="1" applyBorder="1" applyAlignment="1">
      <alignment horizontal="center"/>
    </xf>
    <xf numFmtId="0" fontId="0" fillId="6" borderId="28" xfId="0" applyFill="1" applyBorder="1" applyAlignment="1">
      <alignment horizontal="center"/>
    </xf>
    <xf numFmtId="0" fontId="0" fillId="6" borderId="25" xfId="0" applyFill="1" applyBorder="1" applyAlignment="1">
      <alignment horizontal="center"/>
    </xf>
    <xf numFmtId="0" fontId="0" fillId="6" borderId="29" xfId="0" applyFill="1" applyBorder="1" applyAlignment="1">
      <alignment horizontal="center"/>
    </xf>
    <xf numFmtId="0" fontId="0" fillId="6" borderId="79" xfId="0" applyFill="1" applyBorder="1" applyAlignment="1">
      <alignment horizontal="center"/>
    </xf>
    <xf numFmtId="0" fontId="0" fillId="6" borderId="54" xfId="0" applyFill="1" applyBorder="1" applyAlignment="1">
      <alignment horizontal="center"/>
    </xf>
    <xf numFmtId="0" fontId="0" fillId="6" borderId="68" xfId="0" applyFill="1" applyBorder="1" applyAlignment="1">
      <alignment horizontal="center"/>
    </xf>
    <xf numFmtId="0" fontId="12" fillId="6" borderId="68" xfId="0" applyFont="1" applyFill="1" applyBorder="1" applyAlignment="1">
      <alignment horizontal="center"/>
    </xf>
    <xf numFmtId="0" fontId="12" fillId="6" borderId="25" xfId="0" applyFont="1" applyFill="1" applyBorder="1" applyAlignment="1">
      <alignment horizontal="center"/>
    </xf>
    <xf numFmtId="0" fontId="12" fillId="6" borderId="29" xfId="0" applyFont="1" applyFill="1" applyBorder="1" applyAlignment="1">
      <alignment horizontal="center"/>
    </xf>
    <xf numFmtId="0" fontId="12" fillId="6" borderId="52" xfId="0" applyFont="1" applyFill="1" applyBorder="1" applyAlignment="1">
      <alignment horizontal="center"/>
    </xf>
    <xf numFmtId="0" fontId="12" fillId="6" borderId="53" xfId="0" applyFont="1" applyFill="1" applyBorder="1" applyAlignment="1">
      <alignment horizontal="center"/>
    </xf>
    <xf numFmtId="0" fontId="12" fillId="6" borderId="54" xfId="0" applyFont="1" applyFill="1" applyBorder="1" applyAlignment="1">
      <alignment horizontal="center"/>
    </xf>
    <xf numFmtId="0" fontId="0" fillId="6" borderId="78" xfId="0" applyFill="1" applyBorder="1" applyAlignment="1">
      <alignment horizontal="center"/>
    </xf>
    <xf numFmtId="0" fontId="12" fillId="3" borderId="66" xfId="0" applyFont="1" applyFill="1" applyBorder="1" applyAlignment="1">
      <alignment horizontal="center"/>
    </xf>
    <xf numFmtId="0" fontId="12" fillId="3" borderId="15" xfId="0" applyFont="1" applyFill="1" applyBorder="1" applyAlignment="1">
      <alignment horizontal="center"/>
    </xf>
    <xf numFmtId="0" fontId="12" fillId="3" borderId="67" xfId="0" applyFont="1" applyFill="1" applyBorder="1" applyAlignment="1">
      <alignment horizontal="center"/>
    </xf>
    <xf numFmtId="4" fontId="12" fillId="6" borderId="68" xfId="0" applyNumberFormat="1" applyFont="1" applyFill="1" applyBorder="1" applyAlignment="1">
      <alignment horizontal="center" vertical="center"/>
    </xf>
    <xf numFmtId="4" fontId="12" fillId="6" borderId="25" xfId="0" applyNumberFormat="1" applyFont="1" applyFill="1" applyBorder="1" applyAlignment="1">
      <alignment horizontal="center" vertical="center"/>
    </xf>
    <xf numFmtId="4" fontId="12" fillId="6" borderId="29" xfId="0" applyNumberFormat="1" applyFont="1" applyFill="1" applyBorder="1" applyAlignment="1">
      <alignment horizontal="center" vertical="center"/>
    </xf>
    <xf numFmtId="4" fontId="12" fillId="6" borderId="65" xfId="0" applyNumberFormat="1" applyFont="1" applyFill="1" applyBorder="1" applyAlignment="1">
      <alignment horizontal="center" vertical="center"/>
    </xf>
    <xf numFmtId="4" fontId="12" fillId="6" borderId="51" xfId="0" applyNumberFormat="1" applyFont="1" applyFill="1" applyBorder="1" applyAlignment="1">
      <alignment horizontal="center" vertical="center"/>
    </xf>
    <xf numFmtId="4" fontId="12" fillId="6" borderId="46" xfId="0" applyNumberFormat="1" applyFont="1" applyFill="1" applyBorder="1" applyAlignment="1">
      <alignment horizontal="center" vertical="center"/>
    </xf>
    <xf numFmtId="0" fontId="12" fillId="3" borderId="16" xfId="0" applyFont="1" applyFill="1" applyBorder="1" applyAlignment="1">
      <alignment horizontal="center"/>
    </xf>
    <xf numFmtId="0" fontId="0" fillId="6" borderId="50" xfId="0" applyFill="1" applyBorder="1" applyAlignment="1">
      <alignment horizontal="center"/>
    </xf>
    <xf numFmtId="3" fontId="11" fillId="0" borderId="26" xfId="0" applyNumberFormat="1" applyFont="1" applyFill="1" applyBorder="1" applyAlignment="1" applyProtection="1">
      <alignment horizontal="center" vertical="center"/>
      <protection locked="0"/>
    </xf>
    <xf numFmtId="3" fontId="11" fillId="0" borderId="26" xfId="0" applyNumberFormat="1" applyFont="1" applyFill="1" applyBorder="1" applyAlignment="1" applyProtection="1">
      <protection locked="0"/>
    </xf>
    <xf numFmtId="3" fontId="11" fillId="0" borderId="26" xfId="0" applyNumberFormat="1" applyFont="1" applyBorder="1" applyAlignment="1" applyProtection="1">
      <protection locked="0"/>
    </xf>
    <xf numFmtId="0" fontId="12" fillId="6" borderId="68" xfId="0" applyFont="1" applyFill="1" applyBorder="1" applyAlignment="1">
      <alignment horizontal="center" vertical="center"/>
    </xf>
    <xf numFmtId="0" fontId="12" fillId="6" borderId="25" xfId="0" applyFont="1" applyFill="1" applyBorder="1" applyAlignment="1">
      <alignment horizontal="center" vertical="center"/>
    </xf>
    <xf numFmtId="0" fontId="12" fillId="6" borderId="29" xfId="0" applyFont="1" applyFill="1" applyBorder="1" applyAlignment="1">
      <alignment horizontal="center" vertical="center"/>
    </xf>
    <xf numFmtId="0" fontId="12" fillId="6" borderId="65" xfId="0" applyFont="1" applyFill="1" applyBorder="1" applyAlignment="1">
      <alignment horizontal="center" vertical="center"/>
    </xf>
    <xf numFmtId="0" fontId="12" fillId="6" borderId="51" xfId="0" applyFont="1" applyFill="1" applyBorder="1" applyAlignment="1">
      <alignment horizontal="center" vertical="center"/>
    </xf>
    <xf numFmtId="0" fontId="12" fillId="6" borderId="46" xfId="0" applyFont="1" applyFill="1" applyBorder="1" applyAlignment="1">
      <alignment horizontal="center" vertical="center"/>
    </xf>
    <xf numFmtId="3" fontId="11" fillId="0" borderId="13" xfId="0" applyNumberFormat="1" applyFont="1" applyFill="1" applyBorder="1" applyAlignment="1" applyProtection="1">
      <alignment horizontal="center" vertical="center"/>
      <protection locked="0"/>
    </xf>
    <xf numFmtId="3" fontId="11" fillId="0" borderId="13" xfId="0" applyNumberFormat="1" applyFont="1" applyFill="1" applyBorder="1" applyAlignment="1" applyProtection="1">
      <protection locked="0"/>
    </xf>
    <xf numFmtId="3" fontId="11" fillId="0" borderId="13" xfId="0" applyNumberFormat="1" applyFont="1" applyBorder="1" applyAlignment="1" applyProtection="1">
      <protection locked="0"/>
    </xf>
    <xf numFmtId="0" fontId="0" fillId="6" borderId="77" xfId="0" applyFill="1" applyBorder="1" applyAlignment="1">
      <alignment horizontal="center"/>
    </xf>
    <xf numFmtId="0" fontId="12" fillId="6" borderId="52" xfId="0" applyFont="1" applyFill="1" applyBorder="1" applyAlignment="1">
      <alignment horizontal="center" vertical="center"/>
    </xf>
    <xf numFmtId="0" fontId="12" fillId="6" borderId="53" xfId="0" applyFont="1" applyFill="1" applyBorder="1" applyAlignment="1">
      <alignment horizontal="center" vertical="center"/>
    </xf>
    <xf numFmtId="0" fontId="12" fillId="6" borderId="54" xfId="0" applyFont="1" applyFill="1" applyBorder="1" applyAlignment="1">
      <alignment horizontal="center" vertical="center"/>
    </xf>
    <xf numFmtId="4" fontId="11" fillId="5" borderId="13" xfId="0" applyNumberFormat="1" applyFont="1" applyFill="1" applyBorder="1" applyAlignment="1" applyProtection="1">
      <alignment horizontal="center" vertical="center"/>
      <protection hidden="1"/>
    </xf>
    <xf numFmtId="0" fontId="11" fillId="5" borderId="13" xfId="0" applyFont="1" applyFill="1" applyBorder="1" applyAlignment="1" applyProtection="1">
      <alignment horizontal="center"/>
      <protection hidden="1"/>
    </xf>
    <xf numFmtId="4" fontId="11" fillId="0" borderId="26" xfId="0" applyNumberFormat="1" applyFont="1" applyFill="1" applyBorder="1" applyAlignment="1" applyProtection="1">
      <alignment horizontal="center" vertical="center"/>
      <protection locked="0"/>
    </xf>
    <xf numFmtId="0" fontId="11" fillId="0" borderId="26" xfId="0" applyFont="1" applyFill="1" applyBorder="1" applyAlignment="1" applyProtection="1">
      <alignment horizontal="center"/>
      <protection locked="0"/>
    </xf>
    <xf numFmtId="0" fontId="11" fillId="0" borderId="26" xfId="0" applyFont="1" applyBorder="1" applyAlignment="1" applyProtection="1">
      <alignment horizontal="center"/>
      <protection locked="0"/>
    </xf>
    <xf numFmtId="4" fontId="11" fillId="0" borderId="13" xfId="0" applyNumberFormat="1" applyFont="1" applyFill="1" applyBorder="1" applyAlignment="1" applyProtection="1">
      <alignment horizontal="center" vertical="center"/>
      <protection locked="0"/>
    </xf>
    <xf numFmtId="0" fontId="11" fillId="0" borderId="13" xfId="0" applyFont="1" applyFill="1" applyBorder="1" applyAlignment="1" applyProtection="1">
      <alignment horizontal="center"/>
      <protection locked="0"/>
    </xf>
    <xf numFmtId="0" fontId="11" fillId="0" borderId="13" xfId="0" applyFont="1" applyBorder="1" applyAlignment="1" applyProtection="1">
      <alignment horizontal="center"/>
      <protection locked="0"/>
    </xf>
    <xf numFmtId="166" fontId="11" fillId="5" borderId="13" xfId="0" applyNumberFormat="1" applyFont="1" applyFill="1" applyBorder="1" applyAlignment="1" applyProtection="1">
      <alignment horizontal="center" vertical="center"/>
      <protection hidden="1"/>
    </xf>
    <xf numFmtId="166" fontId="11" fillId="5" borderId="13" xfId="0" applyNumberFormat="1" applyFont="1" applyFill="1" applyBorder="1" applyAlignment="1" applyProtection="1">
      <protection hidden="1"/>
    </xf>
    <xf numFmtId="166" fontId="11" fillId="0" borderId="13" xfId="0" applyNumberFormat="1" applyFont="1" applyBorder="1" applyAlignment="1" applyProtection="1">
      <protection hidden="1"/>
    </xf>
    <xf numFmtId="4" fontId="11" fillId="0" borderId="13" xfId="0" applyNumberFormat="1" applyFont="1" applyBorder="1" applyAlignment="1" applyProtection="1">
      <alignment horizontal="center" vertical="center"/>
      <protection locked="0"/>
    </xf>
    <xf numFmtId="0" fontId="12" fillId="6" borderId="28" xfId="0" applyFont="1" applyFill="1" applyBorder="1" applyAlignment="1">
      <alignment horizontal="center" vertical="center"/>
    </xf>
    <xf numFmtId="0" fontId="12" fillId="6" borderId="73" xfId="0" applyFont="1" applyFill="1" applyBorder="1" applyAlignment="1">
      <alignment horizontal="center" vertical="center"/>
    </xf>
    <xf numFmtId="0" fontId="12" fillId="6" borderId="79" xfId="0" applyFont="1" applyFill="1" applyBorder="1" applyAlignment="1">
      <alignment horizontal="center" vertical="center"/>
    </xf>
    <xf numFmtId="0" fontId="28" fillId="0" borderId="13" xfId="0" applyFont="1" applyBorder="1" applyAlignment="1" applyProtection="1">
      <alignment vertical="center" wrapText="1"/>
      <protection hidden="1"/>
    </xf>
    <xf numFmtId="0" fontId="12" fillId="0" borderId="13" xfId="0" applyFont="1" applyBorder="1" applyAlignment="1"/>
    <xf numFmtId="0" fontId="11" fillId="0" borderId="1" xfId="0" applyFont="1" applyFill="1" applyBorder="1" applyAlignment="1" applyProtection="1">
      <alignment horizontal="center" vertical="center"/>
      <protection locked="0"/>
    </xf>
    <xf numFmtId="0" fontId="11" fillId="0" borderId="1" xfId="0" applyFont="1" applyFill="1" applyBorder="1" applyAlignment="1" applyProtection="1">
      <protection locked="0"/>
    </xf>
    <xf numFmtId="4" fontId="11" fillId="5" borderId="1" xfId="0" applyNumberFormat="1" applyFont="1" applyFill="1" applyBorder="1" applyAlignment="1" applyProtection="1">
      <alignment horizontal="center" vertical="center"/>
      <protection hidden="1"/>
    </xf>
    <xf numFmtId="4" fontId="11" fillId="5" borderId="1" xfId="0" applyNumberFormat="1" applyFont="1" applyFill="1" applyBorder="1" applyAlignment="1" applyProtection="1">
      <protection hidden="1"/>
    </xf>
    <xf numFmtId="4" fontId="11" fillId="5" borderId="12" xfId="0" applyNumberFormat="1" applyFont="1" applyFill="1" applyBorder="1" applyAlignment="1" applyProtection="1">
      <alignment horizontal="center" vertical="center"/>
      <protection hidden="1"/>
    </xf>
    <xf numFmtId="4" fontId="11" fillId="5" borderId="12" xfId="0" applyNumberFormat="1" applyFont="1" applyFill="1" applyBorder="1" applyAlignment="1" applyProtection="1">
      <protection hidden="1"/>
    </xf>
    <xf numFmtId="0" fontId="11" fillId="0" borderId="26" xfId="0" applyFont="1" applyFill="1" applyBorder="1" applyAlignment="1"/>
    <xf numFmtId="0" fontId="0" fillId="0" borderId="26" xfId="0" applyBorder="1" applyAlignment="1"/>
    <xf numFmtId="0" fontId="11" fillId="0" borderId="13" xfId="0" applyFont="1" applyFill="1" applyBorder="1" applyAlignment="1"/>
    <xf numFmtId="0" fontId="0" fillId="0" borderId="13" xfId="0" applyBorder="1" applyAlignment="1"/>
    <xf numFmtId="0" fontId="11" fillId="5" borderId="13" xfId="0" applyFont="1" applyFill="1" applyBorder="1" applyAlignment="1"/>
    <xf numFmtId="0" fontId="0" fillId="5" borderId="13" xfId="0" applyFill="1" applyBorder="1" applyAlignment="1"/>
    <xf numFmtId="4" fontId="12" fillId="6" borderId="73" xfId="0" applyNumberFormat="1" applyFont="1" applyFill="1" applyBorder="1" applyAlignment="1">
      <alignment horizontal="center" vertical="center"/>
    </xf>
    <xf numFmtId="4" fontId="12" fillId="6" borderId="28" xfId="0" applyNumberFormat="1" applyFont="1" applyFill="1" applyBorder="1" applyAlignment="1">
      <alignment horizontal="center" vertical="center"/>
    </xf>
    <xf numFmtId="9" fontId="11" fillId="0" borderId="58" xfId="0" applyNumberFormat="1" applyFont="1" applyFill="1" applyBorder="1" applyAlignment="1" applyProtection="1">
      <alignment horizontal="center" vertical="center"/>
      <protection locked="0"/>
    </xf>
    <xf numFmtId="9" fontId="11" fillId="0" borderId="59" xfId="0" applyNumberFormat="1" applyFont="1" applyFill="1" applyBorder="1" applyAlignment="1" applyProtection="1">
      <alignment horizontal="center" vertical="center"/>
      <protection locked="0"/>
    </xf>
    <xf numFmtId="9" fontId="11" fillId="0" borderId="60" xfId="0" applyNumberFormat="1" applyFont="1" applyFill="1" applyBorder="1" applyAlignment="1" applyProtection="1">
      <protection locked="0"/>
    </xf>
    <xf numFmtId="0" fontId="11" fillId="0" borderId="13" xfId="0" applyFont="1" applyFill="1" applyBorder="1" applyAlignment="1">
      <alignment wrapText="1"/>
    </xf>
    <xf numFmtId="0" fontId="27" fillId="3" borderId="14" xfId="0" applyFont="1" applyFill="1" applyBorder="1" applyAlignment="1"/>
    <xf numFmtId="0" fontId="11" fillId="3" borderId="15" xfId="0" applyFont="1" applyFill="1" applyBorder="1" applyAlignment="1"/>
    <xf numFmtId="0" fontId="11" fillId="0" borderId="15" xfId="0" applyFont="1" applyBorder="1" applyAlignment="1"/>
    <xf numFmtId="0" fontId="11" fillId="0" borderId="36" xfId="0" applyFont="1" applyFill="1" applyBorder="1" applyAlignment="1" applyProtection="1">
      <alignment horizontal="center" vertical="center"/>
      <protection locked="0"/>
    </xf>
    <xf numFmtId="0" fontId="11" fillId="0" borderId="12" xfId="0" applyFont="1" applyFill="1" applyBorder="1" applyAlignment="1" applyProtection="1">
      <alignment horizontal="center" vertical="center"/>
      <protection locked="0"/>
    </xf>
    <xf numFmtId="0" fontId="11" fillId="0" borderId="12" xfId="0" applyFont="1" applyFill="1" applyBorder="1" applyAlignment="1" applyProtection="1">
      <protection locked="0"/>
    </xf>
    <xf numFmtId="0" fontId="0" fillId="3" borderId="66" xfId="0" applyFill="1" applyBorder="1" applyAlignment="1">
      <alignment horizontal="center"/>
    </xf>
    <xf numFmtId="0" fontId="0" fillId="3" borderId="15" xfId="0" applyFill="1" applyBorder="1" applyAlignment="1">
      <alignment horizontal="center"/>
    </xf>
    <xf numFmtId="0" fontId="0" fillId="3" borderId="67" xfId="0" applyFill="1" applyBorder="1" applyAlignment="1">
      <alignment horizontal="center"/>
    </xf>
    <xf numFmtId="9" fontId="11" fillId="0" borderId="56" xfId="0" applyNumberFormat="1" applyFont="1" applyFill="1" applyBorder="1" applyAlignment="1" applyProtection="1">
      <alignment horizontal="center" vertical="center"/>
      <protection locked="0"/>
    </xf>
    <xf numFmtId="9" fontId="11" fillId="0" borderId="1" xfId="0" applyNumberFormat="1" applyFont="1" applyFill="1" applyBorder="1" applyAlignment="1" applyProtection="1">
      <alignment horizontal="center" vertical="center"/>
      <protection locked="0"/>
    </xf>
    <xf numFmtId="9" fontId="11" fillId="0" borderId="57" xfId="0" applyNumberFormat="1" applyFont="1" applyFill="1" applyBorder="1" applyAlignment="1" applyProtection="1">
      <protection locked="0"/>
    </xf>
    <xf numFmtId="3" fontId="11" fillId="0" borderId="26" xfId="0" applyNumberFormat="1" applyFont="1" applyFill="1" applyBorder="1" applyAlignment="1" applyProtection="1">
      <alignment horizontal="center"/>
      <protection locked="0"/>
    </xf>
    <xf numFmtId="3" fontId="11" fillId="0" borderId="26" xfId="0" applyNumberFormat="1" applyFont="1" applyBorder="1" applyAlignment="1" applyProtection="1">
      <alignment horizontal="center"/>
      <protection locked="0"/>
    </xf>
    <xf numFmtId="3" fontId="11" fillId="0" borderId="13" xfId="0" applyNumberFormat="1" applyFont="1" applyFill="1" applyBorder="1" applyAlignment="1" applyProtection="1">
      <alignment horizontal="center"/>
      <protection locked="0"/>
    </xf>
    <xf numFmtId="3" fontId="11" fillId="0" borderId="13" xfId="0" applyNumberFormat="1" applyFont="1" applyBorder="1" applyAlignment="1" applyProtection="1">
      <alignment horizontal="center"/>
      <protection locked="0"/>
    </xf>
    <xf numFmtId="3" fontId="11" fillId="0" borderId="14" xfId="0" applyNumberFormat="1" applyFont="1" applyFill="1" applyBorder="1" applyAlignment="1" applyProtection="1">
      <alignment horizontal="center" vertical="center"/>
      <protection locked="0"/>
    </xf>
    <xf numFmtId="3" fontId="11" fillId="0" borderId="15" xfId="0" applyNumberFormat="1" applyFont="1" applyFill="1" applyBorder="1" applyAlignment="1" applyProtection="1">
      <alignment horizontal="center" vertical="center"/>
      <protection locked="0"/>
    </xf>
    <xf numFmtId="3" fontId="11" fillId="0" borderId="15" xfId="0" applyNumberFormat="1" applyFont="1" applyFill="1" applyBorder="1" applyAlignment="1" applyProtection="1">
      <protection locked="0"/>
    </xf>
    <xf numFmtId="3" fontId="11" fillId="0" borderId="16" xfId="0" applyNumberFormat="1" applyFont="1" applyBorder="1" applyAlignment="1" applyProtection="1">
      <protection locked="0"/>
    </xf>
    <xf numFmtId="0" fontId="11" fillId="0" borderId="18" xfId="0" applyFont="1" applyFill="1" applyBorder="1" applyAlignment="1"/>
    <xf numFmtId="0" fontId="11" fillId="0" borderId="19" xfId="0" applyFont="1" applyFill="1" applyBorder="1" applyAlignment="1"/>
    <xf numFmtId="0" fontId="0" fillId="0" borderId="20" xfId="0" applyBorder="1" applyAlignment="1"/>
    <xf numFmtId="0" fontId="11" fillId="0" borderId="15" xfId="0" applyFont="1" applyFill="1" applyBorder="1" applyAlignment="1"/>
    <xf numFmtId="0" fontId="27" fillId="3" borderId="0" xfId="0" applyFont="1" applyFill="1" applyBorder="1" applyAlignment="1">
      <alignment horizontal="center" vertical="top" wrapText="1"/>
    </xf>
    <xf numFmtId="0" fontId="0" fillId="3" borderId="0" xfId="0" applyFont="1" applyFill="1" applyBorder="1" applyAlignment="1">
      <alignment horizontal="right" vertical="top" wrapText="1"/>
    </xf>
    <xf numFmtId="0" fontId="0" fillId="3" borderId="0" xfId="0" applyFont="1" applyFill="1" applyBorder="1" applyAlignment="1">
      <alignment wrapText="1"/>
    </xf>
    <xf numFmtId="0" fontId="0" fillId="3" borderId="17" xfId="0" applyFont="1" applyFill="1" applyBorder="1" applyAlignment="1"/>
    <xf numFmtId="0" fontId="27" fillId="3" borderId="11" xfId="0" applyFont="1" applyFill="1" applyBorder="1" applyAlignment="1">
      <alignment horizontal="right" vertical="center"/>
    </xf>
    <xf numFmtId="0" fontId="0" fillId="0" borderId="12" xfId="0" applyBorder="1" applyAlignment="1"/>
    <xf numFmtId="49" fontId="12" fillId="6" borderId="1" xfId="0" applyNumberFormat="1" applyFont="1" applyFill="1" applyBorder="1" applyAlignment="1">
      <alignment vertical="top" wrapText="1"/>
    </xf>
    <xf numFmtId="0" fontId="12" fillId="6" borderId="1" xfId="0" applyFont="1" applyFill="1" applyBorder="1" applyAlignment="1"/>
    <xf numFmtId="0" fontId="41" fillId="14" borderId="69" xfId="0" applyFont="1" applyFill="1" applyBorder="1" applyAlignment="1">
      <alignment horizontal="center" vertical="center"/>
    </xf>
    <xf numFmtId="0" fontId="41" fillId="14" borderId="12" xfId="0" applyFont="1" applyFill="1" applyBorder="1" applyAlignment="1">
      <alignment horizontal="center" vertical="center"/>
    </xf>
    <xf numFmtId="0" fontId="41" fillId="14" borderId="37" xfId="0" applyFont="1" applyFill="1" applyBorder="1" applyAlignment="1"/>
    <xf numFmtId="0" fontId="41" fillId="14" borderId="58" xfId="0" applyFont="1" applyFill="1" applyBorder="1" applyAlignment="1">
      <alignment horizontal="center" vertical="center"/>
    </xf>
    <xf numFmtId="0" fontId="41" fillId="14" borderId="59" xfId="0" applyFont="1" applyFill="1" applyBorder="1" applyAlignment="1">
      <alignment horizontal="center" vertical="center"/>
    </xf>
    <xf numFmtId="0" fontId="41" fillId="14" borderId="60" xfId="0" applyFont="1" applyFill="1" applyBorder="1" applyAlignment="1"/>
    <xf numFmtId="0" fontId="27" fillId="3" borderId="10" xfId="0" applyFont="1" applyFill="1" applyBorder="1" applyAlignment="1">
      <alignment horizontal="right" vertical="center"/>
    </xf>
    <xf numFmtId="0" fontId="11" fillId="0" borderId="10" xfId="0" applyFont="1" applyBorder="1" applyAlignment="1">
      <alignment horizontal="right"/>
    </xf>
    <xf numFmtId="0" fontId="11" fillId="0" borderId="11" xfId="0" applyFont="1" applyBorder="1" applyAlignment="1"/>
    <xf numFmtId="0" fontId="11" fillId="0" borderId="31" xfId="0" applyFont="1" applyBorder="1" applyAlignment="1" applyProtection="1">
      <alignment horizontal="center" vertical="center"/>
      <protection locked="0"/>
    </xf>
    <xf numFmtId="0" fontId="11" fillId="0" borderId="32" xfId="0" applyFont="1" applyBorder="1" applyAlignment="1" applyProtection="1">
      <alignment horizontal="center"/>
      <protection locked="0"/>
    </xf>
    <xf numFmtId="0" fontId="11" fillId="0" borderId="2" xfId="0" applyFont="1" applyBorder="1" applyAlignment="1" applyProtection="1">
      <alignment horizontal="center"/>
      <protection locked="0"/>
    </xf>
    <xf numFmtId="0" fontId="11" fillId="6" borderId="31" xfId="0" applyFont="1" applyFill="1" applyBorder="1" applyAlignment="1" applyProtection="1">
      <alignment horizontal="left" vertical="center"/>
    </xf>
    <xf numFmtId="0" fontId="11" fillId="6" borderId="32" xfId="0" applyFont="1" applyFill="1" applyBorder="1" applyAlignment="1" applyProtection="1">
      <alignment horizontal="left" vertical="center"/>
    </xf>
    <xf numFmtId="0" fontId="11" fillId="6" borderId="2" xfId="0" applyFont="1" applyFill="1" applyBorder="1" applyAlignment="1" applyProtection="1">
      <alignment horizontal="left" vertical="center"/>
    </xf>
    <xf numFmtId="0" fontId="41" fillId="14" borderId="21" xfId="0" applyFont="1" applyFill="1" applyBorder="1" applyAlignment="1">
      <alignment horizontal="center" vertical="center"/>
    </xf>
    <xf numFmtId="0" fontId="41" fillId="14" borderId="22" xfId="0" applyFont="1" applyFill="1" applyBorder="1" applyAlignment="1"/>
    <xf numFmtId="0" fontId="7" fillId="14" borderId="23" xfId="0" applyFont="1" applyFill="1" applyBorder="1" applyAlignment="1"/>
    <xf numFmtId="0" fontId="41" fillId="14" borderId="18" xfId="0" applyFont="1" applyFill="1" applyBorder="1" applyAlignment="1"/>
    <xf numFmtId="0" fontId="41" fillId="14" borderId="19" xfId="0" applyFont="1" applyFill="1" applyBorder="1" applyAlignment="1"/>
    <xf numFmtId="0" fontId="7" fillId="14" borderId="20" xfId="0" applyFont="1" applyFill="1" applyBorder="1" applyAlignment="1"/>
    <xf numFmtId="0" fontId="41" fillId="14" borderId="38" xfId="0" applyFont="1" applyFill="1" applyBorder="1" applyAlignment="1">
      <alignment horizontal="center" vertical="center" wrapText="1"/>
    </xf>
    <xf numFmtId="0" fontId="41" fillId="14" borderId="0" xfId="0" applyFont="1" applyFill="1" applyBorder="1" applyAlignment="1">
      <alignment horizontal="center" vertical="center" wrapText="1"/>
    </xf>
    <xf numFmtId="0" fontId="41" fillId="14" borderId="0" xfId="0" applyFont="1" applyFill="1" applyBorder="1" applyAlignment="1"/>
    <xf numFmtId="0" fontId="7" fillId="14" borderId="17" xfId="0" applyFont="1" applyFill="1" applyBorder="1" applyAlignment="1"/>
    <xf numFmtId="0" fontId="41" fillId="14" borderId="18" xfId="0" applyFont="1" applyFill="1" applyBorder="1" applyAlignment="1">
      <alignment horizontal="center" vertical="center" wrapText="1"/>
    </xf>
    <xf numFmtId="0" fontId="41" fillId="14" borderId="19" xfId="0" applyFont="1" applyFill="1" applyBorder="1" applyAlignment="1">
      <alignment horizontal="center" vertical="center" wrapText="1"/>
    </xf>
    <xf numFmtId="14" fontId="11" fillId="0" borderId="34" xfId="0" applyNumberFormat="1" applyFont="1" applyBorder="1" applyAlignment="1" applyProtection="1">
      <alignment horizontal="right" vertical="center"/>
      <protection locked="0"/>
    </xf>
    <xf numFmtId="0" fontId="11" fillId="0" borderId="15" xfId="0" applyFont="1" applyBorder="1" applyAlignment="1" applyProtection="1">
      <alignment horizontal="right"/>
      <protection locked="0"/>
    </xf>
    <xf numFmtId="0" fontId="0" fillId="0" borderId="15" xfId="0" applyBorder="1" applyAlignment="1" applyProtection="1">
      <alignment horizontal="right"/>
      <protection locked="0"/>
    </xf>
    <xf numFmtId="0" fontId="0" fillId="0" borderId="16" xfId="0" applyBorder="1" applyAlignment="1" applyProtection="1">
      <protection locked="0"/>
    </xf>
    <xf numFmtId="0" fontId="27" fillId="3" borderId="83" xfId="0" applyFont="1" applyFill="1" applyBorder="1" applyAlignment="1">
      <alignment horizontal="right" vertical="center"/>
    </xf>
    <xf numFmtId="0" fontId="0" fillId="0" borderId="81" xfId="0" applyBorder="1" applyAlignment="1"/>
    <xf numFmtId="0" fontId="0" fillId="0" borderId="82" xfId="0" applyBorder="1" applyAlignment="1"/>
    <xf numFmtId="0" fontId="0" fillId="13" borderId="53" xfId="0" applyFont="1" applyFill="1" applyBorder="1" applyAlignment="1">
      <alignment horizontal="center" vertical="center"/>
    </xf>
    <xf numFmtId="0" fontId="0" fillId="13" borderId="77" xfId="0" applyFont="1" applyFill="1" applyBorder="1" applyAlignment="1">
      <alignment horizontal="center" vertical="center"/>
    </xf>
    <xf numFmtId="0" fontId="0" fillId="15" borderId="53" xfId="0" applyFont="1" applyFill="1" applyBorder="1" applyAlignment="1">
      <alignment horizontal="center" vertical="center"/>
    </xf>
    <xf numFmtId="0" fontId="0" fillId="15" borderId="77" xfId="0" applyFont="1" applyFill="1" applyBorder="1" applyAlignment="1">
      <alignment horizontal="center" vertical="center"/>
    </xf>
    <xf numFmtId="0" fontId="11" fillId="0" borderId="12" xfId="0" applyFont="1" applyBorder="1" applyAlignment="1"/>
    <xf numFmtId="0" fontId="0" fillId="0" borderId="2" xfId="0" applyBorder="1" applyAlignment="1"/>
    <xf numFmtId="0" fontId="0" fillId="0" borderId="1" xfId="0" applyBorder="1" applyAlignment="1"/>
    <xf numFmtId="44" fontId="27" fillId="0" borderId="1" xfId="0" applyNumberFormat="1" applyFont="1" applyBorder="1" applyAlignment="1" applyProtection="1">
      <alignment horizontal="left" vertical="center"/>
      <protection locked="0"/>
    </xf>
    <xf numFmtId="0" fontId="0" fillId="0" borderId="1" xfId="0" applyBorder="1" applyAlignment="1" applyProtection="1">
      <protection locked="0"/>
    </xf>
    <xf numFmtId="0" fontId="11" fillId="0"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wrapText="1"/>
      <protection locked="0"/>
    </xf>
    <xf numFmtId="0" fontId="0" fillId="0" borderId="1" xfId="0" applyBorder="1" applyAlignment="1" applyProtection="1">
      <alignment horizontal="center"/>
      <protection locked="0"/>
    </xf>
    <xf numFmtId="0" fontId="11" fillId="3" borderId="12" xfId="0" applyFont="1" applyFill="1" applyBorder="1" applyAlignment="1"/>
    <xf numFmtId="0" fontId="11" fillId="3" borderId="2" xfId="0" applyFont="1" applyFill="1" applyBorder="1" applyAlignment="1"/>
    <xf numFmtId="0" fontId="11" fillId="3" borderId="1" xfId="0" applyFont="1" applyFill="1" applyBorder="1" applyAlignment="1"/>
    <xf numFmtId="0" fontId="11" fillId="5" borderId="47" xfId="0" applyFont="1" applyFill="1" applyBorder="1" applyAlignment="1">
      <alignment horizontal="left" vertical="center"/>
    </xf>
    <xf numFmtId="0" fontId="0" fillId="0" borderId="47" xfId="0" applyBorder="1" applyAlignment="1"/>
    <xf numFmtId="0" fontId="0" fillId="0" borderId="80" xfId="0" applyBorder="1" applyAlignment="1"/>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horizontal="center" wrapText="1"/>
      <protection locked="0"/>
    </xf>
    <xf numFmtId="0" fontId="11" fillId="0" borderId="2" xfId="0" applyFont="1" applyBorder="1" applyAlignment="1"/>
    <xf numFmtId="0" fontId="11" fillId="0" borderId="1" xfId="0" applyFont="1" applyBorder="1" applyAlignment="1"/>
    <xf numFmtId="0" fontId="27" fillId="3" borderId="11" xfId="0" applyFont="1" applyFill="1" applyBorder="1" applyAlignment="1">
      <alignment horizontal="left" vertical="top"/>
    </xf>
    <xf numFmtId="0" fontId="27" fillId="3" borderId="12" xfId="0" applyFont="1" applyFill="1" applyBorder="1" applyAlignment="1">
      <alignment horizontal="left"/>
    </xf>
    <xf numFmtId="0" fontId="11" fillId="0" borderId="12" xfId="0" applyFont="1" applyBorder="1" applyAlignment="1">
      <alignment horizontal="left"/>
    </xf>
    <xf numFmtId="0" fontId="0" fillId="6" borderId="49" xfId="0" applyFill="1" applyBorder="1" applyAlignment="1">
      <alignment horizontal="center"/>
    </xf>
    <xf numFmtId="0" fontId="27" fillId="3" borderId="84" xfId="0" applyFont="1" applyFill="1" applyBorder="1" applyAlignment="1">
      <alignment horizontal="right" vertical="center"/>
    </xf>
    <xf numFmtId="0" fontId="0" fillId="0" borderId="32" xfId="0" applyBorder="1" applyAlignment="1"/>
    <xf numFmtId="0" fontId="27" fillId="3" borderId="52" xfId="0" applyFont="1" applyFill="1" applyBorder="1" applyAlignment="1">
      <alignment horizontal="center" vertical="center"/>
    </xf>
    <xf numFmtId="0" fontId="27" fillId="3" borderId="53" xfId="0" applyFont="1" applyFill="1" applyBorder="1" applyAlignment="1">
      <alignment horizontal="center" vertical="center"/>
    </xf>
    <xf numFmtId="0" fontId="11" fillId="3" borderId="53" xfId="0" applyFont="1" applyFill="1" applyBorder="1" applyAlignment="1"/>
    <xf numFmtId="0" fontId="0" fillId="0" borderId="77" xfId="0" applyBorder="1" applyAlignment="1"/>
    <xf numFmtId="0" fontId="13" fillId="12" borderId="192" xfId="0" applyFont="1" applyFill="1" applyBorder="1" applyAlignment="1" applyProtection="1">
      <alignment horizontal="center" vertical="center" wrapText="1"/>
      <protection hidden="1"/>
    </xf>
    <xf numFmtId="0" fontId="13" fillId="12" borderId="158" xfId="0" applyFont="1" applyFill="1" applyBorder="1" applyAlignment="1" applyProtection="1">
      <alignment horizontal="center" vertical="center" wrapText="1"/>
      <protection hidden="1"/>
    </xf>
    <xf numFmtId="0" fontId="13" fillId="12" borderId="169" xfId="0" applyFont="1" applyFill="1" applyBorder="1" applyAlignment="1" applyProtection="1">
      <alignment horizontal="center" vertical="center" wrapText="1"/>
      <protection hidden="1"/>
    </xf>
    <xf numFmtId="3" fontId="11" fillId="0" borderId="16" xfId="0" applyNumberFormat="1" applyFont="1" applyFill="1" applyBorder="1" applyAlignment="1" applyProtection="1">
      <alignment horizontal="center" vertical="center"/>
      <protection locked="0"/>
    </xf>
    <xf numFmtId="0" fontId="9" fillId="3" borderId="66"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67" xfId="0" applyFont="1" applyFill="1" applyBorder="1" applyAlignment="1">
      <alignment horizontal="center" vertical="center" wrapText="1"/>
    </xf>
    <xf numFmtId="3" fontId="11" fillId="5" borderId="26" xfId="0" applyNumberFormat="1" applyFont="1" applyFill="1" applyBorder="1" applyAlignment="1" applyProtection="1">
      <alignment horizontal="center" vertical="center"/>
      <protection hidden="1"/>
    </xf>
    <xf numFmtId="0" fontId="11" fillId="5" borderId="13" xfId="0" applyFont="1" applyFill="1" applyBorder="1" applyAlignment="1" applyProtection="1">
      <alignment horizontal="center" vertical="center"/>
      <protection hidden="1"/>
    </xf>
    <xf numFmtId="0" fontId="11" fillId="5" borderId="13" xfId="0" applyFont="1" applyFill="1" applyBorder="1" applyAlignment="1" applyProtection="1">
      <protection hidden="1"/>
    </xf>
    <xf numFmtId="4" fontId="11" fillId="5" borderId="13" xfId="0" applyNumberFormat="1" applyFont="1" applyFill="1" applyBorder="1" applyAlignment="1" applyProtection="1">
      <protection hidden="1"/>
    </xf>
    <xf numFmtId="3" fontId="11" fillId="5" borderId="13" xfId="0" applyNumberFormat="1" applyFont="1" applyFill="1" applyBorder="1" applyAlignment="1" applyProtection="1">
      <alignment horizontal="center" vertical="center"/>
      <protection hidden="1"/>
    </xf>
    <xf numFmtId="0" fontId="41" fillId="14" borderId="0" xfId="0" applyFont="1" applyFill="1" applyBorder="1" applyAlignment="1">
      <alignment horizontal="center" vertical="center"/>
    </xf>
    <xf numFmtId="9" fontId="11" fillId="5" borderId="13" xfId="0" applyNumberFormat="1" applyFont="1" applyFill="1" applyBorder="1" applyAlignment="1" applyProtection="1">
      <alignment horizontal="center" vertical="center"/>
      <protection hidden="1"/>
    </xf>
    <xf numFmtId="9" fontId="11" fillId="5" borderId="13" xfId="0" applyNumberFormat="1" applyFont="1" applyFill="1" applyBorder="1" applyAlignment="1" applyProtection="1">
      <protection hidden="1"/>
    </xf>
    <xf numFmtId="0" fontId="9" fillId="3" borderId="66" xfId="0" applyFont="1" applyFill="1" applyBorder="1" applyAlignment="1">
      <alignment horizontal="center" vertical="center"/>
    </xf>
    <xf numFmtId="0" fontId="9" fillId="3" borderId="15" xfId="0" applyFont="1" applyFill="1" applyBorder="1" applyAlignment="1">
      <alignment horizontal="center" vertical="center"/>
    </xf>
    <xf numFmtId="0" fontId="9" fillId="3" borderId="16" xfId="0" applyFont="1" applyFill="1" applyBorder="1" applyAlignment="1">
      <alignment horizontal="center" vertical="center"/>
    </xf>
    <xf numFmtId="0" fontId="11" fillId="0" borderId="13" xfId="0" applyFont="1" applyFill="1" applyBorder="1" applyAlignment="1" applyProtection="1">
      <protection locked="0"/>
    </xf>
    <xf numFmtId="0" fontId="11" fillId="0" borderId="13" xfId="0" applyFont="1" applyBorder="1" applyAlignment="1" applyProtection="1">
      <protection locked="0"/>
    </xf>
    <xf numFmtId="1" fontId="11" fillId="0" borderId="16" xfId="0" applyNumberFormat="1" applyFont="1" applyFill="1" applyBorder="1" applyAlignment="1" applyProtection="1">
      <alignment horizontal="center" vertical="center"/>
      <protection locked="0"/>
    </xf>
    <xf numFmtId="1" fontId="11" fillId="0" borderId="13" xfId="0" applyNumberFormat="1" applyFont="1" applyFill="1" applyBorder="1" applyAlignment="1" applyProtection="1">
      <alignment horizontal="center" vertical="center"/>
      <protection locked="0"/>
    </xf>
    <xf numFmtId="1" fontId="11" fillId="0" borderId="13" xfId="0" applyNumberFormat="1" applyFont="1" applyFill="1" applyBorder="1" applyAlignment="1" applyProtection="1">
      <protection locked="0"/>
    </xf>
    <xf numFmtId="1" fontId="11" fillId="0" borderId="13" xfId="0" applyNumberFormat="1" applyFont="1" applyBorder="1" applyAlignment="1" applyProtection="1">
      <protection locked="0"/>
    </xf>
    <xf numFmtId="4" fontId="11" fillId="0" borderId="13" xfId="0" applyNumberFormat="1" applyFont="1" applyFill="1" applyBorder="1" applyAlignment="1" applyProtection="1">
      <protection locked="0"/>
    </xf>
    <xf numFmtId="4" fontId="11" fillId="0" borderId="13" xfId="0" applyNumberFormat="1" applyFont="1" applyBorder="1" applyAlignment="1" applyProtection="1">
      <protection locked="0"/>
    </xf>
    <xf numFmtId="166" fontId="11" fillId="5" borderId="16" xfId="0" applyNumberFormat="1" applyFont="1" applyFill="1" applyBorder="1" applyAlignment="1" applyProtection="1">
      <alignment horizontal="center" vertical="center"/>
      <protection hidden="1"/>
    </xf>
    <xf numFmtId="0" fontId="11" fillId="5" borderId="62" xfId="0" applyFont="1" applyFill="1" applyBorder="1" applyAlignment="1" applyProtection="1">
      <alignment horizontal="center" vertical="center"/>
      <protection hidden="1"/>
    </xf>
    <xf numFmtId="0" fontId="11" fillId="5" borderId="63" xfId="0" applyFont="1" applyFill="1" applyBorder="1" applyAlignment="1" applyProtection="1">
      <alignment horizontal="center" vertical="center"/>
      <protection hidden="1"/>
    </xf>
    <xf numFmtId="0" fontId="11" fillId="5" borderId="64" xfId="0" applyFont="1" applyFill="1" applyBorder="1" applyAlignment="1" applyProtection="1">
      <protection hidden="1"/>
    </xf>
    <xf numFmtId="166" fontId="11" fillId="5" borderId="70" xfId="0" applyNumberFormat="1" applyFont="1" applyFill="1" applyBorder="1" applyAlignment="1" applyProtection="1">
      <alignment horizontal="center" vertical="center"/>
      <protection hidden="1"/>
    </xf>
    <xf numFmtId="166" fontId="11" fillId="5" borderId="70" xfId="0" applyNumberFormat="1" applyFont="1" applyFill="1" applyBorder="1" applyAlignment="1" applyProtection="1">
      <protection hidden="1"/>
    </xf>
    <xf numFmtId="166" fontId="0" fillId="0" borderId="70" xfId="0" applyNumberFormat="1" applyBorder="1" applyAlignment="1" applyProtection="1">
      <protection hidden="1"/>
    </xf>
    <xf numFmtId="0" fontId="12" fillId="6" borderId="79" xfId="0" applyFont="1" applyFill="1" applyBorder="1" applyAlignment="1">
      <alignment horizontal="center"/>
    </xf>
    <xf numFmtId="166" fontId="11" fillId="5" borderId="8" xfId="0" applyNumberFormat="1" applyFont="1" applyFill="1" applyBorder="1" applyAlignment="1" applyProtection="1">
      <alignment horizontal="center" vertical="center"/>
      <protection hidden="1"/>
    </xf>
    <xf numFmtId="166" fontId="11" fillId="5" borderId="44" xfId="0" applyNumberFormat="1" applyFont="1" applyFill="1" applyBorder="1" applyAlignment="1" applyProtection="1">
      <alignment horizontal="center" vertical="center"/>
      <protection hidden="1"/>
    </xf>
    <xf numFmtId="166" fontId="11" fillId="5" borderId="71" xfId="0" applyNumberFormat="1" applyFont="1" applyFill="1" applyBorder="1" applyAlignment="1" applyProtection="1">
      <protection hidden="1"/>
    </xf>
    <xf numFmtId="4" fontId="11" fillId="0" borderId="70" xfId="0" applyNumberFormat="1" applyFont="1" applyFill="1" applyBorder="1" applyAlignment="1" applyProtection="1">
      <alignment horizontal="center" vertical="center"/>
      <protection locked="0"/>
    </xf>
    <xf numFmtId="4" fontId="11" fillId="0" borderId="70" xfId="0" applyNumberFormat="1" applyFont="1" applyBorder="1" applyAlignment="1" applyProtection="1">
      <alignment horizontal="center" vertical="center"/>
      <protection locked="0"/>
    </xf>
    <xf numFmtId="9" fontId="11" fillId="5" borderId="56" xfId="0" applyNumberFormat="1" applyFont="1" applyFill="1" applyBorder="1" applyAlignment="1" applyProtection="1">
      <alignment horizontal="center" vertical="center"/>
      <protection hidden="1"/>
    </xf>
    <xf numFmtId="9" fontId="11" fillId="5" borderId="1" xfId="0" applyNumberFormat="1" applyFont="1" applyFill="1" applyBorder="1" applyAlignment="1" applyProtection="1">
      <alignment horizontal="center" vertical="center"/>
      <protection hidden="1"/>
    </xf>
    <xf numFmtId="9" fontId="11" fillId="5" borderId="57" xfId="0" applyNumberFormat="1" applyFont="1" applyFill="1" applyBorder="1" applyAlignment="1" applyProtection="1">
      <protection hidden="1"/>
    </xf>
    <xf numFmtId="0" fontId="0" fillId="6" borderId="25" xfId="0" applyFill="1" applyBorder="1" applyAlignment="1"/>
    <xf numFmtId="0" fontId="0" fillId="0" borderId="25" xfId="0" applyBorder="1" applyAlignment="1"/>
    <xf numFmtId="0" fontId="0" fillId="0" borderId="29" xfId="0" applyBorder="1" applyAlignment="1"/>
    <xf numFmtId="3" fontId="11" fillId="0" borderId="70" xfId="0" applyNumberFormat="1" applyFont="1" applyFill="1" applyBorder="1" applyAlignment="1" applyProtection="1">
      <alignment horizontal="center" vertical="center"/>
      <protection locked="0"/>
    </xf>
    <xf numFmtId="3" fontId="11" fillId="0" borderId="70" xfId="0" applyNumberFormat="1" applyFont="1" applyFill="1" applyBorder="1" applyAlignment="1" applyProtection="1">
      <protection locked="0"/>
    </xf>
    <xf numFmtId="3" fontId="11" fillId="0" borderId="70" xfId="0" applyNumberFormat="1" applyFont="1" applyBorder="1" applyAlignment="1" applyProtection="1">
      <protection locked="0"/>
    </xf>
    <xf numFmtId="0" fontId="12" fillId="6" borderId="73" xfId="0" applyFont="1" applyFill="1" applyBorder="1" applyAlignment="1">
      <alignment horizontal="center"/>
    </xf>
    <xf numFmtId="3" fontId="11" fillId="0" borderId="14" xfId="0" applyNumberFormat="1" applyFont="1" applyBorder="1" applyAlignment="1" applyProtection="1">
      <protection locked="0"/>
    </xf>
    <xf numFmtId="0" fontId="36" fillId="6" borderId="52" xfId="0" applyFont="1" applyFill="1" applyBorder="1" applyAlignment="1">
      <alignment horizontal="center"/>
    </xf>
    <xf numFmtId="0" fontId="36" fillId="6" borderId="53" xfId="0" applyFont="1" applyFill="1" applyBorder="1" applyAlignment="1">
      <alignment horizontal="center"/>
    </xf>
    <xf numFmtId="0" fontId="36" fillId="6" borderId="77" xfId="0" applyFont="1" applyFill="1" applyBorder="1" applyAlignment="1">
      <alignment horizontal="center"/>
    </xf>
    <xf numFmtId="4" fontId="11" fillId="7" borderId="13" xfId="0" applyNumberFormat="1" applyFont="1" applyFill="1" applyBorder="1" applyAlignment="1" applyProtection="1">
      <alignment horizontal="center" vertical="center"/>
      <protection locked="0"/>
    </xf>
    <xf numFmtId="4" fontId="11" fillId="7" borderId="13" xfId="0" applyNumberFormat="1" applyFont="1" applyFill="1" applyBorder="1" applyAlignment="1" applyProtection="1">
      <protection locked="0"/>
    </xf>
    <xf numFmtId="0" fontId="11" fillId="5" borderId="70" xfId="0" applyFont="1" applyFill="1" applyBorder="1" applyAlignment="1"/>
    <xf numFmtId="0" fontId="0" fillId="0" borderId="70" xfId="0" applyBorder="1" applyAlignment="1"/>
    <xf numFmtId="0" fontId="0" fillId="0" borderId="67" xfId="0" applyBorder="1" applyAlignment="1"/>
    <xf numFmtId="0" fontId="0" fillId="6" borderId="51" xfId="0" applyFill="1" applyBorder="1" applyAlignment="1"/>
    <xf numFmtId="0" fontId="0" fillId="0" borderId="51" xfId="0" applyBorder="1" applyAlignment="1"/>
    <xf numFmtId="0" fontId="0" fillId="0" borderId="46" xfId="0" applyBorder="1" applyAlignment="1"/>
    <xf numFmtId="0" fontId="0" fillId="5" borderId="0" xfId="0" applyFill="1" applyBorder="1" applyAlignment="1">
      <alignment horizontal="center" vertical="center"/>
    </xf>
    <xf numFmtId="49" fontId="12" fillId="0" borderId="13" xfId="0" applyNumberFormat="1" applyFont="1" applyBorder="1" applyAlignment="1" applyProtection="1">
      <alignment horizontal="center" vertical="center"/>
      <protection locked="0"/>
    </xf>
    <xf numFmtId="0" fontId="13" fillId="3" borderId="125" xfId="0" applyFont="1" applyFill="1" applyBorder="1" applyAlignment="1">
      <alignment horizontal="right" vertical="center"/>
    </xf>
    <xf numFmtId="0" fontId="13" fillId="3" borderId="0" xfId="0" applyFont="1" applyFill="1" applyBorder="1" applyAlignment="1">
      <alignment horizontal="right" vertical="center"/>
    </xf>
    <xf numFmtId="0" fontId="13" fillId="3" borderId="8" xfId="0" applyFont="1" applyFill="1" applyBorder="1" applyAlignment="1">
      <alignment horizontal="right" vertical="center"/>
    </xf>
    <xf numFmtId="0" fontId="13" fillId="3" borderId="173" xfId="0" applyFont="1" applyFill="1" applyBorder="1" applyAlignment="1">
      <alignment horizontal="right" vertical="center"/>
    </xf>
    <xf numFmtId="0" fontId="13" fillId="3" borderId="10" xfId="0" applyFont="1" applyFill="1" applyBorder="1" applyAlignment="1">
      <alignment horizontal="right" vertical="center"/>
    </xf>
    <xf numFmtId="0" fontId="13" fillId="3" borderId="11" xfId="0" applyFont="1" applyFill="1" applyBorder="1" applyAlignment="1">
      <alignment horizontal="right" vertical="center"/>
    </xf>
    <xf numFmtId="0" fontId="12" fillId="0" borderId="21" xfId="0" applyFont="1" applyFill="1" applyBorder="1" applyAlignment="1" applyProtection="1">
      <alignment horizontal="center" vertical="center"/>
      <protection locked="0"/>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44" fontId="19" fillId="6" borderId="13" xfId="0" applyNumberFormat="1" applyFont="1" applyFill="1" applyBorder="1" applyAlignment="1" applyProtection="1">
      <alignment horizontal="center" vertical="center"/>
    </xf>
    <xf numFmtId="0" fontId="19" fillId="0" borderId="13" xfId="0" applyFont="1" applyFill="1" applyBorder="1" applyAlignment="1" applyProtection="1">
      <alignment horizontal="center" vertical="center"/>
      <protection locked="0"/>
    </xf>
    <xf numFmtId="0" fontId="14" fillId="6" borderId="6" xfId="0" applyFont="1" applyFill="1" applyBorder="1" applyAlignment="1">
      <alignment horizontal="center" vertical="center"/>
    </xf>
    <xf numFmtId="0" fontId="14" fillId="6" borderId="5" xfId="0" applyFont="1" applyFill="1" applyBorder="1" applyAlignment="1">
      <alignment horizontal="center" vertical="center"/>
    </xf>
    <xf numFmtId="0" fontId="14" fillId="6" borderId="7" xfId="0" applyFont="1" applyFill="1" applyBorder="1" applyAlignment="1">
      <alignment horizontal="center" vertical="center"/>
    </xf>
    <xf numFmtId="0" fontId="14" fillId="6" borderId="9" xfId="0" applyFont="1" applyFill="1" applyBorder="1" applyAlignment="1">
      <alignment horizontal="center" vertical="center"/>
    </xf>
    <xf numFmtId="0" fontId="14" fillId="6" borderId="10" xfId="0" applyFont="1" applyFill="1" applyBorder="1" applyAlignment="1">
      <alignment horizontal="center" vertical="center"/>
    </xf>
    <xf numFmtId="0" fontId="14" fillId="6" borderId="11" xfId="0" applyFont="1" applyFill="1" applyBorder="1" applyAlignment="1">
      <alignment horizontal="center" vertical="center"/>
    </xf>
    <xf numFmtId="0" fontId="14" fillId="6" borderId="6"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0" fillId="0" borderId="162" xfId="0" applyFill="1" applyBorder="1" applyAlignment="1">
      <alignment horizontal="center" vertical="center"/>
    </xf>
    <xf numFmtId="0" fontId="0" fillId="0" borderId="93" xfId="0" applyFill="1" applyBorder="1" applyAlignment="1">
      <alignment horizontal="center" vertical="center"/>
    </xf>
    <xf numFmtId="0" fontId="0" fillId="0" borderId="163" xfId="0" applyFill="1" applyBorder="1" applyAlignment="1">
      <alignment horizontal="center" vertical="center"/>
    </xf>
    <xf numFmtId="0" fontId="12" fillId="0" borderId="106" xfId="0" applyFont="1" applyFill="1" applyBorder="1" applyAlignment="1">
      <alignment horizontal="center" vertical="center"/>
    </xf>
    <xf numFmtId="0" fontId="12" fillId="0" borderId="95" xfId="0" applyFont="1" applyFill="1" applyBorder="1" applyAlignment="1">
      <alignment horizontal="center" vertical="center"/>
    </xf>
    <xf numFmtId="0" fontId="12" fillId="0" borderId="107" xfId="0" applyFont="1" applyFill="1" applyBorder="1" applyAlignment="1">
      <alignment horizontal="center" vertical="center"/>
    </xf>
    <xf numFmtId="0" fontId="11" fillId="0" borderId="134"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150" xfId="0" applyFont="1" applyFill="1" applyBorder="1" applyAlignment="1">
      <alignment horizontal="center" vertical="center" wrapText="1"/>
    </xf>
    <xf numFmtId="0" fontId="11" fillId="0" borderId="171" xfId="0" applyFont="1" applyFill="1" applyBorder="1" applyAlignment="1">
      <alignment horizontal="center" vertical="center" wrapText="1"/>
    </xf>
    <xf numFmtId="0" fontId="0" fillId="0" borderId="92" xfId="0" applyFill="1" applyBorder="1" applyAlignment="1">
      <alignment horizontal="center" vertical="center"/>
    </xf>
    <xf numFmtId="0" fontId="0" fillId="0" borderId="133" xfId="0" applyFill="1" applyBorder="1" applyAlignment="1">
      <alignment horizontal="center" vertical="center"/>
    </xf>
    <xf numFmtId="0" fontId="22" fillId="0" borderId="135" xfId="0" applyFont="1" applyFill="1" applyBorder="1" applyAlignment="1">
      <alignment horizontal="center"/>
    </xf>
    <xf numFmtId="0" fontId="22" fillId="0" borderId="25" xfId="0" applyFont="1" applyFill="1" applyBorder="1" applyAlignment="1">
      <alignment horizontal="center"/>
    </xf>
    <xf numFmtId="0" fontId="22" fillId="0" borderId="136" xfId="0" applyFont="1" applyFill="1" applyBorder="1" applyAlignment="1">
      <alignment horizontal="center"/>
    </xf>
    <xf numFmtId="0" fontId="13" fillId="3" borderId="14" xfId="0" applyFont="1" applyFill="1" applyBorder="1" applyAlignment="1">
      <alignment horizontal="right" vertical="center"/>
    </xf>
    <xf numFmtId="0" fontId="13" fillId="3" borderId="15" xfId="0" applyFont="1" applyFill="1" applyBorder="1" applyAlignment="1">
      <alignment horizontal="right" vertical="center"/>
    </xf>
    <xf numFmtId="0" fontId="13" fillId="3" borderId="16" xfId="0" applyFont="1" applyFill="1" applyBorder="1" applyAlignment="1">
      <alignment horizontal="right" vertical="center"/>
    </xf>
    <xf numFmtId="0" fontId="0" fillId="0" borderId="106" xfId="0" applyFill="1" applyBorder="1" applyAlignment="1">
      <alignment horizontal="center" vertical="center"/>
    </xf>
    <xf numFmtId="0" fontId="0" fillId="0" borderId="95" xfId="0" applyFill="1" applyBorder="1" applyAlignment="1">
      <alignment horizontal="center" vertical="center"/>
    </xf>
    <xf numFmtId="0" fontId="0" fillId="0" borderId="99" xfId="0" applyFill="1" applyBorder="1" applyAlignment="1">
      <alignment horizontal="center" vertical="center"/>
    </xf>
    <xf numFmtId="0" fontId="0" fillId="0" borderId="94" xfId="0" applyFill="1" applyBorder="1" applyAlignment="1">
      <alignment horizontal="center" vertical="center"/>
    </xf>
    <xf numFmtId="0" fontId="0" fillId="0" borderId="107" xfId="0" applyFill="1" applyBorder="1" applyAlignment="1">
      <alignment horizontal="center" vertical="center"/>
    </xf>
    <xf numFmtId="0" fontId="22" fillId="0" borderId="108" xfId="0" applyFont="1" applyBorder="1" applyAlignment="1">
      <alignment horizontal="center"/>
    </xf>
    <xf numFmtId="0" fontId="22" fillId="0" borderId="97" xfId="0" applyFont="1" applyBorder="1" applyAlignment="1">
      <alignment horizontal="center"/>
    </xf>
    <xf numFmtId="0" fontId="22" fillId="0" borderId="105" xfId="0" applyFont="1" applyBorder="1" applyAlignment="1">
      <alignment horizontal="center"/>
    </xf>
    <xf numFmtId="0" fontId="22" fillId="0" borderId="106" xfId="0" applyFont="1" applyBorder="1" applyAlignment="1">
      <alignment horizontal="center"/>
    </xf>
    <xf numFmtId="0" fontId="22" fillId="0" borderId="95" xfId="0" applyFont="1" applyBorder="1" applyAlignment="1">
      <alignment horizontal="center"/>
    </xf>
    <xf numFmtId="0" fontId="22" fillId="0" borderId="107" xfId="0" applyFont="1" applyBorder="1" applyAlignment="1">
      <alignment horizontal="center"/>
    </xf>
    <xf numFmtId="0" fontId="22" fillId="0" borderId="112" xfId="0" applyFont="1" applyBorder="1" applyAlignment="1">
      <alignment horizontal="center"/>
    </xf>
    <xf numFmtId="0" fontId="22" fillId="0" borderId="118" xfId="0" applyFont="1" applyBorder="1" applyAlignment="1">
      <alignment horizontal="center"/>
    </xf>
    <xf numFmtId="0" fontId="22" fillId="0" borderId="119" xfId="0" applyFont="1" applyBorder="1" applyAlignment="1">
      <alignment horizontal="center"/>
    </xf>
    <xf numFmtId="0" fontId="0" fillId="0" borderId="117" xfId="0" applyFill="1" applyBorder="1" applyAlignment="1">
      <alignment horizontal="center"/>
    </xf>
    <xf numFmtId="0" fontId="0" fillId="0" borderId="118" xfId="0" applyFill="1" applyBorder="1" applyAlignment="1">
      <alignment horizontal="center"/>
    </xf>
    <xf numFmtId="0" fontId="0" fillId="0" borderId="119" xfId="0" applyFill="1" applyBorder="1" applyAlignment="1">
      <alignment horizontal="center"/>
    </xf>
    <xf numFmtId="0" fontId="12" fillId="3" borderId="52" xfId="0" applyFont="1" applyFill="1" applyBorder="1" applyAlignment="1">
      <alignment horizontal="center"/>
    </xf>
    <xf numFmtId="0" fontId="12" fillId="3" borderId="53" xfId="0" applyFont="1" applyFill="1" applyBorder="1" applyAlignment="1">
      <alignment horizontal="center"/>
    </xf>
    <xf numFmtId="0" fontId="12" fillId="3" borderId="54" xfId="0" applyFont="1" applyFill="1" applyBorder="1" applyAlignment="1">
      <alignment horizontal="center"/>
    </xf>
    <xf numFmtId="0" fontId="12" fillId="0" borderId="162" xfId="0" applyFont="1" applyFill="1" applyBorder="1" applyAlignment="1">
      <alignment horizontal="center" vertical="center"/>
    </xf>
    <xf numFmtId="0" fontId="12" fillId="0" borderId="93" xfId="0" applyFont="1" applyFill="1" applyBorder="1" applyAlignment="1">
      <alignment horizontal="center" vertical="center"/>
    </xf>
    <xf numFmtId="0" fontId="12" fillId="0" borderId="133" xfId="0" applyFont="1" applyFill="1" applyBorder="1" applyAlignment="1">
      <alignment horizontal="center" vertical="center"/>
    </xf>
    <xf numFmtId="0" fontId="12" fillId="0" borderId="106" xfId="0" applyFont="1" applyFill="1" applyBorder="1" applyAlignment="1">
      <alignment horizontal="center"/>
    </xf>
    <xf numFmtId="0" fontId="12" fillId="0" borderId="95" xfId="0" applyFont="1" applyFill="1" applyBorder="1" applyAlignment="1">
      <alignment horizontal="center"/>
    </xf>
    <xf numFmtId="0" fontId="12" fillId="0" borderId="107" xfId="0" applyFont="1" applyFill="1" applyBorder="1" applyAlignment="1">
      <alignment horizontal="center"/>
    </xf>
    <xf numFmtId="0" fontId="0" fillId="0" borderId="106" xfId="0" applyFill="1" applyBorder="1" applyAlignment="1">
      <alignment horizontal="center"/>
    </xf>
    <xf numFmtId="0" fontId="0" fillId="0" borderId="95" xfId="0" applyFill="1" applyBorder="1" applyAlignment="1">
      <alignment horizontal="center"/>
    </xf>
    <xf numFmtId="0" fontId="0" fillId="0" borderId="99" xfId="0" applyFill="1" applyBorder="1" applyAlignment="1">
      <alignment horizontal="center"/>
    </xf>
    <xf numFmtId="0" fontId="12" fillId="0" borderId="112" xfId="0" applyFont="1" applyFill="1" applyBorder="1" applyAlignment="1">
      <alignment horizontal="center"/>
    </xf>
    <xf numFmtId="0" fontId="12" fillId="0" borderId="118" xfId="0" applyFont="1" applyFill="1" applyBorder="1" applyAlignment="1">
      <alignment horizontal="center"/>
    </xf>
    <xf numFmtId="0" fontId="12" fillId="0" borderId="119" xfId="0" applyFont="1" applyFill="1" applyBorder="1" applyAlignment="1">
      <alignment horizontal="center"/>
    </xf>
    <xf numFmtId="0" fontId="0" fillId="0" borderId="112" xfId="0" applyFill="1" applyBorder="1" applyAlignment="1">
      <alignment horizontal="center"/>
    </xf>
    <xf numFmtId="0" fontId="0" fillId="0" borderId="120" xfId="0" applyFill="1" applyBorder="1" applyAlignment="1">
      <alignment horizontal="center"/>
    </xf>
    <xf numFmtId="4" fontId="12" fillId="6" borderId="14" xfId="0" applyNumberFormat="1" applyFont="1" applyFill="1" applyBorder="1" applyAlignment="1">
      <alignment horizontal="center" vertical="center"/>
    </xf>
    <xf numFmtId="4" fontId="12" fillId="6" borderId="15" xfId="0" applyNumberFormat="1" applyFont="1" applyFill="1" applyBorder="1" applyAlignment="1">
      <alignment horizontal="center" vertical="center"/>
    </xf>
    <xf numFmtId="4" fontId="12" fillId="6" borderId="16" xfId="0" applyNumberFormat="1" applyFont="1" applyFill="1" applyBorder="1" applyAlignment="1">
      <alignment horizontal="center" vertical="center"/>
    </xf>
    <xf numFmtId="0" fontId="0" fillId="0" borderId="108" xfId="0" applyFill="1" applyBorder="1" applyAlignment="1">
      <alignment horizontal="center" vertical="center"/>
    </xf>
    <xf numFmtId="0" fontId="0" fillId="0" borderId="97" xfId="0" applyFill="1" applyBorder="1" applyAlignment="1">
      <alignment horizontal="center" vertical="center"/>
    </xf>
    <xf numFmtId="0" fontId="0" fillId="0" borderId="104" xfId="0" applyFill="1" applyBorder="1" applyAlignment="1">
      <alignment horizontal="center" vertical="center"/>
    </xf>
    <xf numFmtId="0" fontId="12" fillId="0" borderId="94" xfId="0" applyFont="1" applyFill="1" applyBorder="1" applyAlignment="1">
      <alignment horizontal="center" vertical="center"/>
    </xf>
    <xf numFmtId="0" fontId="12" fillId="0" borderId="117" xfId="0" applyFont="1" applyFill="1" applyBorder="1" applyAlignment="1">
      <alignment horizontal="center" vertical="center"/>
    </xf>
    <xf numFmtId="0" fontId="12" fillId="0" borderId="118" xfId="0" applyFont="1" applyFill="1" applyBorder="1" applyAlignment="1">
      <alignment horizontal="center" vertical="center"/>
    </xf>
    <xf numFmtId="0" fontId="12" fillId="0" borderId="119" xfId="0" applyFont="1" applyFill="1" applyBorder="1" applyAlignment="1">
      <alignment horizontal="center" vertical="center"/>
    </xf>
    <xf numFmtId="0" fontId="0" fillId="0" borderId="94" xfId="0" applyFill="1" applyBorder="1" applyAlignment="1">
      <alignment horizontal="center"/>
    </xf>
    <xf numFmtId="0" fontId="0" fillId="0" borderId="107" xfId="0" applyFill="1" applyBorder="1" applyAlignment="1">
      <alignment horizontal="center"/>
    </xf>
    <xf numFmtId="0" fontId="0" fillId="0" borderId="101" xfId="0" applyFill="1" applyBorder="1" applyAlignment="1">
      <alignment horizontal="center"/>
    </xf>
    <xf numFmtId="0" fontId="0" fillId="0" borderId="121" xfId="0" applyFill="1" applyBorder="1" applyAlignment="1">
      <alignment horizontal="center"/>
    </xf>
    <xf numFmtId="0" fontId="0" fillId="0" borderId="122" xfId="0" applyFill="1" applyBorder="1" applyAlignment="1">
      <alignment horizontal="center"/>
    </xf>
    <xf numFmtId="0" fontId="12" fillId="0" borderId="109" xfId="0" applyFont="1" applyFill="1" applyBorder="1" applyAlignment="1">
      <alignment horizontal="center"/>
    </xf>
    <xf numFmtId="0" fontId="12" fillId="0" borderId="121" xfId="0" applyFont="1" applyFill="1" applyBorder="1" applyAlignment="1">
      <alignment horizontal="center"/>
    </xf>
    <xf numFmtId="0" fontId="12" fillId="0" borderId="122" xfId="0" applyFont="1" applyFill="1" applyBorder="1" applyAlignment="1">
      <alignment horizontal="center"/>
    </xf>
    <xf numFmtId="0" fontId="0" fillId="0" borderId="109" xfId="0" applyFill="1" applyBorder="1" applyAlignment="1">
      <alignment horizontal="center"/>
    </xf>
    <xf numFmtId="0" fontId="0" fillId="0" borderId="112" xfId="0" applyFill="1" applyBorder="1" applyAlignment="1">
      <alignment horizontal="center" vertical="center"/>
    </xf>
    <xf numFmtId="0" fontId="0" fillId="0" borderId="118" xfId="0" applyFill="1" applyBorder="1" applyAlignment="1">
      <alignment horizontal="center" vertical="center"/>
    </xf>
    <xf numFmtId="0" fontId="0" fillId="0" borderId="120" xfId="0" applyFill="1" applyBorder="1" applyAlignment="1">
      <alignment horizontal="center" vertical="center"/>
    </xf>
    <xf numFmtId="0" fontId="12" fillId="0" borderId="127" xfId="0" applyFont="1" applyFill="1" applyBorder="1" applyAlignment="1">
      <alignment horizontal="center"/>
    </xf>
    <xf numFmtId="0" fontId="12" fillId="0" borderId="102" xfId="0" applyFont="1" applyFill="1" applyBorder="1" applyAlignment="1">
      <alignment horizontal="center"/>
    </xf>
    <xf numFmtId="0" fontId="12" fillId="0" borderId="111" xfId="0" applyFont="1" applyFill="1" applyBorder="1" applyAlignment="1">
      <alignment horizontal="center"/>
    </xf>
    <xf numFmtId="0" fontId="0" fillId="0" borderId="127" xfId="0" applyFill="1" applyBorder="1" applyAlignment="1">
      <alignment horizontal="center"/>
    </xf>
    <xf numFmtId="0" fontId="0" fillId="0" borderId="102" xfId="0" applyFill="1" applyBorder="1" applyAlignment="1">
      <alignment horizontal="center"/>
    </xf>
    <xf numFmtId="0" fontId="0" fillId="0" borderId="98" xfId="0" applyFill="1" applyBorder="1" applyAlignment="1">
      <alignment horizontal="center"/>
    </xf>
    <xf numFmtId="0" fontId="22" fillId="0" borderId="99" xfId="0" applyFont="1" applyBorder="1" applyAlignment="1">
      <alignment horizontal="center"/>
    </xf>
    <xf numFmtId="0" fontId="0" fillId="3" borderId="52" xfId="0" applyFill="1" applyBorder="1" applyAlignment="1">
      <alignment horizontal="center"/>
    </xf>
    <xf numFmtId="0" fontId="0" fillId="3" borderId="53" xfId="0" applyFill="1" applyBorder="1" applyAlignment="1">
      <alignment horizontal="center"/>
    </xf>
    <xf numFmtId="0" fontId="0" fillId="3" borderId="54" xfId="0" applyFill="1" applyBorder="1" applyAlignment="1">
      <alignment horizontal="center"/>
    </xf>
    <xf numFmtId="0" fontId="22" fillId="3" borderId="52" xfId="0" applyFont="1" applyFill="1" applyBorder="1" applyAlignment="1">
      <alignment horizontal="center"/>
    </xf>
    <xf numFmtId="0" fontId="22" fillId="3" borderId="53" xfId="0" applyFont="1" applyFill="1" applyBorder="1" applyAlignment="1">
      <alignment horizontal="center"/>
    </xf>
    <xf numFmtId="0" fontId="22" fillId="3" borderId="54" xfId="0" applyFont="1" applyFill="1" applyBorder="1" applyAlignment="1">
      <alignment horizontal="center"/>
    </xf>
    <xf numFmtId="0" fontId="22" fillId="0" borderId="104" xfId="0" applyFont="1" applyBorder="1" applyAlignment="1">
      <alignment horizontal="center"/>
    </xf>
    <xf numFmtId="0" fontId="22" fillId="0" borderId="120" xfId="0" applyFont="1" applyBorder="1" applyAlignment="1">
      <alignment horizontal="center"/>
    </xf>
    <xf numFmtId="0" fontId="0" fillId="0" borderId="103" xfId="0" applyFill="1" applyBorder="1" applyAlignment="1">
      <alignment horizontal="center"/>
    </xf>
    <xf numFmtId="0" fontId="0" fillId="0" borderId="111" xfId="0" applyFill="1" applyBorder="1" applyAlignment="1">
      <alignment horizontal="center"/>
    </xf>
    <xf numFmtId="0" fontId="12" fillId="6" borderId="1" xfId="0" applyFont="1" applyFill="1" applyBorder="1" applyAlignment="1">
      <alignment horizontal="center" vertical="center"/>
    </xf>
    <xf numFmtId="0" fontId="0" fillId="6" borderId="1" xfId="0" applyFill="1" applyBorder="1" applyAlignment="1">
      <alignment horizontal="center" vertical="center"/>
    </xf>
    <xf numFmtId="0" fontId="0" fillId="6" borderId="1" xfId="0" applyFill="1" applyBorder="1" applyAlignment="1">
      <alignment vertical="center"/>
    </xf>
    <xf numFmtId="0" fontId="0" fillId="0" borderId="103" xfId="0" applyFill="1" applyBorder="1" applyAlignment="1">
      <alignment horizontal="center" vertical="center"/>
    </xf>
    <xf numFmtId="0" fontId="0" fillId="0" borderId="102" xfId="0" applyFill="1" applyBorder="1" applyAlignment="1">
      <alignment horizontal="center" vertical="center"/>
    </xf>
    <xf numFmtId="0" fontId="0" fillId="0" borderId="111" xfId="0" applyFill="1" applyBorder="1" applyAlignment="1">
      <alignment horizontal="center" vertical="center"/>
    </xf>
    <xf numFmtId="0" fontId="0" fillId="7" borderId="94" xfId="0" applyFill="1" applyBorder="1" applyAlignment="1">
      <alignment horizontal="center" vertical="center"/>
    </xf>
    <xf numFmtId="0" fontId="0" fillId="7" borderId="95" xfId="0" applyFill="1" applyBorder="1" applyAlignment="1">
      <alignment horizontal="center" vertical="center"/>
    </xf>
    <xf numFmtId="0" fontId="0" fillId="7" borderId="100" xfId="0" applyFill="1" applyBorder="1" applyAlignment="1">
      <alignment horizontal="center" vertical="center"/>
    </xf>
    <xf numFmtId="0" fontId="22" fillId="0" borderId="127" xfId="0" applyFont="1" applyBorder="1" applyAlignment="1">
      <alignment horizontal="center"/>
    </xf>
    <xf numFmtId="0" fontId="22" fillId="0" borderId="102" xfId="0" applyFont="1" applyBorder="1" applyAlignment="1">
      <alignment horizontal="center"/>
    </xf>
    <xf numFmtId="0" fontId="22" fillId="0" borderId="98" xfId="0" applyFont="1" applyBorder="1" applyAlignment="1">
      <alignment horizontal="center"/>
    </xf>
    <xf numFmtId="39" fontId="12" fillId="6" borderId="31" xfId="0" applyNumberFormat="1" applyFont="1" applyFill="1" applyBorder="1" applyAlignment="1">
      <alignment horizontal="center" vertical="center"/>
    </xf>
    <xf numFmtId="39" fontId="12" fillId="6" borderId="32" xfId="0" applyNumberFormat="1" applyFont="1" applyFill="1" applyBorder="1" applyAlignment="1">
      <alignment horizontal="center" vertical="center"/>
    </xf>
    <xf numFmtId="39" fontId="12" fillId="6" borderId="132" xfId="0" applyNumberFormat="1" applyFont="1" applyFill="1" applyBorder="1" applyAlignment="1">
      <alignment horizontal="center" vertical="center"/>
    </xf>
    <xf numFmtId="0" fontId="0" fillId="0" borderId="96" xfId="0" applyFill="1" applyBorder="1" applyAlignment="1">
      <alignment horizontal="center"/>
    </xf>
    <xf numFmtId="0" fontId="0" fillId="0" borderId="97" xfId="0" applyFill="1" applyBorder="1" applyAlignment="1">
      <alignment horizontal="center"/>
    </xf>
    <xf numFmtId="0" fontId="0" fillId="0" borderId="105" xfId="0" applyFill="1" applyBorder="1" applyAlignment="1">
      <alignment horizontal="center"/>
    </xf>
    <xf numFmtId="0" fontId="12" fillId="6" borderId="13" xfId="0" applyFont="1" applyFill="1" applyBorder="1" applyAlignment="1">
      <alignment horizontal="center" vertical="center"/>
    </xf>
    <xf numFmtId="0" fontId="0" fillId="6" borderId="13" xfId="0" applyFill="1" applyBorder="1" applyAlignment="1">
      <alignment horizontal="center" vertical="center"/>
    </xf>
    <xf numFmtId="0" fontId="0" fillId="6" borderId="13" xfId="0" applyFill="1" applyBorder="1" applyAlignment="1">
      <alignment vertical="center"/>
    </xf>
    <xf numFmtId="0" fontId="0" fillId="0" borderId="13" xfId="0" applyBorder="1" applyAlignment="1">
      <alignment vertical="center"/>
    </xf>
    <xf numFmtId="9" fontId="12" fillId="6" borderId="13" xfId="0" applyNumberFormat="1" applyFont="1" applyFill="1" applyBorder="1" applyAlignment="1">
      <alignment horizontal="center" vertical="center"/>
    </xf>
    <xf numFmtId="9" fontId="0" fillId="6" borderId="13" xfId="0" applyNumberFormat="1" applyFill="1" applyBorder="1" applyAlignment="1">
      <alignment horizontal="center" vertical="center"/>
    </xf>
    <xf numFmtId="9" fontId="0" fillId="6" borderId="13" xfId="0" applyNumberFormat="1" applyFill="1" applyBorder="1" applyAlignment="1">
      <alignment vertical="center"/>
    </xf>
    <xf numFmtId="9" fontId="0" fillId="0" borderId="13" xfId="0" applyNumberFormat="1" applyBorder="1" applyAlignment="1">
      <alignment vertical="center"/>
    </xf>
    <xf numFmtId="3" fontId="12" fillId="6" borderId="13" xfId="0" applyNumberFormat="1" applyFont="1" applyFill="1" applyBorder="1" applyAlignment="1">
      <alignment horizontal="center" vertical="center"/>
    </xf>
    <xf numFmtId="3" fontId="0" fillId="6" borderId="13" xfId="0" applyNumberFormat="1" applyFill="1" applyBorder="1" applyAlignment="1">
      <alignment horizontal="center" vertical="center"/>
    </xf>
    <xf numFmtId="3" fontId="0" fillId="6" borderId="13" xfId="0" applyNumberFormat="1" applyFill="1" applyBorder="1" applyAlignment="1">
      <alignment vertical="center"/>
    </xf>
    <xf numFmtId="3" fontId="0" fillId="0" borderId="13" xfId="0" applyNumberFormat="1" applyBorder="1" applyAlignment="1">
      <alignment vertical="center"/>
    </xf>
    <xf numFmtId="3" fontId="12" fillId="6" borderId="16" xfId="0" applyNumberFormat="1" applyFont="1" applyFill="1" applyBorder="1" applyAlignment="1">
      <alignment horizontal="center" vertical="center"/>
    </xf>
    <xf numFmtId="0" fontId="0" fillId="0" borderId="13" xfId="0" applyBorder="1" applyAlignment="1">
      <alignment horizontal="center" vertical="center"/>
    </xf>
    <xf numFmtId="0" fontId="0" fillId="0" borderId="105" xfId="0" applyFill="1" applyBorder="1" applyAlignment="1">
      <alignment horizontal="center" vertical="center"/>
    </xf>
    <xf numFmtId="0" fontId="12" fillId="0" borderId="96" xfId="0" applyFont="1" applyFill="1" applyBorder="1" applyAlignment="1">
      <alignment horizontal="center" vertical="center"/>
    </xf>
    <xf numFmtId="0" fontId="12" fillId="0" borderId="97" xfId="0" applyFont="1" applyFill="1" applyBorder="1" applyAlignment="1">
      <alignment horizontal="center" vertical="center"/>
    </xf>
    <xf numFmtId="0" fontId="12" fillId="0" borderId="105" xfId="0" applyFont="1" applyFill="1" applyBorder="1" applyAlignment="1">
      <alignment horizontal="center" vertical="center"/>
    </xf>
    <xf numFmtId="4" fontId="12" fillId="0" borderId="14" xfId="0" applyNumberFormat="1" applyFont="1" applyFill="1" applyBorder="1" applyAlignment="1">
      <alignment horizontal="center" vertical="center"/>
    </xf>
    <xf numFmtId="4" fontId="12" fillId="0" borderId="15" xfId="0" applyNumberFormat="1" applyFont="1" applyFill="1" applyBorder="1" applyAlignment="1">
      <alignment horizontal="center" vertical="center"/>
    </xf>
    <xf numFmtId="4" fontId="12" fillId="0" borderId="116" xfId="0" applyNumberFormat="1" applyFont="1" applyFill="1" applyBorder="1" applyAlignment="1">
      <alignment horizontal="center" vertical="center"/>
    </xf>
    <xf numFmtId="4" fontId="12" fillId="0" borderId="91" xfId="0" applyNumberFormat="1" applyFont="1" applyFill="1" applyBorder="1" applyAlignment="1">
      <alignment horizontal="center" vertical="center"/>
    </xf>
    <xf numFmtId="0" fontId="0" fillId="0" borderId="96" xfId="0" applyFill="1" applyBorder="1" applyAlignment="1">
      <alignment horizontal="center" vertical="center"/>
    </xf>
    <xf numFmtId="0" fontId="12" fillId="0" borderId="108" xfId="0" applyFont="1" applyFill="1" applyBorder="1" applyAlignment="1">
      <alignment horizontal="center" vertical="center"/>
    </xf>
    <xf numFmtId="0" fontId="0" fillId="0" borderId="117" xfId="0" applyFill="1" applyBorder="1" applyAlignment="1">
      <alignment horizontal="center" vertical="center"/>
    </xf>
    <xf numFmtId="0" fontId="0" fillId="0" borderId="119" xfId="0" applyFill="1" applyBorder="1" applyAlignment="1">
      <alignment horizontal="center" vertical="center"/>
    </xf>
    <xf numFmtId="0" fontId="12" fillId="0" borderId="112" xfId="0" applyFont="1" applyFill="1" applyBorder="1" applyAlignment="1">
      <alignment horizontal="center" vertical="center"/>
    </xf>
    <xf numFmtId="166" fontId="12" fillId="6" borderId="13" xfId="0" applyNumberFormat="1" applyFont="1" applyFill="1" applyBorder="1" applyAlignment="1">
      <alignment horizontal="center" vertical="center"/>
    </xf>
    <xf numFmtId="166" fontId="0" fillId="6" borderId="13" xfId="0" applyNumberFormat="1" applyFill="1" applyBorder="1" applyAlignment="1">
      <alignment horizontal="center" vertical="center"/>
    </xf>
    <xf numFmtId="166" fontId="0" fillId="6" borderId="13" xfId="0" applyNumberFormat="1" applyFill="1" applyBorder="1" applyAlignment="1">
      <alignment horizontal="center"/>
    </xf>
    <xf numFmtId="0" fontId="12" fillId="8" borderId="13" xfId="0" applyFont="1" applyFill="1" applyBorder="1" applyAlignment="1">
      <alignment horizontal="center" vertical="center"/>
    </xf>
    <xf numFmtId="0" fontId="0" fillId="8" borderId="13" xfId="0" applyFill="1" applyBorder="1" applyAlignment="1">
      <alignment horizontal="center" vertical="center"/>
    </xf>
    <xf numFmtId="0" fontId="0" fillId="8" borderId="13" xfId="0" applyFill="1" applyBorder="1" applyAlignment="1">
      <alignment horizontal="center"/>
    </xf>
    <xf numFmtId="166" fontId="12" fillId="8" borderId="129" xfId="0" applyNumberFormat="1" applyFont="1" applyFill="1" applyBorder="1" applyAlignment="1">
      <alignment horizontal="center" vertical="center"/>
    </xf>
    <xf numFmtId="166" fontId="0" fillId="8" borderId="129" xfId="0" applyNumberFormat="1" applyFill="1" applyBorder="1" applyAlignment="1">
      <alignment horizontal="center" vertical="center"/>
    </xf>
    <xf numFmtId="166" fontId="0" fillId="8" borderId="129" xfId="0" applyNumberFormat="1" applyFill="1" applyBorder="1" applyAlignment="1">
      <alignment horizontal="center"/>
    </xf>
    <xf numFmtId="0" fontId="0" fillId="0" borderId="110" xfId="0" applyFill="1" applyBorder="1" applyAlignment="1">
      <alignment horizontal="center" vertical="center"/>
    </xf>
    <xf numFmtId="0" fontId="0" fillId="0" borderId="123" xfId="0" applyFill="1" applyBorder="1" applyAlignment="1">
      <alignment horizontal="center" vertical="center"/>
    </xf>
    <xf numFmtId="0" fontId="0" fillId="3" borderId="126" xfId="0" applyFill="1" applyBorder="1" applyAlignment="1">
      <alignment horizontal="center"/>
    </xf>
    <xf numFmtId="0" fontId="0" fillId="3" borderId="19" xfId="0" applyFill="1" applyBorder="1" applyAlignment="1">
      <alignment horizontal="center"/>
    </xf>
    <xf numFmtId="0" fontId="0" fillId="3" borderId="139" xfId="0" applyFill="1" applyBorder="1" applyAlignment="1">
      <alignment horizontal="center"/>
    </xf>
    <xf numFmtId="0" fontId="0" fillId="0" borderId="14" xfId="0" applyBorder="1" applyAlignment="1">
      <alignment vertical="center"/>
    </xf>
    <xf numFmtId="9" fontId="0" fillId="0" borderId="14" xfId="0" applyNumberFormat="1" applyBorder="1" applyAlignment="1">
      <alignment vertical="center"/>
    </xf>
    <xf numFmtId="4" fontId="12" fillId="6" borderId="13" xfId="0" applyNumberFormat="1" applyFont="1" applyFill="1" applyBorder="1" applyAlignment="1">
      <alignment horizontal="center" vertical="center"/>
    </xf>
    <xf numFmtId="4" fontId="0" fillId="6" borderId="13" xfId="0" applyNumberFormat="1" applyFill="1" applyBorder="1" applyAlignment="1">
      <alignment horizontal="center" vertical="center"/>
    </xf>
    <xf numFmtId="4" fontId="12" fillId="6" borderId="13" xfId="0" applyNumberFormat="1" applyFont="1" applyFill="1" applyBorder="1" applyAlignment="1" applyProtection="1">
      <alignment horizontal="center" vertical="center"/>
      <protection locked="0"/>
    </xf>
    <xf numFmtId="4" fontId="0" fillId="6" borderId="13" xfId="0" applyNumberFormat="1" applyFill="1" applyBorder="1" applyAlignment="1" applyProtection="1">
      <alignment horizontal="center" vertical="center"/>
      <protection locked="0"/>
    </xf>
    <xf numFmtId="0" fontId="0" fillId="6" borderId="13" xfId="0" applyFill="1" applyBorder="1" applyAlignment="1" applyProtection="1">
      <alignment vertical="center"/>
      <protection locked="0"/>
    </xf>
    <xf numFmtId="4" fontId="12" fillId="0" borderId="14" xfId="0" applyNumberFormat="1" applyFont="1" applyFill="1" applyBorder="1" applyAlignment="1" applyProtection="1">
      <alignment horizontal="center" vertical="center"/>
      <protection locked="0"/>
    </xf>
    <xf numFmtId="4" fontId="12" fillId="0" borderId="15" xfId="0" applyNumberFormat="1" applyFont="1" applyFill="1" applyBorder="1" applyAlignment="1" applyProtection="1">
      <alignment horizontal="center" vertical="center"/>
      <protection locked="0"/>
    </xf>
    <xf numFmtId="4" fontId="12" fillId="0" borderId="16" xfId="0" applyNumberFormat="1" applyFont="1" applyFill="1" applyBorder="1" applyAlignment="1" applyProtection="1">
      <alignment horizontal="center" vertical="center"/>
      <protection locked="0"/>
    </xf>
    <xf numFmtId="4" fontId="12" fillId="0" borderId="13" xfId="0" applyNumberFormat="1" applyFont="1" applyFill="1" applyBorder="1" applyAlignment="1" applyProtection="1">
      <alignment horizontal="center" vertical="center"/>
      <protection locked="0"/>
    </xf>
    <xf numFmtId="4" fontId="0" fillId="0" borderId="13" xfId="0" applyNumberFormat="1" applyFill="1" applyBorder="1" applyAlignment="1" applyProtection="1">
      <alignment horizontal="center" vertical="center"/>
      <protection locked="0"/>
    </xf>
    <xf numFmtId="0" fontId="0" fillId="0" borderId="13" xfId="0" applyFill="1" applyBorder="1" applyAlignment="1" applyProtection="1">
      <alignment vertical="center"/>
      <protection locked="0"/>
    </xf>
    <xf numFmtId="0" fontId="0" fillId="0" borderId="13" xfId="0" applyBorder="1" applyAlignment="1" applyProtection="1">
      <alignment vertical="center"/>
      <protection locked="0"/>
    </xf>
    <xf numFmtId="0" fontId="13" fillId="3" borderId="17" xfId="0" applyFont="1" applyFill="1" applyBorder="1" applyAlignment="1">
      <alignment horizontal="center" vertical="center"/>
    </xf>
    <xf numFmtId="0" fontId="1" fillId="3" borderId="89" xfId="0" applyFont="1" applyFill="1" applyBorder="1" applyAlignment="1">
      <alignment horizontal="center" vertical="center"/>
    </xf>
    <xf numFmtId="0" fontId="0" fillId="3" borderId="89" xfId="0" applyFont="1" applyFill="1" applyBorder="1" applyAlignment="1"/>
    <xf numFmtId="0" fontId="0" fillId="0" borderId="89" xfId="0" applyBorder="1" applyAlignment="1"/>
    <xf numFmtId="0" fontId="1" fillId="3" borderId="89" xfId="0" applyFont="1" applyFill="1" applyBorder="1" applyAlignment="1" applyProtection="1">
      <alignment horizontal="center" vertical="center" wrapText="1"/>
      <protection hidden="1"/>
    </xf>
    <xf numFmtId="3" fontId="12" fillId="6" borderId="47" xfId="0" applyNumberFormat="1" applyFont="1" applyFill="1" applyBorder="1" applyAlignment="1">
      <alignment horizontal="center" vertical="center"/>
    </xf>
    <xf numFmtId="3" fontId="0" fillId="6" borderId="47" xfId="0" applyNumberFormat="1" applyFill="1" applyBorder="1" applyAlignment="1">
      <alignment horizontal="center" vertical="center"/>
    </xf>
    <xf numFmtId="0" fontId="0" fillId="6" borderId="47" xfId="0" applyFill="1" applyBorder="1" applyAlignment="1">
      <alignment vertical="center"/>
    </xf>
    <xf numFmtId="2" fontId="12" fillId="6" borderId="1" xfId="0" applyNumberFormat="1" applyFont="1" applyFill="1" applyBorder="1" applyAlignment="1">
      <alignment horizontal="center" vertical="center"/>
    </xf>
    <xf numFmtId="2" fontId="0" fillId="6" borderId="1" xfId="0" applyNumberFormat="1" applyFill="1" applyBorder="1" applyAlignment="1">
      <alignment horizontal="center" vertical="center"/>
    </xf>
    <xf numFmtId="2" fontId="0" fillId="6" borderId="1" xfId="0" applyNumberFormat="1" applyFill="1" applyBorder="1" applyAlignment="1">
      <alignment vertical="center"/>
    </xf>
    <xf numFmtId="3" fontId="12" fillId="6" borderId="1" xfId="0" applyNumberFormat="1" applyFont="1" applyFill="1" applyBorder="1" applyAlignment="1">
      <alignment horizontal="center" vertical="center"/>
    </xf>
    <xf numFmtId="3" fontId="12" fillId="6" borderId="15" xfId="0" applyNumberFormat="1" applyFont="1" applyFill="1" applyBorder="1" applyAlignment="1">
      <alignment horizontal="center" vertical="center"/>
    </xf>
    <xf numFmtId="3" fontId="0" fillId="6" borderId="15" xfId="0" applyNumberFormat="1" applyFill="1" applyBorder="1" applyAlignment="1">
      <alignment horizontal="center" vertical="center"/>
    </xf>
    <xf numFmtId="0" fontId="0" fillId="6" borderId="15" xfId="0" applyFill="1" applyBorder="1" applyAlignment="1">
      <alignment vertical="center"/>
    </xf>
    <xf numFmtId="0" fontId="0" fillId="0" borderId="16" xfId="0" applyBorder="1" applyAlignment="1">
      <alignment vertical="center"/>
    </xf>
    <xf numFmtId="4" fontId="12" fillId="6" borderId="88" xfId="0" applyNumberFormat="1" applyFont="1" applyFill="1" applyBorder="1" applyAlignment="1">
      <alignment horizontal="center" vertical="center"/>
    </xf>
    <xf numFmtId="9" fontId="12" fillId="6" borderId="15" xfId="0" applyNumberFormat="1" applyFont="1" applyFill="1" applyBorder="1" applyAlignment="1">
      <alignment horizontal="center" vertical="center"/>
    </xf>
    <xf numFmtId="9" fontId="0" fillId="6" borderId="15" xfId="0" applyNumberFormat="1" applyFill="1" applyBorder="1" applyAlignment="1">
      <alignment horizontal="center" vertical="center"/>
    </xf>
    <xf numFmtId="9" fontId="0" fillId="6" borderId="15" xfId="0" applyNumberFormat="1" applyFill="1" applyBorder="1" applyAlignment="1">
      <alignment vertical="center"/>
    </xf>
    <xf numFmtId="9" fontId="0" fillId="0" borderId="88" xfId="0" applyNumberFormat="1" applyBorder="1" applyAlignment="1">
      <alignment vertical="center"/>
    </xf>
    <xf numFmtId="3" fontId="12" fillId="6" borderId="14" xfId="0" applyNumberFormat="1" applyFont="1" applyFill="1" applyBorder="1" applyAlignment="1">
      <alignment horizontal="center" vertical="center"/>
    </xf>
    <xf numFmtId="0" fontId="40" fillId="14" borderId="16" xfId="0" applyFont="1" applyFill="1" applyBorder="1" applyAlignment="1">
      <alignment horizontal="center" vertical="center" wrapText="1"/>
    </xf>
    <xf numFmtId="0" fontId="9" fillId="14" borderId="13" xfId="0" applyFont="1" applyFill="1" applyBorder="1" applyAlignment="1"/>
    <xf numFmtId="0" fontId="9" fillId="14" borderId="16" xfId="0" applyFont="1" applyFill="1" applyBorder="1" applyAlignment="1"/>
    <xf numFmtId="0" fontId="40" fillId="14" borderId="13" xfId="0" applyFont="1" applyFill="1" applyBorder="1" applyAlignment="1">
      <alignment horizontal="center" vertical="center" wrapText="1"/>
    </xf>
    <xf numFmtId="0" fontId="9" fillId="14" borderId="13" xfId="0" applyFont="1" applyFill="1" applyBorder="1" applyAlignment="1">
      <alignment horizontal="center" vertical="center" wrapText="1"/>
    </xf>
    <xf numFmtId="0" fontId="40" fillId="14" borderId="13" xfId="0" applyFont="1" applyFill="1" applyBorder="1" applyAlignment="1">
      <alignment horizontal="center" vertical="top" wrapText="1"/>
    </xf>
    <xf numFmtId="0" fontId="9" fillId="14" borderId="13" xfId="0" applyFont="1" applyFill="1" applyBorder="1" applyAlignment="1">
      <alignment horizontal="center" vertical="top" wrapText="1"/>
    </xf>
    <xf numFmtId="0" fontId="9" fillId="14" borderId="13" xfId="0" applyFont="1" applyFill="1" applyBorder="1" applyAlignment="1">
      <alignment vertical="top"/>
    </xf>
    <xf numFmtId="0" fontId="12" fillId="8" borderId="1" xfId="0" applyNumberFormat="1" applyFont="1" applyFill="1" applyBorder="1" applyAlignment="1">
      <alignment horizontal="center" vertical="center"/>
    </xf>
    <xf numFmtId="0" fontId="0" fillId="8" borderId="1" xfId="0" applyNumberFormat="1" applyFill="1" applyBorder="1" applyAlignment="1">
      <alignment horizontal="center" vertical="center"/>
    </xf>
    <xf numFmtId="0" fontId="0" fillId="8" borderId="1" xfId="0" applyNumberFormat="1" applyFill="1" applyBorder="1" applyAlignment="1">
      <alignment vertical="center"/>
    </xf>
    <xf numFmtId="0" fontId="13" fillId="3" borderId="19" xfId="0" applyFont="1" applyFill="1" applyBorder="1" applyAlignment="1"/>
    <xf numFmtId="0" fontId="0" fillId="3" borderId="19" xfId="0" applyFill="1" applyBorder="1" applyAlignment="1"/>
    <xf numFmtId="0" fontId="0" fillId="0" borderId="19" xfId="0" applyBorder="1" applyAlignment="1"/>
    <xf numFmtId="0" fontId="12" fillId="8" borderId="15" xfId="0" applyFont="1" applyFill="1" applyBorder="1" applyAlignment="1">
      <alignment vertical="center"/>
    </xf>
    <xf numFmtId="0" fontId="0" fillId="8" borderId="15" xfId="0" applyFill="1" applyBorder="1" applyAlignment="1">
      <alignment vertical="center"/>
    </xf>
    <xf numFmtId="0" fontId="12" fillId="6" borderId="15" xfId="0" applyFont="1" applyFill="1" applyBorder="1" applyAlignment="1">
      <alignment vertical="center"/>
    </xf>
    <xf numFmtId="0" fontId="12" fillId="6" borderId="16" xfId="0" applyFont="1" applyFill="1" applyBorder="1" applyAlignment="1">
      <alignment vertical="center"/>
    </xf>
    <xf numFmtId="3" fontId="12" fillId="0" borderId="14" xfId="0" applyNumberFormat="1" applyFont="1" applyFill="1" applyBorder="1" applyAlignment="1">
      <alignment horizontal="center" vertical="center"/>
    </xf>
    <xf numFmtId="3" fontId="12" fillId="0" borderId="15" xfId="0" applyNumberFormat="1" applyFont="1" applyFill="1" applyBorder="1" applyAlignment="1">
      <alignment horizontal="center" vertical="center"/>
    </xf>
    <xf numFmtId="3" fontId="12" fillId="0" borderId="116" xfId="0" applyNumberFormat="1" applyFont="1" applyFill="1" applyBorder="1" applyAlignment="1">
      <alignment horizontal="center" vertical="center"/>
    </xf>
    <xf numFmtId="3" fontId="12" fillId="0" borderId="91" xfId="0" applyNumberFormat="1" applyFont="1" applyFill="1" applyBorder="1" applyAlignment="1">
      <alignment horizontal="center" vertical="center"/>
    </xf>
    <xf numFmtId="0" fontId="0" fillId="0" borderId="108" xfId="0" applyFill="1" applyBorder="1" applyAlignment="1">
      <alignment horizontal="center"/>
    </xf>
    <xf numFmtId="0" fontId="0" fillId="0" borderId="110" xfId="0" applyFill="1" applyBorder="1" applyAlignment="1">
      <alignment horizontal="center"/>
    </xf>
    <xf numFmtId="0" fontId="0" fillId="0" borderId="100" xfId="0" applyFill="1" applyBorder="1" applyAlignment="1">
      <alignment horizontal="center"/>
    </xf>
    <xf numFmtId="4" fontId="12" fillId="6" borderId="34" xfId="0" applyNumberFormat="1" applyFont="1" applyFill="1" applyBorder="1" applyAlignment="1">
      <alignment horizontal="center" vertical="center"/>
    </xf>
    <xf numFmtId="4" fontId="0" fillId="6" borderId="15" xfId="0" applyNumberFormat="1" applyFill="1" applyBorder="1" applyAlignment="1">
      <alignment horizontal="center" vertical="center"/>
    </xf>
    <xf numFmtId="4" fontId="0" fillId="6" borderId="15" xfId="0" applyNumberFormat="1" applyFill="1" applyBorder="1" applyAlignment="1">
      <alignment vertical="center"/>
    </xf>
    <xf numFmtId="4" fontId="0" fillId="0" borderId="88" xfId="0" applyNumberFormat="1" applyBorder="1" applyAlignment="1">
      <alignment vertical="center"/>
    </xf>
    <xf numFmtId="9" fontId="12" fillId="6" borderId="34" xfId="0" applyNumberFormat="1" applyFont="1" applyFill="1" applyBorder="1" applyAlignment="1">
      <alignment horizontal="center" vertical="center"/>
    </xf>
    <xf numFmtId="0" fontId="12" fillId="6" borderId="1" xfId="0" applyNumberFormat="1" applyFont="1" applyFill="1" applyBorder="1" applyAlignment="1">
      <alignment horizontal="center" vertical="center"/>
    </xf>
    <xf numFmtId="0" fontId="0" fillId="6" borderId="1" xfId="0" applyNumberFormat="1" applyFill="1" applyBorder="1" applyAlignment="1">
      <alignment horizontal="center" vertical="center"/>
    </xf>
    <xf numFmtId="0" fontId="0" fillId="6" borderId="1" xfId="0" applyNumberFormat="1" applyFill="1" applyBorder="1" applyAlignment="1">
      <alignment vertical="center"/>
    </xf>
    <xf numFmtId="9" fontId="12" fillId="6" borderId="1" xfId="0" applyNumberFormat="1" applyFont="1" applyFill="1" applyBorder="1" applyAlignment="1">
      <alignment horizontal="center" vertical="center"/>
    </xf>
    <xf numFmtId="9" fontId="0" fillId="6" borderId="1" xfId="0" applyNumberFormat="1" applyFill="1" applyBorder="1" applyAlignment="1">
      <alignment horizontal="center" vertical="center"/>
    </xf>
    <xf numFmtId="9" fontId="12" fillId="6" borderId="90" xfId="0" applyNumberFormat="1" applyFont="1" applyFill="1" applyBorder="1" applyAlignment="1">
      <alignment horizontal="center" vertical="center"/>
    </xf>
    <xf numFmtId="9" fontId="0" fillId="6" borderId="59" xfId="0" applyNumberFormat="1" applyFill="1" applyBorder="1" applyAlignment="1">
      <alignment horizontal="center" vertical="center"/>
    </xf>
    <xf numFmtId="9" fontId="0" fillId="6" borderId="60" xfId="0" applyNumberFormat="1" applyFill="1" applyBorder="1" applyAlignment="1">
      <alignment vertical="center"/>
    </xf>
    <xf numFmtId="0" fontId="0" fillId="6" borderId="13" xfId="0" applyFill="1" applyBorder="1" applyAlignment="1">
      <alignment horizontal="center"/>
    </xf>
    <xf numFmtId="0" fontId="12" fillId="8" borderId="36" xfId="0" applyNumberFormat="1" applyFont="1" applyFill="1" applyBorder="1" applyAlignment="1">
      <alignment horizontal="center" vertical="center"/>
    </xf>
    <xf numFmtId="0" fontId="0" fillId="8" borderId="36" xfId="0" applyNumberFormat="1" applyFill="1" applyBorder="1" applyAlignment="1">
      <alignment horizontal="center" vertical="center"/>
    </xf>
    <xf numFmtId="0" fontId="0" fillId="8" borderId="36" xfId="0" applyNumberFormat="1" applyFill="1" applyBorder="1" applyAlignment="1">
      <alignment vertical="center"/>
    </xf>
    <xf numFmtId="0" fontId="12" fillId="6" borderId="2" xfId="0" applyFont="1" applyFill="1" applyBorder="1" applyAlignment="1">
      <alignment horizontal="center" vertical="center"/>
    </xf>
    <xf numFmtId="0" fontId="0" fillId="6" borderId="57" xfId="0" applyFill="1" applyBorder="1" applyAlignment="1">
      <alignment vertical="center"/>
    </xf>
    <xf numFmtId="4" fontId="12" fillId="6" borderId="31" xfId="0" applyNumberFormat="1" applyFont="1" applyFill="1" applyBorder="1" applyAlignment="1">
      <alignment horizontal="center" vertical="center"/>
    </xf>
    <xf numFmtId="4" fontId="12" fillId="6" borderId="32" xfId="0" applyNumberFormat="1" applyFont="1" applyFill="1" applyBorder="1" applyAlignment="1">
      <alignment horizontal="center" vertical="center"/>
    </xf>
    <xf numFmtId="4" fontId="12" fillId="6" borderId="132" xfId="0" applyNumberFormat="1" applyFont="1" applyFill="1" applyBorder="1" applyAlignment="1">
      <alignment horizontal="center" vertical="center"/>
    </xf>
    <xf numFmtId="9" fontId="0" fillId="6" borderId="57" xfId="0" applyNumberFormat="1" applyFill="1" applyBorder="1" applyAlignment="1">
      <alignment vertical="center"/>
    </xf>
    <xf numFmtId="0" fontId="12" fillId="6" borderId="63" xfId="0" applyFont="1" applyFill="1" applyBorder="1" applyAlignment="1">
      <alignment horizontal="center" vertical="center"/>
    </xf>
    <xf numFmtId="0" fontId="0" fillId="6" borderId="63" xfId="0" applyFill="1" applyBorder="1" applyAlignment="1">
      <alignment horizontal="center" vertical="center"/>
    </xf>
    <xf numFmtId="0" fontId="0" fillId="6" borderId="64" xfId="0" applyFill="1" applyBorder="1" applyAlignment="1">
      <alignment vertical="center"/>
    </xf>
    <xf numFmtId="9" fontId="12" fillId="8" borderId="164" xfId="0" applyNumberFormat="1" applyFont="1" applyFill="1" applyBorder="1" applyAlignment="1">
      <alignment horizontal="center" vertical="center"/>
    </xf>
    <xf numFmtId="9" fontId="0" fillId="8" borderId="165" xfId="0" applyNumberFormat="1" applyFill="1" applyBorder="1" applyAlignment="1">
      <alignment horizontal="center" vertical="center"/>
    </xf>
    <xf numFmtId="9" fontId="0" fillId="8" borderId="166" xfId="0" applyNumberFormat="1" applyFill="1" applyBorder="1" applyAlignment="1">
      <alignment vertical="center"/>
    </xf>
    <xf numFmtId="0" fontId="16" fillId="0" borderId="13" xfId="0" applyFont="1" applyFill="1" applyBorder="1" applyAlignment="1" applyProtection="1">
      <alignment vertical="center" wrapText="1"/>
      <protection hidden="1"/>
    </xf>
    <xf numFmtId="0" fontId="0" fillId="0" borderId="13" xfId="0" applyFont="1" applyFill="1" applyBorder="1" applyAlignment="1"/>
    <xf numFmtId="3" fontId="12" fillId="6" borderId="63" xfId="0" applyNumberFormat="1" applyFont="1" applyFill="1" applyBorder="1" applyAlignment="1">
      <alignment horizontal="center" vertical="center"/>
    </xf>
    <xf numFmtId="0" fontId="0" fillId="6" borderId="16" xfId="0" applyFill="1" applyBorder="1" applyAlignment="1">
      <alignment vertical="center"/>
    </xf>
    <xf numFmtId="0" fontId="12" fillId="6" borderId="15" xfId="0" applyFont="1" applyFill="1" applyBorder="1" applyAlignment="1">
      <alignment vertical="center" wrapText="1"/>
    </xf>
    <xf numFmtId="166" fontId="12" fillId="6" borderId="12" xfId="0" applyNumberFormat="1" applyFont="1" applyFill="1" applyBorder="1" applyAlignment="1">
      <alignment horizontal="center" vertical="center"/>
    </xf>
    <xf numFmtId="166" fontId="0" fillId="6" borderId="12" xfId="0" applyNumberFormat="1" applyFill="1" applyBorder="1" applyAlignment="1">
      <alignment horizontal="center" vertical="center"/>
    </xf>
    <xf numFmtId="166" fontId="0" fillId="6" borderId="37" xfId="0" applyNumberFormat="1" applyFill="1" applyBorder="1" applyAlignment="1">
      <alignment vertical="center"/>
    </xf>
    <xf numFmtId="0" fontId="12" fillId="6" borderId="34" xfId="0" applyFont="1" applyFill="1" applyBorder="1" applyAlignment="1">
      <alignment vertical="center" wrapText="1"/>
    </xf>
    <xf numFmtId="0" fontId="0" fillId="0" borderId="15" xfId="0" applyBorder="1" applyAlignment="1">
      <alignment vertical="center" wrapText="1"/>
    </xf>
    <xf numFmtId="0" fontId="0" fillId="0" borderId="16" xfId="0" applyBorder="1" applyAlignment="1">
      <alignment vertical="center" wrapText="1"/>
    </xf>
    <xf numFmtId="0" fontId="12" fillId="6" borderId="34" xfId="0" applyFont="1" applyFill="1" applyBorder="1" applyAlignment="1">
      <alignment vertical="center"/>
    </xf>
    <xf numFmtId="0" fontId="0" fillId="0" borderId="15" xfId="0" applyBorder="1" applyAlignment="1">
      <alignment vertical="center"/>
    </xf>
    <xf numFmtId="0" fontId="12" fillId="6" borderId="36" xfId="0" applyFont="1" applyFill="1" applyBorder="1" applyAlignment="1">
      <alignment horizontal="center" vertical="center"/>
    </xf>
    <xf numFmtId="0" fontId="0" fillId="6" borderId="36" xfId="0" applyFill="1" applyBorder="1" applyAlignment="1">
      <alignment horizontal="center" vertical="center"/>
    </xf>
    <xf numFmtId="0" fontId="0" fillId="6" borderId="161" xfId="0" applyFill="1" applyBorder="1" applyAlignment="1">
      <alignment vertical="center"/>
    </xf>
    <xf numFmtId="0" fontId="12" fillId="0" borderId="113" xfId="0" applyFont="1" applyFill="1" applyBorder="1" applyAlignment="1">
      <alignment vertical="center"/>
    </xf>
    <xf numFmtId="0" fontId="0" fillId="0" borderId="33" xfId="0" applyFill="1" applyBorder="1" applyAlignment="1">
      <alignment vertical="center"/>
    </xf>
    <xf numFmtId="39" fontId="12" fillId="6" borderId="59" xfId="0" applyNumberFormat="1" applyFont="1" applyFill="1" applyBorder="1" applyAlignment="1">
      <alignment horizontal="center" vertical="center"/>
    </xf>
    <xf numFmtId="39" fontId="0" fillId="6" borderId="60" xfId="0" applyNumberFormat="1" applyFill="1" applyBorder="1" applyAlignment="1">
      <alignment vertical="center"/>
    </xf>
    <xf numFmtId="39" fontId="12" fillId="6" borderId="1" xfId="0" applyNumberFormat="1" applyFont="1" applyFill="1" applyBorder="1" applyAlignment="1">
      <alignment horizontal="center" vertical="center"/>
    </xf>
    <xf numFmtId="39" fontId="0" fillId="6" borderId="57" xfId="0" applyNumberFormat="1" applyFill="1" applyBorder="1" applyAlignment="1">
      <alignment vertical="center"/>
    </xf>
    <xf numFmtId="39" fontId="12" fillId="6" borderId="63" xfId="0" applyNumberFormat="1" applyFont="1" applyFill="1" applyBorder="1" applyAlignment="1">
      <alignment horizontal="center" vertical="center"/>
    </xf>
    <xf numFmtId="39" fontId="0" fillId="6" borderId="63" xfId="0" applyNumberFormat="1" applyFill="1" applyBorder="1" applyAlignment="1">
      <alignment horizontal="center" vertical="center"/>
    </xf>
    <xf numFmtId="39" fontId="0" fillId="6" borderId="64" xfId="0" applyNumberFormat="1" applyFill="1" applyBorder="1" applyAlignment="1">
      <alignment vertical="center"/>
    </xf>
    <xf numFmtId="0" fontId="12" fillId="0" borderId="19" xfId="0" applyFont="1" applyFill="1" applyBorder="1" applyAlignment="1">
      <alignment vertical="center"/>
    </xf>
    <xf numFmtId="0" fontId="0" fillId="0" borderId="19" xfId="0" applyFill="1" applyBorder="1" applyAlignment="1">
      <alignment vertical="center"/>
    </xf>
    <xf numFmtId="0" fontId="12" fillId="6" borderId="22" xfId="0" applyFont="1" applyFill="1" applyBorder="1" applyAlignment="1">
      <alignment vertical="center"/>
    </xf>
    <xf numFmtId="0" fontId="0" fillId="6" borderId="22" xfId="0" applyFill="1" applyBorder="1" applyAlignment="1">
      <alignment vertical="center"/>
    </xf>
    <xf numFmtId="0" fontId="12" fillId="6" borderId="114" xfId="0" applyFont="1" applyFill="1" applyBorder="1" applyAlignment="1">
      <alignment vertical="center"/>
    </xf>
    <xf numFmtId="0" fontId="0" fillId="6" borderId="115" xfId="0" applyFill="1" applyBorder="1" applyAlignment="1">
      <alignment vertical="center"/>
    </xf>
    <xf numFmtId="0" fontId="0" fillId="3" borderId="1" xfId="0" applyFont="1" applyFill="1" applyBorder="1" applyAlignment="1">
      <alignment horizontal="center" vertical="center" textRotation="90"/>
    </xf>
    <xf numFmtId="0" fontId="0" fillId="3" borderId="1" xfId="0" applyFont="1" applyFill="1" applyBorder="1" applyAlignment="1"/>
    <xf numFmtId="0" fontId="0" fillId="3" borderId="31" xfId="0" applyFont="1" applyFill="1" applyBorder="1" applyAlignment="1"/>
    <xf numFmtId="0" fontId="12" fillId="8" borderId="32" xfId="0" applyFont="1" applyFill="1" applyBorder="1" applyAlignment="1">
      <alignment vertical="center"/>
    </xf>
    <xf numFmtId="0" fontId="0" fillId="8" borderId="32" xfId="0" applyFill="1" applyBorder="1" applyAlignment="1">
      <alignment vertical="center"/>
    </xf>
    <xf numFmtId="0" fontId="12" fillId="8" borderId="5" xfId="0" applyFont="1" applyFill="1" applyBorder="1" applyAlignment="1">
      <alignment vertical="center"/>
    </xf>
    <xf numFmtId="0" fontId="0" fillId="8" borderId="5" xfId="0" applyFill="1" applyBorder="1" applyAlignment="1">
      <alignment vertical="center"/>
    </xf>
    <xf numFmtId="0" fontId="12" fillId="8" borderId="128" xfId="0" applyFont="1" applyFill="1" applyBorder="1" applyAlignment="1">
      <alignment vertical="center"/>
    </xf>
    <xf numFmtId="0" fontId="0" fillId="8" borderId="25" xfId="0" applyFill="1" applyBorder="1" applyAlignment="1">
      <alignment vertical="center"/>
    </xf>
    <xf numFmtId="0" fontId="0" fillId="8" borderId="49" xfId="0" applyFill="1" applyBorder="1" applyAlignment="1">
      <alignment vertical="center"/>
    </xf>
    <xf numFmtId="0" fontId="12" fillId="8" borderId="15" xfId="0" applyFont="1" applyFill="1" applyBorder="1" applyAlignment="1">
      <alignment horizontal="center" vertical="center"/>
    </xf>
    <xf numFmtId="0" fontId="0" fillId="8" borderId="15" xfId="0" applyFill="1" applyBorder="1" applyAlignment="1">
      <alignment horizontal="center" vertical="center"/>
    </xf>
    <xf numFmtId="0" fontId="0" fillId="0" borderId="88" xfId="0" applyBorder="1" applyAlignment="1">
      <alignment vertical="center"/>
    </xf>
    <xf numFmtId="0" fontId="12" fillId="8" borderId="34" xfId="0" applyFont="1" applyFill="1" applyBorder="1" applyAlignment="1">
      <alignment horizontal="center" vertical="center"/>
    </xf>
    <xf numFmtId="0" fontId="0" fillId="0" borderId="88" xfId="0" applyBorder="1" applyAlignment="1">
      <alignment horizontal="center" vertical="center"/>
    </xf>
    <xf numFmtId="0" fontId="0" fillId="8" borderId="13" xfId="0" applyFill="1" applyBorder="1" applyAlignment="1">
      <alignment vertical="center"/>
    </xf>
    <xf numFmtId="0" fontId="9" fillId="14" borderId="1" xfId="0" applyFont="1" applyFill="1" applyBorder="1" applyAlignment="1">
      <alignment horizontal="center" vertical="center" textRotation="90"/>
    </xf>
    <xf numFmtId="0" fontId="9" fillId="14" borderId="1" xfId="0" applyFont="1" applyFill="1" applyBorder="1" applyAlignment="1"/>
    <xf numFmtId="0" fontId="12" fillId="6" borderId="32" xfId="0" applyFont="1" applyFill="1" applyBorder="1" applyAlignment="1">
      <alignment vertical="center"/>
    </xf>
    <xf numFmtId="0" fontId="0" fillId="6" borderId="32" xfId="0" applyFill="1" applyBorder="1" applyAlignment="1">
      <alignment vertical="center"/>
    </xf>
    <xf numFmtId="0" fontId="9" fillId="14" borderId="12" xfId="0" applyFont="1" applyFill="1" applyBorder="1" applyAlignment="1">
      <alignment horizontal="center" vertical="center" textRotation="90"/>
    </xf>
    <xf numFmtId="0" fontId="9" fillId="14" borderId="12" xfId="0" applyFont="1" applyFill="1" applyBorder="1" applyAlignment="1"/>
    <xf numFmtId="0" fontId="12" fillId="6" borderId="12" xfId="0" applyFont="1" applyFill="1" applyBorder="1" applyAlignment="1">
      <alignment vertical="center"/>
    </xf>
    <xf numFmtId="0" fontId="0" fillId="6" borderId="12" xfId="0" applyFill="1" applyBorder="1" applyAlignment="1">
      <alignment vertical="center"/>
    </xf>
    <xf numFmtId="0" fontId="0" fillId="6" borderId="9" xfId="0" applyFill="1" applyBorder="1" applyAlignment="1">
      <alignment vertical="center"/>
    </xf>
    <xf numFmtId="0" fontId="12" fillId="6" borderId="19" xfId="0" applyFont="1" applyFill="1" applyBorder="1" applyAlignment="1">
      <alignment vertical="center"/>
    </xf>
    <xf numFmtId="0" fontId="0" fillId="6" borderId="19" xfId="0" applyFill="1" applyBorder="1" applyAlignment="1">
      <alignment vertical="center"/>
    </xf>
    <xf numFmtId="0" fontId="12" fillId="6" borderId="15" xfId="0" applyFont="1" applyFill="1" applyBorder="1" applyAlignment="1">
      <alignment horizontal="center" vertical="center"/>
    </xf>
    <xf numFmtId="0" fontId="0" fillId="6" borderId="15" xfId="0" applyFill="1" applyBorder="1" applyAlignment="1">
      <alignment horizontal="center" vertical="center"/>
    </xf>
    <xf numFmtId="0" fontId="12" fillId="6" borderId="34" xfId="0" applyFont="1" applyFill="1" applyBorder="1" applyAlignment="1">
      <alignment horizontal="center" vertical="center"/>
    </xf>
    <xf numFmtId="0" fontId="40" fillId="14" borderId="26" xfId="0" applyFont="1" applyFill="1" applyBorder="1" applyAlignment="1">
      <alignment horizontal="center" vertical="center"/>
    </xf>
    <xf numFmtId="0" fontId="9" fillId="14" borderId="26" xfId="0" applyFont="1" applyFill="1" applyBorder="1" applyAlignment="1">
      <alignment horizontal="center" vertical="center"/>
    </xf>
    <xf numFmtId="0" fontId="9" fillId="14" borderId="26" xfId="0" applyFont="1" applyFill="1" applyBorder="1" applyAlignment="1"/>
    <xf numFmtId="0" fontId="9" fillId="14" borderId="13" xfId="0" applyFont="1" applyFill="1" applyBorder="1" applyAlignment="1">
      <alignment horizontal="center" vertical="center"/>
    </xf>
    <xf numFmtId="3" fontId="12" fillId="0" borderId="86" xfId="0" applyNumberFormat="1" applyFont="1" applyFill="1" applyBorder="1" applyAlignment="1" applyProtection="1">
      <alignment horizontal="center" vertical="center"/>
      <protection locked="0"/>
    </xf>
    <xf numFmtId="3" fontId="0" fillId="0" borderId="22" xfId="0" applyNumberFormat="1" applyFill="1" applyBorder="1" applyAlignment="1" applyProtection="1">
      <alignment horizontal="center" vertical="center"/>
      <protection locked="0"/>
    </xf>
    <xf numFmtId="3" fontId="0" fillId="0" borderId="22" xfId="0" applyNumberFormat="1" applyBorder="1" applyAlignment="1" applyProtection="1">
      <alignment vertical="center"/>
      <protection locked="0"/>
    </xf>
    <xf numFmtId="9" fontId="0" fillId="6" borderId="1" xfId="0" applyNumberFormat="1" applyFill="1" applyBorder="1" applyAlignment="1">
      <alignment vertical="center"/>
    </xf>
    <xf numFmtId="0" fontId="12" fillId="6" borderId="12" xfId="0" applyFont="1" applyFill="1" applyBorder="1" applyAlignment="1">
      <alignment horizontal="center" vertical="center"/>
    </xf>
    <xf numFmtId="0" fontId="0" fillId="6" borderId="12" xfId="0" applyFill="1" applyBorder="1" applyAlignment="1">
      <alignment horizontal="center" vertical="center"/>
    </xf>
    <xf numFmtId="0" fontId="12" fillId="8" borderId="1" xfId="0" applyFont="1" applyFill="1" applyBorder="1" applyAlignment="1">
      <alignment horizontal="center" vertical="center"/>
    </xf>
    <xf numFmtId="0" fontId="0" fillId="8" borderId="1" xfId="0" applyFill="1" applyBorder="1" applyAlignment="1">
      <alignment horizontal="center" vertical="center"/>
    </xf>
    <xf numFmtId="0" fontId="0" fillId="8" borderId="1" xfId="0" applyFill="1" applyBorder="1" applyAlignment="1">
      <alignment vertical="center"/>
    </xf>
    <xf numFmtId="166" fontId="12" fillId="8" borderId="31" xfId="0" applyNumberFormat="1" applyFont="1" applyFill="1" applyBorder="1" applyAlignment="1">
      <alignment horizontal="center" vertical="center"/>
    </xf>
    <xf numFmtId="166" fontId="12" fillId="8" borderId="32" xfId="0" applyNumberFormat="1" applyFont="1" applyFill="1" applyBorder="1" applyAlignment="1">
      <alignment horizontal="center" vertical="center"/>
    </xf>
    <xf numFmtId="166" fontId="12" fillId="8" borderId="2" xfId="0" applyNumberFormat="1" applyFont="1" applyFill="1" applyBorder="1" applyAlignment="1">
      <alignment horizontal="center" vertical="center"/>
    </xf>
    <xf numFmtId="9" fontId="12" fillId="6" borderId="2" xfId="0" applyNumberFormat="1" applyFont="1" applyFill="1" applyBorder="1" applyAlignment="1">
      <alignment horizontal="center" vertical="center"/>
    </xf>
    <xf numFmtId="0" fontId="12" fillId="3" borderId="124" xfId="0" applyFont="1" applyFill="1" applyBorder="1" applyAlignment="1">
      <alignment horizontal="center"/>
    </xf>
    <xf numFmtId="0" fontId="12" fillId="3" borderId="158" xfId="0" applyFont="1" applyFill="1" applyBorder="1" applyAlignment="1">
      <alignment horizontal="center"/>
    </xf>
    <xf numFmtId="0" fontId="12" fillId="3" borderId="169" xfId="0" applyFont="1" applyFill="1" applyBorder="1" applyAlignment="1">
      <alignment horizontal="center"/>
    </xf>
    <xf numFmtId="3" fontId="12" fillId="6" borderId="128" xfId="0" applyNumberFormat="1" applyFont="1" applyFill="1" applyBorder="1" applyAlignment="1">
      <alignment horizontal="center" vertical="center"/>
    </xf>
    <xf numFmtId="3" fontId="0" fillId="6" borderId="25" xfId="0" applyNumberFormat="1" applyFill="1" applyBorder="1" applyAlignment="1">
      <alignment horizontal="center" vertical="center"/>
    </xf>
    <xf numFmtId="0" fontId="0" fillId="6" borderId="25" xfId="0" applyFill="1" applyBorder="1" applyAlignment="1">
      <alignment vertical="center"/>
    </xf>
    <xf numFmtId="0" fontId="0" fillId="0" borderId="78" xfId="0" applyBorder="1" applyAlignment="1">
      <alignment vertical="center"/>
    </xf>
    <xf numFmtId="0" fontId="0" fillId="0" borderId="23" xfId="0" applyBorder="1" applyAlignment="1">
      <alignment vertical="center"/>
    </xf>
    <xf numFmtId="0" fontId="22" fillId="0" borderId="78" xfId="0" applyFont="1" applyFill="1" applyBorder="1" applyAlignment="1">
      <alignment horizontal="center"/>
    </xf>
    <xf numFmtId="0" fontId="11" fillId="0" borderId="193" xfId="0" applyFont="1" applyFill="1" applyBorder="1" applyAlignment="1">
      <alignment horizontal="center" vertical="center" wrapText="1"/>
    </xf>
    <xf numFmtId="0" fontId="11" fillId="0" borderId="97" xfId="0" applyFont="1" applyFill="1" applyBorder="1" applyAlignment="1">
      <alignment horizontal="center" vertical="center" wrapText="1"/>
    </xf>
    <xf numFmtId="0" fontId="11" fillId="0" borderId="104" xfId="0" applyFont="1" applyFill="1" applyBorder="1" applyAlignment="1">
      <alignment horizontal="center" vertical="center" wrapText="1"/>
    </xf>
    <xf numFmtId="0" fontId="11" fillId="0" borderId="172" xfId="0" applyFont="1" applyFill="1" applyBorder="1" applyAlignment="1">
      <alignment horizontal="center" vertical="center" wrapText="1"/>
    </xf>
    <xf numFmtId="0" fontId="11" fillId="0" borderId="95" xfId="0" applyFont="1" applyFill="1" applyBorder="1" applyAlignment="1">
      <alignment horizontal="center" vertical="center" wrapText="1"/>
    </xf>
    <xf numFmtId="0" fontId="11" fillId="0" borderId="99" xfId="0" applyFont="1" applyFill="1" applyBorder="1" applyAlignment="1">
      <alignment horizontal="center" vertical="center" wrapText="1"/>
    </xf>
    <xf numFmtId="0" fontId="13" fillId="5" borderId="1" xfId="0" applyFont="1" applyFill="1" applyBorder="1" applyAlignment="1">
      <alignment horizontal="center" wrapText="1"/>
    </xf>
    <xf numFmtId="0" fontId="12" fillId="9" borderId="1" xfId="0" applyFont="1" applyFill="1" applyBorder="1" applyAlignment="1">
      <alignment horizontal="center" vertical="center" wrapText="1"/>
    </xf>
    <xf numFmtId="0" fontId="12" fillId="9" borderId="6" xfId="0" applyFont="1" applyFill="1" applyBorder="1" applyAlignment="1">
      <alignment horizontal="center" vertical="center" wrapText="1"/>
    </xf>
    <xf numFmtId="0" fontId="12" fillId="9" borderId="5" xfId="0" applyFont="1" applyFill="1" applyBorder="1" applyAlignment="1">
      <alignment horizontal="center" vertical="center" wrapText="1"/>
    </xf>
    <xf numFmtId="0" fontId="12" fillId="9" borderId="7" xfId="0" applyFont="1" applyFill="1" applyBorder="1" applyAlignment="1">
      <alignment horizontal="center" vertical="center" wrapText="1"/>
    </xf>
    <xf numFmtId="0" fontId="12" fillId="9" borderId="9" xfId="0" applyFont="1" applyFill="1" applyBorder="1" applyAlignment="1">
      <alignment horizontal="center" vertical="center" wrapText="1"/>
    </xf>
    <xf numFmtId="0" fontId="12" fillId="9" borderId="10" xfId="0" applyFont="1" applyFill="1" applyBorder="1" applyAlignment="1">
      <alignment horizontal="center" vertical="center" wrapText="1"/>
    </xf>
    <xf numFmtId="0" fontId="12" fillId="9" borderId="11" xfId="0" applyFont="1" applyFill="1" applyBorder="1" applyAlignment="1">
      <alignment horizontal="center" vertical="center" wrapText="1"/>
    </xf>
    <xf numFmtId="166" fontId="12" fillId="8" borderId="13" xfId="0" applyNumberFormat="1" applyFont="1" applyFill="1" applyBorder="1" applyAlignment="1">
      <alignment horizontal="center" vertical="center"/>
    </xf>
    <xf numFmtId="166" fontId="0" fillId="8" borderId="13" xfId="0" applyNumberFormat="1" applyFill="1" applyBorder="1" applyAlignment="1">
      <alignment horizontal="center" vertical="center"/>
    </xf>
    <xf numFmtId="166" fontId="0" fillId="8" borderId="13" xfId="0" applyNumberFormat="1" applyFill="1" applyBorder="1" applyAlignment="1">
      <alignment vertical="center"/>
    </xf>
    <xf numFmtId="166" fontId="0" fillId="0" borderId="13" xfId="0" applyNumberFormat="1" applyBorder="1" applyAlignment="1">
      <alignment vertical="center"/>
    </xf>
    <xf numFmtId="166" fontId="0" fillId="0" borderId="13" xfId="0" applyNumberFormat="1" applyBorder="1" applyAlignment="1"/>
    <xf numFmtId="0" fontId="0" fillId="3" borderId="19" xfId="0" applyFont="1" applyFill="1" applyBorder="1" applyAlignment="1">
      <alignment horizontal="right" vertical="top" wrapText="1"/>
    </xf>
    <xf numFmtId="0" fontId="0" fillId="3" borderId="19" xfId="0" applyFont="1" applyFill="1" applyBorder="1" applyAlignment="1">
      <alignment wrapText="1"/>
    </xf>
    <xf numFmtId="0" fontId="0" fillId="3" borderId="20" xfId="0" applyFont="1" applyFill="1" applyBorder="1" applyAlignment="1"/>
    <xf numFmtId="0" fontId="9" fillId="3" borderId="137" xfId="0" applyFont="1" applyFill="1" applyBorder="1" applyAlignment="1">
      <alignment horizontal="center" vertical="center"/>
    </xf>
    <xf numFmtId="0" fontId="9" fillId="3" borderId="22" xfId="0" applyFont="1" applyFill="1" applyBorder="1" applyAlignment="1">
      <alignment horizontal="center" vertical="center"/>
    </xf>
    <xf numFmtId="0" fontId="9" fillId="3" borderId="23" xfId="0" applyFont="1" applyFill="1" applyBorder="1" applyAlignment="1">
      <alignment horizontal="center" vertical="center"/>
    </xf>
    <xf numFmtId="3" fontId="0" fillId="0" borderId="87" xfId="0" applyNumberFormat="1" applyBorder="1" applyAlignment="1" applyProtection="1">
      <alignment vertical="center"/>
      <protection locked="0"/>
    </xf>
    <xf numFmtId="0" fontId="0" fillId="7" borderId="14" xfId="0" applyFill="1" applyBorder="1" applyAlignment="1">
      <alignment horizontal="center"/>
    </xf>
    <xf numFmtId="0" fontId="0" fillId="7" borderId="15" xfId="0" applyFill="1" applyBorder="1" applyAlignment="1">
      <alignment horizontal="center"/>
    </xf>
    <xf numFmtId="0" fontId="13" fillId="3" borderId="13" xfId="0" applyFont="1" applyFill="1" applyBorder="1" applyAlignment="1">
      <alignment horizontal="right" vertical="center"/>
    </xf>
    <xf numFmtId="9" fontId="12" fillId="6" borderId="14" xfId="0" applyNumberFormat="1" applyFont="1" applyFill="1" applyBorder="1" applyAlignment="1">
      <alignment horizontal="center" vertical="center"/>
    </xf>
    <xf numFmtId="9" fontId="12" fillId="6" borderId="16" xfId="0" applyNumberFormat="1" applyFont="1" applyFill="1" applyBorder="1" applyAlignment="1">
      <alignment horizontal="center" vertical="center"/>
    </xf>
    <xf numFmtId="0" fontId="40" fillId="14" borderId="0" xfId="0" applyFont="1" applyFill="1" applyBorder="1" applyAlignment="1">
      <alignment horizontal="center" vertical="center"/>
    </xf>
    <xf numFmtId="0" fontId="7" fillId="14" borderId="0" xfId="0" applyFont="1" applyFill="1" applyBorder="1" applyAlignment="1"/>
    <xf numFmtId="0" fontId="7" fillId="14" borderId="8" xfId="0" applyFont="1" applyFill="1" applyBorder="1" applyAlignment="1"/>
    <xf numFmtId="0" fontId="12" fillId="0" borderId="18" xfId="0" applyFont="1" applyFill="1" applyBorder="1" applyAlignment="1">
      <alignment horizontal="left" vertical="center"/>
    </xf>
    <xf numFmtId="0" fontId="0" fillId="0" borderId="19" xfId="0" applyFill="1" applyBorder="1" applyAlignment="1">
      <alignment horizontal="left" vertical="center"/>
    </xf>
    <xf numFmtId="0" fontId="0" fillId="0" borderId="20" xfId="0" applyFill="1" applyBorder="1" applyAlignment="1">
      <alignment horizontal="left" vertical="center"/>
    </xf>
    <xf numFmtId="0" fontId="12" fillId="6" borderId="19" xfId="0" applyFont="1" applyFill="1" applyBorder="1" applyAlignment="1">
      <alignment horizontal="left" vertical="center"/>
    </xf>
    <xf numFmtId="0" fontId="0" fillId="6" borderId="19" xfId="0" applyFill="1" applyBorder="1" applyAlignment="1">
      <alignment horizontal="left" vertical="center"/>
    </xf>
    <xf numFmtId="0" fontId="12" fillId="6" borderId="34" xfId="0" applyFont="1" applyFill="1" applyBorder="1" applyAlignment="1">
      <alignment horizontal="left" vertical="center"/>
    </xf>
    <xf numFmtId="0" fontId="0" fillId="6" borderId="15" xfId="0" applyFill="1" applyBorder="1" applyAlignment="1">
      <alignment horizontal="left" vertical="center"/>
    </xf>
    <xf numFmtId="3" fontId="12" fillId="0" borderId="22" xfId="0" applyNumberFormat="1" applyFont="1" applyFill="1" applyBorder="1" applyAlignment="1" applyProtection="1">
      <alignment horizontal="center" vertical="center"/>
      <protection locked="0"/>
    </xf>
    <xf numFmtId="3" fontId="12" fillId="0" borderId="14" xfId="0" applyNumberFormat="1" applyFont="1" applyFill="1" applyBorder="1" applyAlignment="1" applyProtection="1">
      <alignment horizontal="center" vertical="center"/>
      <protection locked="0"/>
    </xf>
    <xf numFmtId="3" fontId="0" fillId="0" borderId="15" xfId="0" applyNumberFormat="1" applyFill="1" applyBorder="1" applyAlignment="1" applyProtection="1">
      <alignment horizontal="center" vertical="center"/>
      <protection locked="0"/>
    </xf>
    <xf numFmtId="3" fontId="0" fillId="0" borderId="15" xfId="0" applyNumberFormat="1" applyBorder="1" applyAlignment="1" applyProtection="1">
      <alignment vertical="center"/>
      <protection locked="0"/>
    </xf>
    <xf numFmtId="3" fontId="0" fillId="0" borderId="16" xfId="0" applyNumberFormat="1" applyBorder="1" applyAlignment="1" applyProtection="1">
      <alignment vertical="center"/>
      <protection locked="0"/>
    </xf>
    <xf numFmtId="0" fontId="9" fillId="3" borderId="137" xfId="0" applyFont="1" applyFill="1" applyBorder="1" applyAlignment="1">
      <alignment horizontal="center" vertical="top" wrapText="1"/>
    </xf>
    <xf numFmtId="0" fontId="9" fillId="3" borderId="22" xfId="0" applyFont="1" applyFill="1" applyBorder="1" applyAlignment="1">
      <alignment horizontal="center" vertical="top" wrapText="1"/>
    </xf>
    <xf numFmtId="0" fontId="9" fillId="3" borderId="138" xfId="0" applyFont="1" applyFill="1" applyBorder="1" applyAlignment="1">
      <alignment horizontal="center" vertical="top" wrapText="1"/>
    </xf>
    <xf numFmtId="0" fontId="9" fillId="3" borderId="137"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9" fillId="3" borderId="138" xfId="0" applyFont="1" applyFill="1" applyBorder="1" applyAlignment="1">
      <alignment horizontal="center" vertical="center" wrapText="1"/>
    </xf>
    <xf numFmtId="0" fontId="12" fillId="6" borderId="15" xfId="0" applyFont="1" applyFill="1" applyBorder="1" applyAlignment="1">
      <alignment horizontal="left" vertical="center"/>
    </xf>
    <xf numFmtId="0" fontId="27" fillId="3" borderId="19" xfId="0" applyFont="1" applyFill="1" applyBorder="1" applyAlignment="1">
      <alignment horizontal="center" vertical="center" wrapText="1"/>
    </xf>
    <xf numFmtId="0" fontId="0" fillId="3" borderId="19" xfId="0" applyFont="1" applyFill="1" applyBorder="1" applyAlignment="1">
      <alignment vertical="center"/>
    </xf>
    <xf numFmtId="3" fontId="12" fillId="6" borderId="25" xfId="0" applyNumberFormat="1" applyFont="1" applyFill="1" applyBorder="1" applyAlignment="1">
      <alignment horizontal="center" vertical="center"/>
    </xf>
    <xf numFmtId="0" fontId="0" fillId="8" borderId="13" xfId="0" applyFill="1" applyBorder="1" applyAlignment="1">
      <alignment horizontal="left" vertical="top"/>
    </xf>
    <xf numFmtId="0" fontId="12" fillId="6" borderId="22" xfId="0" applyFont="1" applyFill="1" applyBorder="1" applyAlignment="1">
      <alignment horizontal="left" vertical="center"/>
    </xf>
    <xf numFmtId="0" fontId="0" fillId="6" borderId="22" xfId="0" applyFill="1" applyBorder="1" applyAlignment="1">
      <alignment horizontal="left" vertical="center"/>
    </xf>
    <xf numFmtId="0" fontId="12" fillId="6" borderId="47" xfId="0" applyFont="1" applyFill="1" applyBorder="1" applyAlignment="1">
      <alignment horizontal="left" vertical="center"/>
    </xf>
    <xf numFmtId="0" fontId="0" fillId="6" borderId="47" xfId="0" applyFill="1" applyBorder="1" applyAlignment="1">
      <alignment horizontal="left" vertical="center"/>
    </xf>
    <xf numFmtId="0" fontId="0" fillId="6" borderId="130" xfId="0" applyFill="1" applyBorder="1" applyAlignment="1">
      <alignment horizontal="left" vertical="center"/>
    </xf>
    <xf numFmtId="166" fontId="12" fillId="6" borderId="34" xfId="0" applyNumberFormat="1" applyFont="1" applyFill="1" applyBorder="1" applyAlignment="1">
      <alignment horizontal="center" vertical="center"/>
    </xf>
    <xf numFmtId="166" fontId="0" fillId="6" borderId="15" xfId="0" applyNumberFormat="1" applyFill="1" applyBorder="1" applyAlignment="1">
      <alignment horizontal="center" vertical="center"/>
    </xf>
    <xf numFmtId="166" fontId="0" fillId="6" borderId="15" xfId="0" applyNumberFormat="1" applyFill="1" applyBorder="1" applyAlignment="1">
      <alignment vertical="center"/>
    </xf>
    <xf numFmtId="166" fontId="0" fillId="0" borderId="16" xfId="0" applyNumberFormat="1" applyBorder="1" applyAlignment="1"/>
    <xf numFmtId="4" fontId="0" fillId="0" borderId="16" xfId="0" applyNumberFormat="1" applyBorder="1" applyAlignment="1">
      <alignment vertical="center"/>
    </xf>
    <xf numFmtId="9" fontId="0" fillId="0" borderId="16" xfId="0" applyNumberFormat="1" applyBorder="1" applyAlignment="1">
      <alignment vertical="center"/>
    </xf>
    <xf numFmtId="0" fontId="13" fillId="3" borderId="66" xfId="0" applyFont="1" applyFill="1" applyBorder="1" applyAlignment="1"/>
    <xf numFmtId="0" fontId="0" fillId="3" borderId="15" xfId="0" applyFill="1" applyBorder="1" applyAlignment="1"/>
    <xf numFmtId="166" fontId="12" fillId="6" borderId="15" xfId="0" applyNumberFormat="1" applyFont="1" applyFill="1" applyBorder="1" applyAlignment="1">
      <alignment horizontal="center" vertical="center"/>
    </xf>
    <xf numFmtId="166" fontId="0" fillId="0" borderId="88" xfId="0" applyNumberFormat="1" applyBorder="1" applyAlignment="1">
      <alignment vertical="center"/>
    </xf>
    <xf numFmtId="166" fontId="0" fillId="0" borderId="88" xfId="0" applyNumberFormat="1" applyBorder="1" applyAlignment="1">
      <alignment horizontal="center" vertical="center"/>
    </xf>
    <xf numFmtId="0" fontId="13" fillId="3" borderId="124" xfId="0" applyFont="1" applyFill="1" applyBorder="1" applyAlignment="1">
      <alignment vertical="top"/>
    </xf>
    <xf numFmtId="0" fontId="0" fillId="3" borderId="158" xfId="0" applyFill="1" applyBorder="1" applyAlignment="1">
      <alignment vertical="top"/>
    </xf>
    <xf numFmtId="0" fontId="0" fillId="0" borderId="158" xfId="0" applyBorder="1" applyAlignment="1">
      <alignment vertical="top"/>
    </xf>
    <xf numFmtId="0" fontId="0" fillId="0" borderId="168" xfId="0" applyBorder="1" applyAlignment="1">
      <alignment vertical="top"/>
    </xf>
    <xf numFmtId="166" fontId="0" fillId="0" borderId="13" xfId="0" applyNumberFormat="1" applyBorder="1" applyAlignment="1">
      <alignment horizontal="center" vertical="center"/>
    </xf>
    <xf numFmtId="0" fontId="12" fillId="3" borderId="52" xfId="0" applyFont="1" applyFill="1" applyBorder="1" applyAlignment="1">
      <alignment horizontal="center" vertical="center"/>
    </xf>
    <xf numFmtId="0" fontId="12" fillId="3" borderId="53" xfId="0" applyFont="1" applyFill="1" applyBorder="1" applyAlignment="1">
      <alignment horizontal="center" vertical="center"/>
    </xf>
    <xf numFmtId="0" fontId="12" fillId="3" borderId="77" xfId="0" applyFont="1" applyFill="1" applyBorder="1" applyAlignment="1">
      <alignment horizontal="center" vertical="center"/>
    </xf>
    <xf numFmtId="0" fontId="12" fillId="3" borderId="77" xfId="0" applyFont="1" applyFill="1" applyBorder="1" applyAlignment="1">
      <alignment horizontal="center"/>
    </xf>
    <xf numFmtId="0" fontId="12" fillId="0" borderId="34" xfId="0" applyFont="1" applyFill="1" applyBorder="1" applyAlignment="1">
      <alignment vertical="center"/>
    </xf>
    <xf numFmtId="0" fontId="12" fillId="6" borderId="13" xfId="0" applyFont="1" applyFill="1" applyBorder="1" applyAlignment="1">
      <alignment horizontal="left" vertical="center"/>
    </xf>
    <xf numFmtId="0" fontId="27" fillId="3" borderId="4" xfId="0" applyFont="1" applyFill="1" applyBorder="1" applyAlignment="1"/>
    <xf numFmtId="0" fontId="0" fillId="3" borderId="4" xfId="0" applyFont="1" applyFill="1" applyBorder="1" applyAlignment="1"/>
    <xf numFmtId="0" fontId="23" fillId="10" borderId="124" xfId="0" applyFont="1" applyFill="1" applyBorder="1" applyAlignment="1">
      <alignment horizontal="center"/>
    </xf>
    <xf numFmtId="0" fontId="0" fillId="0" borderId="158" xfId="0" applyBorder="1" applyAlignment="1"/>
    <xf numFmtId="0" fontId="0" fillId="0" borderId="159" xfId="0" applyBorder="1" applyAlignment="1"/>
    <xf numFmtId="0" fontId="0" fillId="0" borderId="151" xfId="0" applyBorder="1" applyAlignment="1"/>
    <xf numFmtId="0" fontId="0" fillId="0" borderId="3" xfId="0" applyBorder="1" applyAlignment="1"/>
    <xf numFmtId="0" fontId="0" fillId="0" borderId="142" xfId="0" applyBorder="1" applyAlignment="1"/>
    <xf numFmtId="0" fontId="24" fillId="6" borderId="151" xfId="0" applyFont="1" applyFill="1" applyBorder="1" applyAlignment="1">
      <alignment horizontal="center"/>
    </xf>
    <xf numFmtId="0" fontId="24" fillId="6" borderId="3" xfId="0" applyFont="1" applyFill="1" applyBorder="1" applyAlignment="1">
      <alignment horizontal="center"/>
    </xf>
    <xf numFmtId="0" fontId="24" fillId="6" borderId="155" xfId="0" applyFont="1" applyFill="1" applyBorder="1" applyAlignment="1">
      <alignment horizontal="center"/>
    </xf>
    <xf numFmtId="0" fontId="25" fillId="6" borderId="0" xfId="0" applyFont="1" applyFill="1" applyBorder="1" applyAlignment="1">
      <alignment horizontal="center"/>
    </xf>
    <xf numFmtId="0" fontId="25" fillId="6" borderId="17" xfId="0" applyFont="1" applyFill="1" applyBorder="1" applyAlignment="1">
      <alignment horizontal="center"/>
    </xf>
    <xf numFmtId="0" fontId="7" fillId="14" borderId="38" xfId="0" applyFont="1" applyFill="1" applyBorder="1" applyAlignment="1">
      <alignment horizontal="center"/>
    </xf>
    <xf numFmtId="0" fontId="7" fillId="14" borderId="0" xfId="0" applyFont="1" applyFill="1" applyBorder="1" applyAlignment="1">
      <alignment horizontal="center"/>
    </xf>
    <xf numFmtId="0" fontId="7" fillId="14" borderId="18" xfId="0" applyFont="1" applyFill="1" applyBorder="1" applyAlignment="1">
      <alignment horizontal="center"/>
    </xf>
    <xf numFmtId="0" fontId="7" fillId="14" borderId="19" xfId="0" applyFont="1" applyFill="1" applyBorder="1" applyAlignment="1">
      <alignment horizontal="center"/>
    </xf>
    <xf numFmtId="0" fontId="7" fillId="14" borderId="186" xfId="0" applyFont="1" applyFill="1" applyBorder="1" applyAlignment="1">
      <alignment horizontal="center"/>
    </xf>
    <xf numFmtId="0" fontId="7" fillId="14" borderId="5" xfId="0" applyFont="1" applyFill="1" applyBorder="1" applyAlignment="1">
      <alignment horizontal="center"/>
    </xf>
    <xf numFmtId="0" fontId="7" fillId="14" borderId="187" xfId="0" applyFont="1" applyFill="1" applyBorder="1" applyAlignment="1">
      <alignment horizontal="center"/>
    </xf>
    <xf numFmtId="0" fontId="7" fillId="14" borderId="20" xfId="0" applyFont="1" applyFill="1" applyBorder="1" applyAlignment="1">
      <alignment horizontal="center"/>
    </xf>
    <xf numFmtId="0" fontId="27" fillId="5" borderId="0" xfId="0" applyFont="1" applyFill="1" applyAlignment="1">
      <alignment horizontal="center"/>
    </xf>
    <xf numFmtId="0" fontId="27" fillId="8" borderId="28" xfId="0" applyFont="1" applyFill="1" applyBorder="1" applyAlignment="1">
      <alignment horizontal="center"/>
    </xf>
    <xf numFmtId="0" fontId="27" fillId="3" borderId="28" xfId="0" applyFont="1" applyFill="1" applyBorder="1" applyAlignment="1">
      <alignment horizontal="center" vertical="center"/>
    </xf>
    <xf numFmtId="0" fontId="0" fillId="0" borderId="49" xfId="0" applyBorder="1" applyAlignment="1"/>
    <xf numFmtId="0" fontId="27" fillId="8" borderId="28" xfId="0" applyFont="1" applyFill="1" applyBorder="1" applyAlignment="1">
      <alignment horizontal="center" vertical="center"/>
    </xf>
  </cellXfs>
  <cellStyles count="3">
    <cellStyle name="Comma" xfId="2" builtinId="3"/>
    <cellStyle name="Hyperlink" xfId="1" builtinId="8"/>
    <cellStyle name="Normal" xfId="0" builtinId="0"/>
  </cellStyles>
  <dxfs count="389">
    <dxf>
      <numFmt numFmtId="19" formatCode="m/d/yyyy"/>
      <protection locked="1" hidden="1"/>
    </dxf>
    <dxf>
      <numFmt numFmtId="19" formatCode="m/d/yyyy"/>
      <protection locked="1" hidden="1"/>
    </dxf>
    <dxf>
      <protection locked="1" hidden="1"/>
    </dxf>
    <dxf>
      <protection locked="1" hidden="1"/>
    </dxf>
    <dxf>
      <protection locked="1" hidden="1"/>
    </dxf>
    <dxf>
      <protection locked="1" hidden="1"/>
    </dxf>
    <dxf>
      <protection locked="1" hidden="1"/>
    </dxf>
    <dxf>
      <protection locked="1" hidden="1"/>
    </dxf>
    <dxf>
      <protection locked="1" hidden="1"/>
    </dxf>
    <dxf>
      <protection locked="1" hidden="1"/>
    </dxf>
    <dxf>
      <numFmt numFmtId="0" formatCode="General"/>
    </dxf>
    <dxf>
      <numFmt numFmtId="0" formatCode="General"/>
    </dxf>
    <dxf>
      <numFmt numFmtId="0" formatCode="General"/>
    </dxf>
    <dxf>
      <numFmt numFmtId="4" formatCode="#,##0.00"/>
    </dxf>
    <dxf>
      <alignment horizontal="center" vertical="bottom" textRotation="0" wrapText="0" indent="0" justifyLastLine="0" shrinkToFit="0" readingOrder="0"/>
    </dxf>
    <dxf>
      <numFmt numFmtId="164" formatCode="yyyy/mm/dd"/>
      <alignment horizontal="center" vertical="bottom" textRotation="0" wrapText="0" indent="0" justifyLastLine="0" shrinkToFit="0" readingOrder="0"/>
    </dxf>
    <dxf>
      <numFmt numFmtId="164" formatCode="yyyy/mm/dd"/>
      <alignment horizontal="center" vertical="bottom" textRotation="0" wrapText="0" indent="0" justifyLastLine="0" shrinkToFit="0" readingOrder="0"/>
    </dxf>
    <dxf>
      <numFmt numFmtId="164" formatCode="yyyy/mm/dd"/>
      <alignment horizontal="center" vertical="bottom" textRotation="0" wrapText="0" indent="0" justifyLastLine="0" shrinkToFit="0" readingOrder="0"/>
    </dxf>
    <dxf>
      <numFmt numFmtId="164" formatCode="yyyy/mm/dd"/>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1"/>
        <color rgb="FF333333"/>
        <name val="Calibri"/>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rgb="FF333333"/>
        <name val="Calibri"/>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rgb="FF333333"/>
        <name val="Calibri"/>
        <scheme val="minor"/>
      </font>
      <numFmt numFmtId="30" formatCode="@"/>
      <fill>
        <patternFill patternType="none">
          <fgColor indexed="64"/>
          <bgColor indexed="65"/>
        </patternFill>
      </fill>
      <alignment horizontal="left" vertical="top" textRotation="0" wrapText="1" indent="0" justifyLastLine="0" shrinkToFit="0" readingOrder="0"/>
    </dxf>
    <dxf>
      <font>
        <b val="0"/>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center" textRotation="0" wrapText="1" indent="0" justifyLastLine="0" shrinkToFit="0" readingOrder="0"/>
    </dxf>
    <dxf>
      <font>
        <b val="0"/>
      </font>
      <numFmt numFmtId="30" formatCode="@"/>
      <alignment horizontal="left" vertical="bottom" textRotation="0" wrapText="0" indent="0" justifyLastLine="0" shrinkToFit="0" readingOrder="0"/>
    </dxf>
    <dxf>
      <font>
        <b val="0"/>
      </font>
      <numFmt numFmtId="30" formatCode="@"/>
      <alignment horizontal="left" vertical="bottom" textRotation="0" wrapText="0" indent="0" justifyLastLine="0" shrinkToFit="0" readingOrder="0"/>
    </dxf>
    <dxf>
      <font>
        <b val="0"/>
      </font>
      <numFmt numFmtId="30" formatCode="@"/>
      <alignment horizontal="left" vertical="bottom" textRotation="0" wrapText="0" indent="0" justifyLastLine="0" shrinkToFit="0" readingOrder="0"/>
    </dxf>
    <dxf>
      <font>
        <b val="0"/>
      </font>
      <numFmt numFmtId="30" formatCode="@"/>
      <alignment horizontal="left" vertical="bottom" textRotation="0" wrapText="0" indent="0" justifyLastLine="0" shrinkToFit="0" readingOrder="0"/>
    </dxf>
    <dxf>
      <font>
        <b val="0"/>
      </font>
      <alignment horizontal="left" vertical="bottom" textRotation="0" wrapText="0" indent="0" justifyLastLine="0" shrinkToFit="0" readingOrder="0"/>
    </dxf>
    <dxf>
      <numFmt numFmtId="4" formatCode="#,##0.00"/>
      <fill>
        <patternFill patternType="solid">
          <fgColor indexed="64"/>
          <bgColor rgb="FFD6DCE4"/>
        </patternFill>
      </fill>
      <alignment horizontal="general" vertical="top" textRotation="0" wrapText="0" indent="0" justifyLastLine="0" shrinkToFit="0" readingOrder="0"/>
    </dxf>
    <dxf>
      <numFmt numFmtId="4" formatCode="#,##0.00"/>
      <fill>
        <patternFill patternType="solid">
          <fgColor indexed="64"/>
          <bgColor rgb="FFD6DCE4"/>
        </patternFill>
      </fill>
      <alignment horizontal="general" vertical="top" textRotation="0" wrapText="0" indent="0" justifyLastLine="0" shrinkToFit="0" readingOrder="0"/>
      <protection locked="0" hidden="0"/>
    </dxf>
    <dxf>
      <fill>
        <patternFill patternType="solid">
          <fgColor indexed="64"/>
          <bgColor theme="3" tint="0.79998168889431442"/>
        </patternFill>
      </fill>
      <alignment horizontal="center" vertical="top" textRotation="0" wrapText="0" indent="0" justifyLastLine="0" shrinkToFit="0" readingOrder="0"/>
    </dxf>
    <dxf>
      <numFmt numFmtId="4" formatCode="#,##0.00"/>
      <fill>
        <patternFill patternType="solid">
          <fgColor indexed="64"/>
          <bgColor theme="3" tint="0.79998168889431442"/>
        </patternFill>
      </fill>
      <alignment horizontal="center" vertical="top" textRotation="0" wrapText="0" indent="0" justifyLastLine="0" shrinkToFit="0" readingOrder="0"/>
      <protection locked="0" hidden="0"/>
    </dxf>
    <dxf>
      <numFmt numFmtId="4" formatCode="#,##0.00"/>
      <fill>
        <patternFill patternType="solid">
          <fgColor indexed="64"/>
          <bgColor theme="3" tint="0.79998168889431442"/>
        </patternFill>
      </fill>
      <alignment horizontal="general" vertical="top" textRotation="0" wrapText="0" indent="0" justifyLastLine="0" shrinkToFit="0" readingOrder="0"/>
    </dxf>
    <dxf>
      <numFmt numFmtId="4" formatCode="#,##0.00"/>
      <fill>
        <patternFill patternType="solid">
          <fgColor indexed="64"/>
          <bgColor theme="3" tint="0.79998168889431442"/>
        </patternFill>
      </fill>
      <alignment horizontal="general" vertical="top" textRotation="0" wrapText="0" indent="0" justifyLastLine="0" shrinkToFit="0" readingOrder="0"/>
      <protection locked="0" hidden="0"/>
    </dxf>
    <dxf>
      <numFmt numFmtId="4" formatCode="#,##0.00"/>
      <fill>
        <patternFill patternType="solid">
          <fgColor indexed="64"/>
          <bgColor theme="3" tint="0.79998168889431442"/>
        </patternFill>
      </fill>
      <alignment horizontal="general" vertical="top" textRotation="0" wrapText="0" indent="0" justifyLastLine="0" shrinkToFit="0" readingOrder="0"/>
    </dxf>
    <dxf>
      <numFmt numFmtId="4" formatCode="#,##0.00"/>
      <fill>
        <patternFill patternType="solid">
          <fgColor indexed="64"/>
          <bgColor theme="3" tint="0.79998168889431442"/>
        </patternFill>
      </fill>
      <alignment horizontal="general" vertical="top" textRotation="0" wrapText="0" indent="0" justifyLastLine="0" shrinkToFit="0" readingOrder="0"/>
      <protection locked="0" hidden="0"/>
    </dxf>
    <dxf>
      <fill>
        <patternFill patternType="solid">
          <fgColor indexed="64"/>
          <bgColor rgb="FFD6DCE4"/>
        </patternFill>
      </fill>
      <alignment horizontal="center" vertical="top" textRotation="0" wrapText="0" indent="0" justifyLastLine="0" shrinkToFit="0" readingOrder="0"/>
    </dxf>
    <dxf>
      <numFmt numFmtId="164" formatCode="yyyy/mm/dd"/>
      <fill>
        <patternFill patternType="solid">
          <fgColor indexed="64"/>
          <bgColor rgb="FFD6DCE4"/>
        </patternFill>
      </fill>
      <alignment horizontal="center" vertical="top" textRotation="0" wrapText="0" indent="0" justifyLastLine="0" shrinkToFit="0" readingOrder="0"/>
      <protection locked="0" hidden="0"/>
    </dxf>
    <dxf>
      <fill>
        <patternFill patternType="solid">
          <fgColor indexed="64"/>
          <bgColor rgb="FFD6DCE4"/>
        </patternFill>
      </fill>
      <alignment horizontal="center" vertical="top" textRotation="0" wrapText="0" indent="0" justifyLastLine="0" shrinkToFit="0" readingOrder="0"/>
    </dxf>
    <dxf>
      <numFmt numFmtId="164" formatCode="yyyy/mm/dd"/>
      <fill>
        <patternFill patternType="solid">
          <fgColor indexed="64"/>
          <bgColor theme="3" tint="0.79998168889431442"/>
        </patternFill>
      </fill>
      <alignment horizontal="center" vertical="top" textRotation="0" wrapText="0" indent="0" justifyLastLine="0" shrinkToFit="0" readingOrder="0"/>
      <protection locked="0" hidden="0"/>
    </dxf>
    <dxf>
      <fill>
        <patternFill patternType="solid">
          <fgColor indexed="64"/>
          <bgColor rgb="FFD6DCE4"/>
        </patternFill>
      </fill>
      <alignment horizontal="center" vertical="top" textRotation="0" wrapText="0" indent="0" justifyLastLine="0" shrinkToFit="0" readingOrder="0"/>
      <protection locked="1" hidden="0"/>
    </dxf>
    <dxf>
      <numFmt numFmtId="3" formatCode="#,##0"/>
      <fill>
        <patternFill patternType="solid">
          <fgColor indexed="64"/>
          <bgColor rgb="FFD6DCE4"/>
        </patternFill>
      </fill>
      <alignment horizontal="center" vertical="top" textRotation="0" wrapText="0" indent="0" justifyLastLine="0" shrinkToFit="0" readingOrder="0"/>
      <protection locked="1" hidden="0"/>
    </dxf>
    <dxf>
      <fill>
        <patternFill patternType="solid">
          <fgColor indexed="64"/>
          <bgColor theme="3" tint="0.79998168889431442"/>
        </patternFill>
      </fill>
      <alignment horizontal="center" vertical="top" textRotation="0" wrapText="0" indent="0" justifyLastLine="0" shrinkToFit="0" readingOrder="0"/>
    </dxf>
    <dxf>
      <numFmt numFmtId="4" formatCode="#,##0.00"/>
      <fill>
        <patternFill patternType="solid">
          <fgColor indexed="64"/>
          <bgColor theme="3" tint="0.79998168889431442"/>
        </patternFill>
      </fill>
      <alignment horizontal="center" vertical="top" textRotation="0" wrapText="0" indent="0" justifyLastLine="0" shrinkToFit="0" readingOrder="0"/>
      <protection locked="0" hidden="0"/>
    </dxf>
    <dxf>
      <fill>
        <patternFill patternType="solid">
          <fgColor indexed="64"/>
          <bgColor rgb="FFD6DCE4"/>
        </patternFill>
      </fill>
      <alignment horizontal="center" vertical="top" textRotation="0" wrapText="0" indent="0" justifyLastLine="0" shrinkToFit="0" readingOrder="0"/>
      <protection locked="1" hidden="0"/>
    </dxf>
    <dxf>
      <numFmt numFmtId="1" formatCode="0"/>
      <fill>
        <patternFill patternType="solid">
          <fgColor indexed="64"/>
          <bgColor rgb="FFD6DCE4"/>
        </patternFill>
      </fill>
      <alignment horizontal="center" vertical="top" textRotation="0" wrapText="0" indent="0" justifyLastLine="0" shrinkToFit="0" readingOrder="0"/>
      <protection locked="1" hidden="0"/>
    </dxf>
    <dxf>
      <fill>
        <patternFill patternType="solid">
          <fgColor indexed="64"/>
          <bgColor rgb="FFD6DCE4"/>
        </patternFill>
      </fill>
      <alignment horizontal="center" vertical="top" textRotation="0" wrapText="0" indent="0" justifyLastLine="0" shrinkToFit="0" readingOrder="0"/>
    </dxf>
    <dxf>
      <numFmt numFmtId="1" formatCode="0"/>
      <fill>
        <patternFill patternType="solid">
          <fgColor indexed="64"/>
          <bgColor theme="3" tint="0.79998168889431442"/>
        </patternFill>
      </fill>
      <alignment horizontal="center" vertical="top" textRotation="0" wrapText="0" indent="0" justifyLastLine="0" shrinkToFit="0" readingOrder="0"/>
      <protection locked="1" hidden="0"/>
    </dxf>
    <dxf>
      <fill>
        <patternFill patternType="solid">
          <fgColor indexed="64"/>
          <bgColor rgb="FFD6DCE4"/>
        </patternFill>
      </fill>
      <alignment horizontal="center" vertical="top" textRotation="0" wrapText="0" indent="0" justifyLastLine="0" shrinkToFit="0" readingOrder="0"/>
    </dxf>
    <dxf>
      <numFmt numFmtId="0" formatCode="General"/>
      <fill>
        <patternFill patternType="solid">
          <fgColor indexed="64"/>
          <bgColor rgb="FFD6DCE4"/>
        </patternFill>
      </fill>
      <alignment horizontal="center" vertical="top" textRotation="0" wrapText="0" indent="0" justifyLastLine="0" shrinkToFit="0" readingOrder="0"/>
      <protection locked="1" hidden="0"/>
    </dxf>
    <dxf>
      <fill>
        <patternFill patternType="solid">
          <fgColor indexed="64"/>
          <bgColor rgb="FFD6DCE4"/>
        </patternFill>
      </fill>
      <alignment horizontal="center" vertical="top" textRotation="0" wrapText="0" indent="0" justifyLastLine="0" shrinkToFit="0" readingOrder="0"/>
      <protection locked="1" hidden="0"/>
    </dxf>
    <dxf>
      <numFmt numFmtId="1" formatCode="0"/>
      <fill>
        <patternFill patternType="solid">
          <fgColor indexed="64"/>
          <bgColor rgb="FFD6DCE4"/>
        </patternFill>
      </fill>
      <alignment horizontal="center" vertical="top" textRotation="0" wrapText="0" indent="0" justifyLastLine="0" shrinkToFit="0" readingOrder="0"/>
      <protection locked="1" hidden="0"/>
    </dxf>
    <dxf>
      <numFmt numFmtId="4" formatCode="#,##0.00"/>
      <alignment horizontal="general" vertical="top" textRotation="0" wrapText="0" indent="0" justifyLastLine="0" shrinkToFit="0" readingOrder="0"/>
      <protection locked="1" hidden="0"/>
    </dxf>
    <dxf>
      <numFmt numFmtId="4" formatCode="#,##0.00"/>
      <alignment horizontal="center" vertical="top" textRotation="0" wrapText="0" indent="0" justifyLastLine="0" shrinkToFit="0" readingOrder="0"/>
      <protection locked="0" hidden="0"/>
    </dxf>
    <dxf>
      <alignment horizontal="general"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numFmt numFmtId="4" formatCode="#,##0.00"/>
      <alignment horizontal="general" vertical="top" textRotation="0" wrapText="0" indent="0" justifyLastLine="0" shrinkToFit="0" readingOrder="0"/>
      <protection locked="1" hidden="0"/>
    </dxf>
    <dxf>
      <numFmt numFmtId="4" formatCode="#,##0.00"/>
      <alignment horizontal="center" vertical="top" textRotation="0" wrapText="0" indent="0" justifyLastLine="0" shrinkToFit="0" readingOrder="0"/>
      <protection locked="0" hidden="0"/>
    </dxf>
    <dxf>
      <alignment horizontal="general"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numFmt numFmtId="4" formatCode="#,##0.00"/>
      <alignment horizontal="general" vertical="top" textRotation="0" wrapText="0" indent="0" justifyLastLine="0" shrinkToFit="0" readingOrder="0"/>
      <protection locked="1" hidden="0"/>
    </dxf>
    <dxf>
      <numFmt numFmtId="4" formatCode="#,##0.00"/>
      <alignment horizontal="center" vertical="top" textRotation="0" wrapText="0" indent="0" justifyLastLine="0" shrinkToFit="0" readingOrder="0"/>
      <protection locked="0" hidden="0"/>
    </dxf>
    <dxf>
      <alignment horizontal="general"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0" formatCode="General"/>
      <alignment horizontal="center" vertical="top" textRotation="0" wrapText="0" indent="0" justifyLastLine="0" shrinkToFit="0" readingOrder="0"/>
      <protection locked="0" hidden="0"/>
    </dxf>
    <dxf>
      <fill>
        <patternFill patternType="none">
          <fgColor indexed="64"/>
          <bgColor indexed="65"/>
        </patternFill>
      </fill>
      <alignment horizontal="center" vertical="top" textRotation="0" wrapText="0" indent="0" justifyLastLine="0" shrinkToFit="0" readingOrder="0"/>
      <protection locked="1" hidden="0"/>
    </dxf>
    <dxf>
      <numFmt numFmtId="1" formatCode="0"/>
      <fill>
        <patternFill patternType="none">
          <fgColor indexed="64"/>
          <bgColor indexed="65"/>
        </patternFill>
      </fill>
      <alignment horizontal="center" vertical="top" textRotation="0" wrapText="0" indent="0" justifyLastLine="0" shrinkToFit="0" readingOrder="0"/>
      <protection locked="0" hidden="0"/>
    </dxf>
    <dxf>
      <fill>
        <patternFill patternType="none">
          <fgColor indexed="64"/>
          <bgColor indexed="65"/>
        </patternFill>
      </fill>
      <alignment horizontal="center" vertical="top" textRotation="0" wrapText="0" indent="0" justifyLastLine="0" shrinkToFit="0" readingOrder="0"/>
      <protection locked="1" hidden="0"/>
    </dxf>
    <dxf>
      <numFmt numFmtId="1" formatCode="0"/>
      <fill>
        <patternFill patternType="none">
          <fgColor indexed="64"/>
          <bgColor auto="1"/>
        </patternFill>
      </fill>
      <alignment horizontal="center" vertical="top" textRotation="0" wrapText="0" indent="0" justifyLastLine="0" shrinkToFit="0" readingOrder="0"/>
      <protection locked="0" hidden="0"/>
    </dxf>
    <dxf>
      <fill>
        <patternFill patternType="none">
          <fgColor indexed="64"/>
          <bgColor indexed="65"/>
        </patternFill>
      </fill>
      <alignment horizontal="center" vertical="top" textRotation="0" wrapText="0" indent="0" justifyLastLine="0" shrinkToFit="0" readingOrder="0"/>
      <protection locked="1" hidden="0"/>
    </dxf>
    <dxf>
      <numFmt numFmtId="1" formatCode="0"/>
      <fill>
        <patternFill patternType="none">
          <fgColor indexed="64"/>
          <bgColor auto="1"/>
        </patternFill>
      </fill>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 formatCode="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 formatCode="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 formatCode="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 formatCode="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 formatCode="0"/>
      <alignment horizontal="center" vertical="top" textRotation="0" wrapText="0" indent="0" justifyLastLine="0" shrinkToFit="0" readingOrder="0"/>
      <protection locked="0" hidden="0"/>
    </dxf>
    <dxf>
      <fill>
        <patternFill patternType="none">
          <fgColor indexed="64"/>
          <bgColor indexed="65"/>
        </patternFill>
      </fill>
      <alignment horizontal="center" vertical="top" textRotation="0" wrapText="0" indent="0" justifyLastLine="0" shrinkToFit="0" readingOrder="0"/>
      <protection locked="1" hidden="0"/>
    </dxf>
    <dxf>
      <numFmt numFmtId="3" formatCode="#,##0"/>
      <fill>
        <patternFill patternType="none">
          <fgColor indexed="64"/>
          <bgColor auto="1"/>
        </patternFill>
      </fill>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 formatCode="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 formatCode="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 formatCode="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 formatCode="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 formatCode="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0" formatCode="General"/>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64" formatCode="yyyy/mm/dd"/>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64" formatCode="yyyy/mm/dd"/>
      <alignment horizontal="center" vertical="top" textRotation="0" wrapText="0" indent="0" justifyLastLine="0" shrinkToFit="0" readingOrder="0"/>
      <protection locked="0" hidden="0"/>
    </dxf>
    <dxf>
      <alignment horizontal="general" vertical="top" textRotation="0" wrapText="0" indent="0" justifyLastLine="0" shrinkToFit="0" readingOrder="0"/>
      <protection locked="1" hidden="0"/>
    </dxf>
    <dxf>
      <numFmt numFmtId="164" formatCode="yyyy/mm/dd"/>
      <alignment horizontal="center" vertical="top" textRotation="0" wrapText="0" indent="0" justifyLastLine="0" shrinkToFit="0" readingOrder="0"/>
      <protection locked="0" hidden="0"/>
    </dxf>
    <dxf>
      <alignment horizontal="general" vertical="top" textRotation="0" wrapText="0" indent="0" justifyLastLine="0" shrinkToFit="0" readingOrder="0"/>
      <protection locked="1" hidden="0"/>
    </dxf>
    <dxf>
      <numFmt numFmtId="164" formatCode="yyyy/mm/dd"/>
      <alignment horizontal="center" vertical="top" textRotation="0" wrapText="0" indent="0" justifyLastLine="0" shrinkToFit="0" readingOrder="0"/>
      <protection locked="0" hidden="0"/>
    </dxf>
    <dxf>
      <alignment horizontal="general" vertical="top" textRotation="0" wrapText="0" indent="0" justifyLastLine="0" shrinkToFit="0" readingOrder="0"/>
      <protection locked="1" hidden="0"/>
    </dxf>
    <dxf>
      <numFmt numFmtId="164" formatCode="yyyy/mm/dd"/>
      <alignment horizontal="center" vertical="bottom" textRotation="0" wrapText="0" indent="0" justifyLastLine="0" shrinkToFit="0" readingOrder="0"/>
      <protection locked="0" hidden="0"/>
    </dxf>
    <dxf>
      <alignment horizontal="general" vertical="top" textRotation="0" wrapText="0" indent="0" justifyLastLine="0" shrinkToFit="0" readingOrder="0"/>
      <protection locked="1" hidden="0"/>
    </dxf>
    <dxf>
      <numFmt numFmtId="164" formatCode="yyyy/mm/dd"/>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64" formatCode="yyyy/mm/dd"/>
      <alignment horizontal="center" vertical="top" textRotation="0" wrapText="0" indent="0" justifyLastLine="0" shrinkToFit="0" readingOrder="0"/>
      <protection locked="0" hidden="0"/>
    </dxf>
    <dxf>
      <numFmt numFmtId="0" formatCode="General"/>
      <alignment horizontal="center" vertical="top" textRotation="0" wrapText="0" indent="0" justifyLastLine="0" shrinkToFit="0" readingOrder="0"/>
      <protection locked="1" hidden="0"/>
    </dxf>
    <dxf>
      <numFmt numFmtId="164" formatCode="yyyy/mm/dd"/>
      <alignment horizontal="center" vertical="top" textRotation="0" wrapText="0" indent="0" justifyLastLine="0" shrinkToFit="0" readingOrder="0"/>
      <protection locked="0" hidden="0"/>
    </dxf>
    <dxf>
      <alignment horizontal="general" vertical="top" textRotation="0" wrapText="0" indent="0" justifyLastLine="0" shrinkToFit="0" readingOrder="0"/>
      <protection locked="1" hidden="0"/>
    </dxf>
    <dxf>
      <numFmt numFmtId="164" formatCode="yyyy/mm/dd"/>
      <alignment horizontal="center" vertical="top" textRotation="0" wrapText="0" indent="0" justifyLastLine="0" shrinkToFit="0" readingOrder="0"/>
      <protection locked="0" hidden="0"/>
    </dxf>
    <dxf>
      <alignment horizontal="general"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64" formatCode="yyyy/mm/dd"/>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64" formatCode="yyyy/mm/dd"/>
      <fill>
        <patternFill patternType="none">
          <fgColor indexed="64"/>
          <bgColor auto="1"/>
        </patternFill>
      </fill>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64" formatCode="yyyy/mm/dd"/>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64" formatCode="yyyy/mm/dd"/>
      <alignment horizontal="center" vertical="top" textRotation="0" wrapText="0" indent="0" justifyLastLine="0" shrinkToFit="0" readingOrder="0"/>
      <protection locked="0" hidden="0"/>
    </dxf>
    <dxf>
      <numFmt numFmtId="0" formatCode="General"/>
      <alignment horizontal="center" vertical="top" textRotation="0" wrapText="0" indent="0" justifyLastLine="0" shrinkToFit="0" readingOrder="0"/>
      <protection locked="1" hidden="0"/>
    </dxf>
    <dxf>
      <numFmt numFmtId="3" formatCode="#,##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alignment horizontal="center" vertical="center" textRotation="0" wrapText="0" indent="0" justifyLastLine="0" shrinkToFit="0" readingOrder="0"/>
      <protection locked="1" hidden="0"/>
    </dxf>
    <dxf>
      <alignment horizontal="center" vertical="center" textRotation="0" wrapText="0" indent="0" justifyLastLine="0" shrinkToFit="0" readingOrder="0"/>
      <protection locked="0" hidden="0"/>
    </dxf>
    <dxf>
      <alignment horizontal="center" vertical="top" textRotation="0" wrapText="0" indent="0" justifyLastLine="0" shrinkToFit="0" readingOrder="0"/>
      <protection locked="1" hidden="0"/>
    </dxf>
    <dxf>
      <alignment horizontal="center" vertical="top" textRotation="0" wrapText="0" indent="0" justifyLastLine="0" shrinkToFit="0" readingOrder="0"/>
      <protection locked="0" hidden="0"/>
    </dxf>
    <dxf>
      <numFmt numFmtId="0" formatCode="General"/>
      <alignment horizontal="general" vertical="top" textRotation="0" wrapText="0" indent="0" justifyLastLine="0" shrinkToFit="0" readingOrder="0"/>
      <protection locked="1" hidden="0"/>
    </dxf>
    <dxf>
      <numFmt numFmtId="4" formatCode="#,##0.00"/>
      <alignment horizontal="center" vertical="top" textRotation="0" wrapText="0" indent="0" justifyLastLine="0" shrinkToFit="0" readingOrder="0"/>
      <protection locked="0" hidden="0"/>
    </dxf>
    <dxf>
      <numFmt numFmtId="0" formatCode="General"/>
      <alignment horizontal="center" vertical="top" textRotation="0" wrapText="0" indent="0" justifyLastLine="0" shrinkToFit="0" readingOrder="0"/>
      <protection locked="1" hidden="0"/>
    </dxf>
    <dxf>
      <numFmt numFmtId="0" formatCode="General"/>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64" formatCode="yyyy/mm/dd"/>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0" formatCode="General"/>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0" formatCode="General"/>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0" formatCode="General"/>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0" formatCode="General"/>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0" formatCode="General"/>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0" formatCode="General"/>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0" formatCode="General"/>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0" formatCode="General"/>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64" formatCode="yyyy/mm/dd"/>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1" hidden="0"/>
    </dxf>
    <dxf>
      <numFmt numFmtId="164" formatCode="yyyy/mm/dd"/>
      <alignment horizontal="center" vertical="top" textRotation="0" wrapText="0" indent="0" justifyLastLine="0" shrinkToFit="0" readingOrder="0"/>
      <protection locked="0" hidden="0"/>
    </dxf>
    <dxf>
      <alignment horizontal="general" vertical="top" textRotation="0" wrapText="0" indent="0" justifyLastLine="0" shrinkToFit="0" readingOrder="0"/>
      <protection locked="1" hidden="0"/>
    </dxf>
    <dxf>
      <numFmt numFmtId="30" formatCode="@"/>
      <alignment vertical="top" textRotation="0" wrapText="0" indent="0" justifyLastLine="0" shrinkToFit="0" readingOrder="0"/>
      <protection locked="0" hidden="0"/>
    </dxf>
    <dxf>
      <alignment horizontal="general" vertical="top" textRotation="0" wrapText="0" indent="0" justifyLastLine="0" shrinkToFit="0" readingOrder="0"/>
      <protection locked="1" hidden="0"/>
    </dxf>
    <dxf>
      <numFmt numFmtId="30" formatCode="@"/>
      <alignment vertical="top" textRotation="0" wrapText="0" indent="0" justifyLastLine="0" shrinkToFit="0" readingOrder="0"/>
      <protection locked="0" hidden="0"/>
    </dxf>
    <dxf>
      <alignment vertical="top" textRotation="0" wrapText="0" indent="0" justifyLastLine="0" shrinkToFit="0" readingOrder="0"/>
    </dxf>
    <dxf>
      <font>
        <b val="0"/>
        <i val="0"/>
        <strike val="0"/>
        <outline val="0"/>
        <shadow val="0"/>
        <u val="none"/>
        <vertAlign val="baseline"/>
        <sz val="11"/>
        <color theme="0"/>
        <name val="Calibri"/>
        <scheme val="minor"/>
      </font>
      <fill>
        <patternFill>
          <fgColor indexed="64"/>
          <bgColor rgb="FF0075BF"/>
        </patternFill>
      </fill>
      <alignment horizontal="center" vertical="center" textRotation="0" wrapText="1" indent="0" justifyLastLine="0" shrinkToFit="0" readingOrder="0"/>
      <protection locked="1" hidden="0"/>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ill>
        <patternFill>
          <bgColor rgb="FFFFC0C0"/>
        </patternFill>
      </fill>
    </dxf>
    <dxf>
      <font>
        <strike/>
        <color rgb="FFFF0000"/>
      </font>
    </dxf>
    <dxf>
      <fill>
        <patternFill>
          <bgColor rgb="FFFFC0C0"/>
        </patternFill>
      </fill>
    </dxf>
    <dxf>
      <font>
        <strike/>
        <color rgb="FFFF0000"/>
      </font>
    </dxf>
    <dxf>
      <fill>
        <patternFill patternType="gray125">
          <fgColor rgb="FFFF0000"/>
        </patternFill>
      </fill>
    </dxf>
    <dxf>
      <font>
        <strike/>
        <color rgb="FFFF0000"/>
      </font>
    </dxf>
    <dxf>
      <fill>
        <patternFill patternType="gray125">
          <fgColor rgb="FFFF0000"/>
        </patternFill>
      </fill>
    </dxf>
    <dxf>
      <font>
        <strike/>
        <color rgb="FFFF0000"/>
      </font>
    </dxf>
    <dxf>
      <fill>
        <patternFill patternType="gray125">
          <fgColor rgb="FFFF0000"/>
        </patternFill>
      </fill>
    </dxf>
    <dxf>
      <font>
        <strike/>
        <color rgb="FFFF0000"/>
      </font>
    </dxf>
    <dxf>
      <fill>
        <patternFill patternType="gray125">
          <fgColor rgb="FFFF0000"/>
        </patternFill>
      </fill>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ill>
        <patternFill patternType="gray125">
          <fgColor rgb="FFFF0000"/>
        </patternFill>
      </fill>
    </dxf>
    <dxf>
      <font>
        <strike/>
        <color rgb="FFFF0000"/>
      </font>
    </dxf>
    <dxf>
      <fill>
        <patternFill patternType="gray125">
          <fgColor rgb="FFFF0000"/>
        </patternFill>
      </fill>
    </dxf>
    <dxf>
      <font>
        <strike/>
        <color rgb="FFFF0000"/>
      </font>
    </dxf>
    <dxf>
      <fill>
        <patternFill patternType="gray125">
          <fgColor rgb="FFFF0000"/>
        </patternFill>
      </fill>
    </dxf>
    <dxf>
      <font>
        <strike/>
        <color rgb="FFFF0000"/>
      </font>
    </dxf>
    <dxf>
      <fill>
        <patternFill patternType="gray125">
          <fgColor rgb="FFFF0000"/>
        </patternFill>
      </fill>
    </dxf>
    <dxf>
      <font>
        <strike/>
        <color rgb="FFFF0000"/>
      </font>
    </dxf>
    <dxf>
      <fill>
        <patternFill patternType="gray125">
          <fgColor rgb="FFFF0000"/>
        </patternFill>
      </fill>
    </dxf>
    <dxf>
      <font>
        <strike/>
        <color rgb="FFFF0000"/>
      </font>
    </dxf>
    <dxf>
      <fill>
        <patternFill patternType="gray125">
          <fgColor rgb="FFFF0000"/>
        </patternFill>
      </fill>
    </dxf>
    <dxf>
      <font>
        <strike/>
        <color rgb="FFFF0000"/>
      </font>
    </dxf>
    <dxf>
      <font>
        <strike/>
        <color rgb="FFFF0000"/>
      </font>
    </dxf>
    <dxf>
      <font>
        <strike/>
        <color rgb="FFFF0000"/>
      </font>
    </dxf>
    <dxf>
      <font>
        <strike/>
        <color rgb="FFFF0000"/>
      </font>
    </dxf>
    <dxf>
      <font>
        <strike/>
        <color rgb="FFFF0000"/>
      </font>
    </dxf>
    <dxf>
      <font>
        <strike/>
        <color rgb="FFFF0000"/>
      </font>
    </dxf>
    <dxf>
      <fill>
        <patternFill>
          <bgColor rgb="FFFFC0C0"/>
        </patternFill>
      </fill>
    </dxf>
    <dxf>
      <font>
        <strike/>
        <color rgb="FFFF0000"/>
      </font>
    </dxf>
    <dxf>
      <fill>
        <patternFill>
          <bgColor rgb="FFFFC0C0"/>
        </patternFill>
      </fill>
    </dxf>
    <dxf>
      <font>
        <strike/>
        <color rgb="FFFF0000"/>
      </font>
    </dxf>
    <dxf>
      <fill>
        <patternFill>
          <bgColor rgb="FFFFC0C0"/>
        </patternFill>
      </fill>
    </dxf>
    <dxf>
      <font>
        <strike/>
        <color rgb="FFFF0000"/>
      </font>
    </dxf>
    <dxf>
      <font>
        <strike/>
        <color rgb="FFFF0000"/>
      </font>
    </dxf>
    <dxf>
      <font>
        <strike/>
        <color rgb="FFFF0000"/>
      </font>
    </dxf>
    <dxf>
      <fill>
        <patternFill>
          <bgColor rgb="FFFFC0C0"/>
        </patternFill>
      </fill>
    </dxf>
    <dxf>
      <font>
        <strike/>
        <color rgb="FFFF0000"/>
      </font>
    </dxf>
    <dxf>
      <fill>
        <patternFill>
          <bgColor rgb="FFFFC0C0"/>
        </patternFill>
      </fill>
    </dxf>
    <dxf>
      <font>
        <strike/>
        <color rgb="FFFF0000"/>
      </font>
    </dxf>
    <dxf>
      <fill>
        <patternFill>
          <bgColor rgb="FFFFC0C0"/>
        </patternFill>
      </fill>
    </dxf>
    <dxf>
      <font>
        <strike/>
        <color rgb="FFFF0000"/>
      </font>
    </dxf>
    <dxf>
      <font>
        <strike/>
        <color rgb="FFFF0000"/>
      </font>
    </dxf>
    <dxf>
      <font>
        <strike/>
        <color rgb="FFFF0000"/>
      </font>
    </dxf>
    <dxf>
      <font>
        <strike/>
        <color rgb="FFFF0000"/>
      </font>
    </dxf>
    <dxf>
      <fill>
        <patternFill>
          <bgColor rgb="FFFFC0C0"/>
        </patternFill>
      </fill>
    </dxf>
    <dxf>
      <font>
        <strike/>
        <color rgb="FFFF0000"/>
      </font>
    </dxf>
    <dxf>
      <fill>
        <patternFill>
          <bgColor rgb="FFFFC0C0"/>
        </patternFill>
      </fill>
    </dxf>
    <dxf>
      <font>
        <strike/>
        <color rgb="FFFF0000"/>
      </font>
    </dxf>
    <dxf>
      <font>
        <strike/>
        <color rgb="FFFF0000"/>
      </font>
    </dxf>
    <dxf>
      <fill>
        <patternFill>
          <bgColor rgb="FFFFC0C0"/>
        </patternFill>
      </fill>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ill>
        <patternFill>
          <bgColor rgb="FFFFC0C0"/>
        </patternFill>
      </fill>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ill>
        <patternFill>
          <bgColor rgb="FFFFC0C0"/>
        </patternFill>
      </fill>
    </dxf>
    <dxf>
      <font>
        <strike/>
        <color rgb="FFFF0000"/>
      </font>
    </dxf>
    <dxf>
      <font>
        <strike/>
        <color rgb="FFFF0000"/>
      </font>
    </dxf>
    <dxf>
      <fill>
        <patternFill>
          <bgColor theme="5" tint="0.39994506668294322"/>
        </patternFill>
      </fill>
    </dxf>
    <dxf>
      <fill>
        <patternFill>
          <bgColor rgb="FFFFFF00"/>
        </patternFill>
      </fill>
    </dxf>
    <dxf>
      <fill>
        <patternFill>
          <bgColor theme="9" tint="0.39994506668294322"/>
        </patternFill>
      </fill>
    </dxf>
    <dxf>
      <font>
        <color theme="1"/>
      </font>
      <fill>
        <patternFill>
          <bgColor rgb="FFDDEBF7"/>
        </patternFill>
      </fill>
    </dxf>
    <dxf>
      <font>
        <strike/>
        <color rgb="FFFF0000"/>
      </font>
    </dxf>
    <dxf>
      <font>
        <color rgb="FFD6DCE4"/>
      </font>
      <fill>
        <patternFill patternType="solid">
          <bgColor rgb="FFD6DCE4"/>
        </patternFill>
      </fill>
    </dxf>
    <dxf>
      <font>
        <strike val="0"/>
        <color rgb="FFFF0000"/>
      </font>
    </dxf>
    <dxf>
      <font>
        <strike val="0"/>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fill>
        <patternFill>
          <bgColor rgb="FFFFFF00"/>
        </patternFill>
      </fill>
      <border>
        <left style="thin">
          <color rgb="FFFF0000"/>
        </left>
        <right style="thin">
          <color rgb="FFFF0000"/>
        </right>
        <top style="thin">
          <color rgb="FFFF0000"/>
        </top>
        <bottom style="thin">
          <color rgb="FFFF0000"/>
        </bottom>
      </border>
    </dxf>
    <dxf>
      <font>
        <strike/>
        <color rgb="FFFF0000"/>
      </font>
    </dxf>
    <dxf>
      <font>
        <strike/>
        <color rgb="FFFF0000"/>
      </font>
    </dxf>
    <dxf>
      <font>
        <strike/>
        <color rgb="FFFF0000"/>
      </font>
    </dxf>
    <dxf>
      <font>
        <strike/>
        <color rgb="FFFF0000"/>
      </font>
    </dxf>
    <dxf>
      <font>
        <strike/>
        <color rgb="FFFF0000"/>
      </font>
    </dxf>
    <dxf>
      <font>
        <strike/>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strike/>
        <color rgb="FFFF0000"/>
      </font>
    </dxf>
    <dxf>
      <font>
        <strike/>
        <color rgb="FFFF0000"/>
      </font>
    </dxf>
    <dxf>
      <font>
        <strike/>
        <color rgb="FFFF0000"/>
      </font>
    </dxf>
    <dxf>
      <font>
        <strike/>
        <color rgb="FFFF0000"/>
      </font>
    </dxf>
    <dxf>
      <font>
        <strike/>
        <color rgb="FFFF0000"/>
      </font>
    </dxf>
  </dxfs>
  <tableStyles count="0" defaultTableStyle="TableStyleMedium2" defaultPivotStyle="PivotStyleLight16"/>
  <colors>
    <mruColors>
      <color rgb="FFFFC0C0"/>
      <color rgb="FFFFB9B9"/>
      <color rgb="FFF0EEE4"/>
      <color rgb="FFDDD9C4"/>
      <color rgb="FF0075BF"/>
      <color rgb="FFF15C30"/>
      <color rgb="FFF8B16E"/>
      <color rgb="FFD6DCE4"/>
      <color rgb="FFDDEBF7"/>
      <color rgb="FFF15C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9" Type="http://schemas.openxmlformats.org/officeDocument/2006/relationships/customXml" Target="../customXml/item24.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38" Type="http://schemas.openxmlformats.org/officeDocument/2006/relationships/customXml" Target="../customXml/item23.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37" Type="http://schemas.openxmlformats.org/officeDocument/2006/relationships/customXml" Target="../customXml/item22.xml"/><Relationship Id="rId40"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36" Type="http://schemas.openxmlformats.org/officeDocument/2006/relationships/customXml" Target="../customXml/item21.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105528</xdr:colOff>
      <xdr:row>1</xdr:row>
      <xdr:rowOff>155934</xdr:rowOff>
    </xdr:from>
    <xdr:to>
      <xdr:col>8</xdr:col>
      <xdr:colOff>77326</xdr:colOff>
      <xdr:row>3</xdr:row>
      <xdr:rowOff>32744</xdr:rowOff>
    </xdr:to>
    <xdr:pic macro="[0]!BrowseToTAG">
      <xdr:nvPicPr>
        <xdr:cNvPr id="7" name="picDolLogo_goals" descr="Seal logo for U.S. Department of Labor.  Left-click opens Technical Assistance Guide (TAG) in browser. " title="DOL Logo / TAG Link"/>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5603" y="346434"/>
          <a:ext cx="1057646" cy="1051560"/>
        </a:xfrm>
        <a:prstGeom prst="rect">
          <a:avLst/>
        </a:prstGeom>
        <a:effectLst>
          <a:outerShdw blurRad="50800" dist="38100" dir="2700000" algn="tl" rotWithShape="0">
            <a:prstClr val="black">
              <a:alpha val="40000"/>
            </a:prstClr>
          </a:outerShdw>
        </a:effectLst>
      </xdr:spPr>
    </xdr:pic>
    <xdr:clientData/>
  </xdr:twoCellAnchor>
  <xdr:twoCellAnchor editAs="oneCell">
    <xdr:from>
      <xdr:col>85</xdr:col>
      <xdr:colOff>141611</xdr:colOff>
      <xdr:row>1</xdr:row>
      <xdr:rowOff>243425</xdr:rowOff>
    </xdr:from>
    <xdr:to>
      <xdr:col>89</xdr:col>
      <xdr:colOff>153464</xdr:colOff>
      <xdr:row>2</xdr:row>
      <xdr:rowOff>246481</xdr:rowOff>
    </xdr:to>
    <xdr:sp macro="[0]!BrowseToTAG" textlink="">
      <xdr:nvSpPr>
        <xdr:cNvPr id="12" name="shpVersion" descr="Left-click to open Technical Assistance Guide (TAG) in browser." title="Military Patch Logo / TAG Link"/>
        <xdr:cNvSpPr>
          <a:spLocks noChangeAspect="1"/>
        </xdr:cNvSpPr>
      </xdr:nvSpPr>
      <xdr:spPr>
        <a:xfrm rot="5400000">
          <a:off x="15772301" y="455985"/>
          <a:ext cx="860306" cy="731520"/>
        </a:xfrm>
        <a:prstGeom prst="homePlate">
          <a:avLst/>
        </a:prstGeom>
        <a:solidFill>
          <a:srgbClr val="F8B16E"/>
        </a:solidFill>
        <a:ln w="57150">
          <a:solidFill>
            <a:srgbClr val="F15C3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n-US" sz="1200" b="1">
              <a:solidFill>
                <a:schemeClr val="tx1"/>
              </a:solidFill>
            </a:rPr>
            <a:t>PY 20 </a:t>
          </a:r>
          <a:br>
            <a:rPr lang="en-US" sz="1200" b="1">
              <a:solidFill>
                <a:schemeClr val="tx1"/>
              </a:solidFill>
            </a:rPr>
          </a:br>
          <a:r>
            <a:rPr lang="en-US" sz="1200" b="1">
              <a:solidFill>
                <a:schemeClr val="tx1"/>
              </a:solidFill>
            </a:rPr>
            <a:t>v 1.0</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116415</xdr:colOff>
      <xdr:row>1</xdr:row>
      <xdr:rowOff>108309</xdr:rowOff>
    </xdr:from>
    <xdr:to>
      <xdr:col>8</xdr:col>
      <xdr:colOff>131232</xdr:colOff>
      <xdr:row>1</xdr:row>
      <xdr:rowOff>1022709</xdr:rowOff>
    </xdr:to>
    <xdr:pic macro="[0]!BrowseToTAG">
      <xdr:nvPicPr>
        <xdr:cNvPr id="2" name="picDolLogo_tpr" descr="Seal logo for U.S. Department of Labor.  Left-click opens Technical Assistance Guide (TAG) in browser. " title="DOL Logo / TAG Link"/>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515" y="298809"/>
          <a:ext cx="919692" cy="914400"/>
        </a:xfrm>
        <a:prstGeom prst="rect">
          <a:avLst/>
        </a:prstGeom>
        <a:effectLst>
          <a:outerShdw blurRad="50800" dist="38100" dir="2700000" algn="tl" rotWithShape="0">
            <a:prstClr val="black">
              <a:alpha val="40000"/>
            </a:prstClr>
          </a:outerShdw>
        </a:effectLst>
      </xdr:spPr>
    </xdr:pic>
    <xdr:clientData/>
  </xdr:twoCellAnchor>
  <xdr:twoCellAnchor editAs="oneCell">
    <xdr:from>
      <xdr:col>87</xdr:col>
      <xdr:colOff>101816</xdr:colOff>
      <xdr:row>1</xdr:row>
      <xdr:rowOff>209549</xdr:rowOff>
    </xdr:from>
    <xdr:to>
      <xdr:col>91</xdr:col>
      <xdr:colOff>17996</xdr:colOff>
      <xdr:row>1</xdr:row>
      <xdr:rowOff>962317</xdr:rowOff>
    </xdr:to>
    <xdr:sp macro="[0]!BrowseToTAG" textlink="">
      <xdr:nvSpPr>
        <xdr:cNvPr id="7" name="shpVersion" descr="Left-click to open Technical Assistance Guide (TAG) in browser." title="Military Patch Logo / TAG Link"/>
        <xdr:cNvSpPr>
          <a:spLocks noChangeAspect="1"/>
        </xdr:cNvSpPr>
      </xdr:nvSpPr>
      <xdr:spPr>
        <a:xfrm rot="5400000">
          <a:off x="15342622" y="456393"/>
          <a:ext cx="752768" cy="640080"/>
        </a:xfrm>
        <a:prstGeom prst="homePlate">
          <a:avLst/>
        </a:prstGeom>
        <a:solidFill>
          <a:srgbClr val="F8B16E"/>
        </a:solidFill>
        <a:ln w="57150">
          <a:solidFill>
            <a:srgbClr val="F15C3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n-US" sz="1200" b="1">
              <a:solidFill>
                <a:schemeClr val="tx1"/>
              </a:solidFill>
            </a:rPr>
            <a:t>PY 20 </a:t>
          </a:r>
          <a:br>
            <a:rPr lang="en-US" sz="1200" b="1">
              <a:solidFill>
                <a:schemeClr val="tx1"/>
              </a:solidFill>
            </a:rPr>
          </a:br>
          <a:r>
            <a:rPr lang="en-US" sz="1200" b="1">
              <a:solidFill>
                <a:schemeClr val="tx1"/>
              </a:solidFill>
            </a:rPr>
            <a:t>v 1.0</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314325</xdr:colOff>
      <xdr:row>0</xdr:row>
      <xdr:rowOff>104776</xdr:rowOff>
    </xdr:from>
    <xdr:to>
      <xdr:col>0</xdr:col>
      <xdr:colOff>1065742</xdr:colOff>
      <xdr:row>2</xdr:row>
      <xdr:rowOff>264582</xdr:rowOff>
    </xdr:to>
    <xdr:sp macro="[0]!BrowseToTAG" textlink="">
      <xdr:nvSpPr>
        <xdr:cNvPr id="4" name="Pentagon 3" descr="Left-click to open Technical Assistance Guide (TAG) in browser." title="Military Patch Logo / TAG Link"/>
        <xdr:cNvSpPr>
          <a:spLocks noChangeAspect="1"/>
        </xdr:cNvSpPr>
      </xdr:nvSpPr>
      <xdr:spPr>
        <a:xfrm rot="5400000">
          <a:off x="248181" y="170920"/>
          <a:ext cx="883706" cy="751417"/>
        </a:xfrm>
        <a:prstGeom prst="homePlate">
          <a:avLst/>
        </a:prstGeom>
        <a:solidFill>
          <a:srgbClr val="F8B16E"/>
        </a:solidFill>
        <a:ln w="57150">
          <a:solidFill>
            <a:srgbClr val="F15C3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n-US" sz="1100" b="1">
              <a:solidFill>
                <a:schemeClr val="tx1"/>
              </a:solidFill>
            </a:rPr>
            <a:t>PY 20 </a:t>
          </a:r>
          <a:br>
            <a:rPr lang="en-US" sz="1100" b="1">
              <a:solidFill>
                <a:schemeClr val="tx1"/>
              </a:solidFill>
            </a:rPr>
          </a:br>
          <a:r>
            <a:rPr lang="en-US" sz="1100" b="1">
              <a:solidFill>
                <a:schemeClr val="tx1"/>
              </a:solidFill>
            </a:rPr>
            <a:t>v 1.0</a:t>
          </a:r>
        </a:p>
      </xdr:txBody>
    </xdr:sp>
    <xdr:clientData/>
  </xdr:twoCellAnchor>
</xdr:wsDr>
</file>

<file path=xl/tables/table1.xml><?xml version="1.0" encoding="utf-8"?>
<table xmlns="http://schemas.openxmlformats.org/spreadsheetml/2006/main" id="1" name="tblParticipants" displayName="tblParticipants" ref="A4:CE505" totalsRowCount="1" headerRowDxfId="199" dataDxfId="198">
  <autoFilter ref="A4:CE504"/>
  <tableColumns count="83">
    <tableColumn id="1" name="ParticipantID" totalsRowFunction="count" dataDxfId="197" totalsRowDxfId="196"/>
    <tableColumn id="2" name="ParticipantName" totalsRowFunction="count" dataDxfId="195" totalsRowDxfId="194"/>
    <tableColumn id="4" name="SvcStartDate" totalsRowFunction="count" dataDxfId="193" totalsRowDxfId="192"/>
    <tableColumn id="6" name="AjcDate" totalsRowFunction="count" dataDxfId="191" totalsRowDxfId="190"/>
    <tableColumn id="8" name="CoEnrAjc" totalsRowFunction="count" dataDxfId="189" totalsRowDxfId="188"/>
    <tableColumn id="41" name="CoEnrGpd" totalsRowFunction="count" dataDxfId="187" totalsRowDxfId="186"/>
    <tableColumn id="70" name="CoEnrVash" totalsRowFunction="count" dataDxfId="185" totalsRowDxfId="184"/>
    <tableColumn id="74" name="CoEnrSsvf" totalsRowFunction="count" dataDxfId="183" totalsRowDxfId="182"/>
    <tableColumn id="77" name="CoEnrSsvfSs" totalsRowFunction="count" dataDxfId="181" totalsRowDxfId="180"/>
    <tableColumn id="81" name="CoEnrFema" totalsRowFunction="count" dataDxfId="179" totalsRowDxfId="178"/>
    <tableColumn id="82" name="CoEnrNahasda" totalsRowFunction="count" dataDxfId="177" totalsRowDxfId="176"/>
    <tableColumn id="83" name="CoEnrHprp" totalsRowFunction="count" dataDxfId="175" totalsRowDxfId="174"/>
    <tableColumn id="7" name="SvcEndDate" totalsRowFunction="count" dataDxfId="173" totalsRowDxfId="172"/>
    <tableColumn id="42" name="PlacedInEmp" totalsRowFunction="countNums" dataDxfId="171" totalsRowDxfId="170"/>
    <tableColumn id="9" name="HrlyWgPlmt" totalsRowFunction="count" dataDxfId="169" totalsRowDxfId="168"/>
    <tableColumn id="10" name="Gender" totalsRowFunction="count" dataDxfId="167" totalsRowDxfId="166"/>
    <tableColumn id="11" name="Ethnicity" totalsRowFunction="count" dataDxfId="165" totalsRowDxfId="164"/>
    <tableColumn id="12" name="AmIndOrAkNtv" totalsRowFunction="count" dataDxfId="163" totalsRowDxfId="162"/>
    <tableColumn id="13" name="Asian" totalsRowFunction="count" dataDxfId="161" totalsRowDxfId="160"/>
    <tableColumn id="14" name="BlkOrAfAmer" totalsRowFunction="count" dataDxfId="159" totalsRowDxfId="158"/>
    <tableColumn id="15" name="NtvHawOrPacIsl" totalsRowFunction="count" dataDxfId="157" totalsRowDxfId="156"/>
    <tableColumn id="16" name="White" totalsRowFunction="count" dataDxfId="155" totalsRowDxfId="154"/>
    <tableColumn id="18" name="Age" totalsRowFunction="count" dataDxfId="153" totalsRowDxfId="152"/>
    <tableColumn id="19" name="MilSvcEntryDate" totalsRowFunction="count" dataDxfId="151" totalsRowDxfId="150"/>
    <tableColumn id="20" name="MilSvcDischargeDate" totalsRowFunction="count" dataDxfId="149" totalsRowDxfId="148"/>
    <tableColumn id="29" name="LastMilSvcBranch" totalsRowFunction="count" dataDxfId="147" totalsRowDxfId="146"/>
    <tableColumn id="52" name="HighestEdLvl" totalsRowFunction="count" dataDxfId="145" totalsRowDxfId="144"/>
    <tableColumn id="21" name="AtRisk" totalsRowFunction="count" dataDxfId="143" totalsRowDxfId="142"/>
    <tableColumn id="43" name="Homeless" totalsRowFunction="count" dataDxfId="141" totalsRowDxfId="140"/>
    <tableColumn id="50" name="EpisHomeless" totalsRowFunction="count" dataDxfId="139" totalsRowDxfId="138"/>
    <tableColumn id="48" name="HlessWfam" totalsRowFunction="count" dataDxfId="137" totalsRowDxfId="136"/>
    <tableColumn id="24" name="IvtpElig" totalsRowFunction="count" dataDxfId="135" totalsRowDxfId="134"/>
    <tableColumn id="25" name="Disabled" totalsRowFunction="count" dataDxfId="133" totalsRowDxfId="132"/>
    <tableColumn id="26" name="SpcDisabled" totalsRowFunction="count" dataDxfId="131" totalsRowDxfId="130"/>
    <tableColumn id="53" name="DtFirstOjt" totalsRowFunction="count" dataDxfId="129" totalsRowDxfId="128"/>
    <tableColumn id="46" name="DtLastOjt" totalsRowFunction="count" dataDxfId="127" totalsRowDxfId="126"/>
    <tableColumn id="47" name="OjtType" totalsRowFunction="count" dataDxfId="125" totalsRowDxfId="124"/>
    <tableColumn id="54" name="DtFirstCareerTechTrn" totalsRowFunction="count" dataDxfId="123" totalsRowDxfId="122"/>
    <tableColumn id="33" name="DtLastCareerTechTrn" totalsRowFunction="count" dataDxfId="121" totalsRowDxfId="120"/>
    <tableColumn id="55" name="DtFirstEntrepTrn" totalsRowFunction="count" dataDxfId="119" totalsRowDxfId="118"/>
    <tableColumn id="31" name="DtLastEntrepTrn" totalsRowFunction="count" dataDxfId="117" totalsRowDxfId="116"/>
    <tableColumn id="56" name="DtFirstOtherTrn" totalsRowFunction="count" dataDxfId="115" totalsRowDxfId="114"/>
    <tableColumn id="23" name="DtLastOtherTrn" totalsRowFunction="count" dataDxfId="113" totalsRowDxfId="112"/>
    <tableColumn id="80" name="DtFirstCustomTrn" totalsRowFunction="count" dataDxfId="111" totalsRowDxfId="110"/>
    <tableColumn id="76" name="DtLastCustomTrn" totalsRowFunction="count" dataDxfId="109" totalsRowDxfId="108"/>
    <tableColumn id="30" name="DtLastPlcHous" totalsRowFunction="count" dataDxfId="107" totalsRowDxfId="106"/>
    <tableColumn id="37" name="QtrLastEmpAdjSvc" totalsRowFunction="count" dataDxfId="105" totalsRowDxfId="104"/>
    <tableColumn id="40" name="QtrLastJobSrchAsst" totalsRowFunction="count" dataDxfId="103" totalsRowDxfId="102"/>
    <tableColumn id="3" name="QtrLastJobReadTrn" totalsRowFunction="count" dataDxfId="101" totalsRowDxfId="100"/>
    <tableColumn id="34" name="QtrLastTransitJob" totalsRowFunction="count" dataDxfId="99" totalsRowDxfId="98"/>
    <tableColumn id="78" name="QtrLastTransport" totalsRowFunction="count" dataDxfId="97" totalsRowDxfId="96"/>
    <tableColumn id="75" name="QtrLastChildCare" totalsRowFunction="count" dataDxfId="95" totalsRowDxfId="94"/>
    <tableColumn id="73" name="QtrLastEducFees" totalsRowFunction="count" dataDxfId="93" totalsRowDxfId="92"/>
    <tableColumn id="72" name="QtrLastAccomDisab" totalsRowFunction="count" dataDxfId="91" totalsRowDxfId="90"/>
    <tableColumn id="35" name="QtrLastHealthCare" totalsRowFunction="count" dataDxfId="89" totalsRowDxfId="88"/>
    <tableColumn id="71" name="QtrLastWorkAttireTools" totalsRowFunction="count" dataDxfId="87" totalsRowDxfId="86"/>
    <tableColumn id="28" name="QtrLastLegAid" totalsRowFunction="count" dataDxfId="85" totalsRowDxfId="84"/>
    <tableColumn id="36" name="QtrLastDrugAlcCouns" totalsRowFunction="count" dataDxfId="83" totalsRowDxfId="82"/>
    <tableColumn id="39" name="QtrLastTempShelt" totalsRowFunction="count" dataDxfId="81" totalsRowDxfId="80"/>
    <tableColumn id="44" name="QtrLastFinCouns" totalsRowFunction="count" dataDxfId="79" totalsRowDxfId="78"/>
    <tableColumn id="79" name="QtrLastOthSupSvc" totalsRowFunction="count" dataDxfId="77" totalsRowDxfId="76"/>
    <tableColumn id="49" name="EarnWg1Qae" totalsRowFunction="sum" dataDxfId="75" totalsRowDxfId="74"/>
    <tableColumn id="57" name="EarnWg2Qae" totalsRowFunction="sum" dataDxfId="73" totalsRowDxfId="72"/>
    <tableColumn id="58" name="HoursPerWk2Qae" totalsRowFunction="sum" dataDxfId="71" totalsRowDxfId="70"/>
    <tableColumn id="59" name="HrlyWg2Qae" totalsRowFunction="custom" dataDxfId="69" totalsRowDxfId="68">
      <totalsRowFormula>IFERROR(SUBTOTAL(101,tblParticipants[HrlyWg2Qae]),0)</totalsRowFormula>
    </tableColumn>
    <tableColumn id="61" name="EarnWg3Qae" totalsRowFunction="sum" dataDxfId="67" totalsRowDxfId="66"/>
    <tableColumn id="62" name="HoursPerWk3Qae" totalsRowFunction="sum" dataDxfId="65" totalsRowDxfId="64"/>
    <tableColumn id="63" name="HrlyWg3Qae" totalsRowFunction="custom" dataDxfId="63" totalsRowDxfId="62">
      <totalsRowFormula>IFERROR(SUBTOTAL(101,tblParticipants[HrlyWg3Qae]),0)</totalsRowFormula>
    </tableColumn>
    <tableColumn id="67" name="EarnWg4Qae" totalsRowFunction="sum" dataDxfId="61" totalsRowDxfId="60"/>
    <tableColumn id="68" name="HoursPerWk4Qae" totalsRowFunction="sum" dataDxfId="59" totalsRowDxfId="58"/>
    <tableColumn id="69" name="HrlyWg4Qae" totalsRowFunction="custom" dataDxfId="57" totalsRowDxfId="56">
      <totalsRowFormula>IFERROR(SUBTOTAL(101,tblParticipants[HrlyWg4Qae]),0)</totalsRowFormula>
    </tableColumn>
    <tableColumn id="5" name="EnrollQtr" totalsRowFunction="countNums" dataDxfId="55" totalsRowDxfId="54">
      <calculatedColumnFormula>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calculatedColumnFormula>
    </tableColumn>
    <tableColumn id="38" name="CarryOver" totalsRowFunction="countNums" dataDxfId="53" totalsRowDxfId="52">
      <calculatedColumnFormula>IF(ISNUMBER(tblParticipants[[#This Row],[SvcStartDate]]),IF(AND(tblParticipants[[#This Row],[EnrollQtr]]=1,tblParticipants[[#This Row],[SvcStartDate]]&lt;DATE(conProgYear,7,1)),1,""),"")</calculatedColumnFormula>
    </tableColumn>
    <tableColumn id="45" name="ExitQtr" totalsRowFunction="countNums" dataDxfId="51" totalsRowDxfId="50">
      <calculatedColumnFormula>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calculatedColumnFormula>
    </tableColumn>
    <tableColumn id="22" name="EmployQtr" totalsRowFunction="countNums" dataDxfId="49" totalsRowDxfId="48">
      <calculatedColumnFormula>IF(NOT(ISBLANK(INDIRECT("tblParticipants[@PlacedInEmp]"))),IF(INDIRECT("tblParticipants[@PlacedInEmp]")=1,IF(NOT(ISBLANK(INDIRECT("tblParticipants[@SvcEndDate]"))),IF(ISNUMBER(INDIRECT("tblParticipants[@SvcEndDate]")),IF(AND(INDIRECT("tblParticipants[@SvcEndDate]")&gt;=DATE(conProgYear,7,1),INDIRECT("tblParticipants[@SvcEndDate]")&lt;=DATE(conProgYear+1,6,30)),INDIRECT("tblParticipants[@ExitQtr]"),"ERR"),"ERR"),"ERR"),""),"")</calculatedColumnFormula>
    </tableColumn>
    <tableColumn id="17" name="Multiracial" totalsRowFunction="sum" dataDxfId="47" totalsRowDxfId="46">
      <calculatedColumnFormula>IF(SUM(IF(tblParticipants[[#This Row],[AmIndOrAkNtv]]=1,1,0),IF(tblParticipants[[#This Row],[Asian]]=1,1,0),IF(tblParticipants[[#This Row],[BlkOrAfAmer]]=1,1,0),IF(tblParticipants[[#This Row],[NtvHawOrPacIsl]]=1,1,0),IF(tblParticipants[[#This Row],[White]]=1,1,0))&gt;1,1,0)</calculatedColumnFormula>
    </tableColumn>
    <tableColumn id="27" name="LastMilSvc" totalsRowFunction="countNums" dataDxfId="45" totalsRowDxfId="44">
      <calculatedColumnFormula>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calculatedColumnFormula>
    </tableColumn>
    <tableColumn id="51" name="DtFirstTrain" totalsRowFunction="countNums" dataDxfId="43" totalsRowDxfId="42">
      <calculatedColumnFormula>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calculatedColumnFormula>
    </tableColumn>
    <tableColumn id="32" name="DtLastTrain" totalsRowFunction="countNums" dataDxfId="41" totalsRowDxfId="40">
      <calculatedColumnFormula>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calculatedColumnFormula>
    </tableColumn>
    <tableColumn id="60" name="Earnings2Qae" totalsRowFunction="sum" dataDxfId="39" totalsRowDxfId="38">
      <calculatedColumnFormula>IF(tblParticipants[[#This Row],[EarnWg2Qae]]=1,IFERROR(tblParticipants[[#This Row],[HoursPerWk2Qae]]*tblParticipants[[#This Row],[HrlyWg2Qae]]*13,0),0)</calculatedColumnFormula>
    </tableColumn>
    <tableColumn id="64" name="Earnings3Qae" totalsRowFunction="sum" dataDxfId="37" totalsRowDxfId="36">
      <calculatedColumnFormula>IF(tblParticipants[[#This Row],[EarnWg3Qae]]=1,IFERROR(tblParticipants[[#This Row],[HoursPerWk3Qae]]*tblParticipants[[#This Row],[HrlyWg3Qae]]*13,0),0)</calculatedColumnFormula>
    </tableColumn>
    <tableColumn id="65" name="EmplAll3Qae" totalsRowFunction="sum" dataDxfId="35" totalsRowDxfId="34">
      <calculatedColumnFormula>IFERROR(IF(SUM(tblParticipants[[#This Row],[EarnWg1Qae]],tblParticipants[[#This Row],[EarnWg2Qae]],tblParticipants[[#This Row],[EarnWg3Qae]])=3,1,0),0)</calculatedColumnFormula>
    </tableColumn>
    <tableColumn id="66" name="Earnings2and3Qae" totalsRowFunction="sum" dataDxfId="33" totalsRowDxfId="32">
      <calculatedColumnFormula>IF(tblParticipants[[#This Row],[EmplAll3Qae]]=1,tblParticipants[[#This Row],[Earnings2Qae]]+tblParticipants[[#This Row],[Earnings3Qae]],0)</calculatedColumnFormula>
    </tableColumn>
  </tableColumns>
  <tableStyleInfo name="TableStyleMedium2" showFirstColumn="0" showLastColumn="0" showRowStripes="1" showColumnStripes="0"/>
  <extLst>
    <ext xmlns:x14="http://schemas.microsoft.com/office/spreadsheetml/2009/9/main" uri="{504A1905-F514-4f6f-8877-14C23A59335A}">
      <x14:table altText="Participants Table" altTextSummary="Enter a participant record on each row.  Use the filter buttons available in each column header to limit the view to the data you select in the submenu that appears.  Clear filters for a column by clicking the column filter button and ticking &quot;Select all&quot; in the submenu.  To clear all filters for the entire table, double-left-click the &quot;Clear Column Filters&quot; button in cell B1."/>
    </ext>
  </extLst>
</table>
</file>

<file path=xl/tables/table10.xml><?xml version="1.0" encoding="utf-8"?>
<table xmlns="http://schemas.openxmlformats.org/spreadsheetml/2006/main" id="3" name="tblReportPd" displayName="tblReportPd" ref="AO1:AP9" totalsRowShown="0">
  <autoFilter ref="AO1:AP9"/>
  <tableColumns count="2">
    <tableColumn id="1" name="Qtr" dataDxfId="14"/>
    <tableColumn id="2" name="Display"/>
  </tableColumns>
  <tableStyleInfo name="TableStyleMedium2" showFirstColumn="0" showLastColumn="0" showRowStripes="1" showColumnStripes="0"/>
</table>
</file>

<file path=xl/tables/table11.xml><?xml version="1.0" encoding="utf-8"?>
<table xmlns="http://schemas.openxmlformats.org/spreadsheetml/2006/main" id="11" name="tblAdj" displayName="tblAdj" ref="AR1:AW39" totalsRowShown="0">
  <autoFilter ref="AR1:AW39"/>
  <tableColumns count="6">
    <tableColumn id="1" name="height"/>
    <tableColumn id="2" name="width" dataDxfId="13">
      <calculatedColumnFormula>tblAdj[height]*tblAdj[aspect]</calculatedColumnFormula>
    </tableColumn>
    <tableColumn id="3" name="aspect"/>
    <tableColumn id="4" name="sqr_pts" dataDxfId="12">
      <calculatedColumnFormula>tblAdj[[#This Row],[height]]*tblAdj[[#This Row],[width]]</calculatedColumnFormula>
    </tableColumn>
    <tableColumn id="5" name="chars" dataDxfId="11">
      <calculatedColumnFormula>tblAdj[[#This Row],[sqr_pts]]/180</calculatedColumnFormula>
    </tableColumn>
    <tableColumn id="6" name="fact13" dataDxfId="10">
      <calculatedColumnFormula>IF(MOD(tblAdj[[#This Row],[height]],13)=0,1,0)</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id="12" name="tblOptionYears" displayName="tblOptionYears" ref="BD1:BE26" totalsRowShown="0" headerRowDxfId="9" dataDxfId="8">
  <autoFilter ref="BD1:BE26"/>
  <tableColumns count="2">
    <tableColumn id="1" name="ProgYear" dataDxfId="7"/>
    <tableColumn id="2" name="OptionYears" dataDxfId="6"/>
  </tableColumns>
  <tableStyleInfo name="TableStyleMedium2" showFirstColumn="0" showLastColumn="0" showRowStripes="1" showColumnStripes="0"/>
</table>
</file>

<file path=xl/tables/table13.xml><?xml version="1.0" encoding="utf-8"?>
<table xmlns="http://schemas.openxmlformats.org/spreadsheetml/2006/main" id="14" name="tblConflicts" displayName="tblConflicts" ref="BG1:BJ3" totalsRowShown="0" headerRowDxfId="5" dataDxfId="4">
  <autoFilter ref="BG1:BJ3"/>
  <tableColumns count="4">
    <tableColumn id="1" name="ConflictAbbr" dataDxfId="3"/>
    <tableColumn id="2" name="ConflictName" dataDxfId="2"/>
    <tableColumn id="3" name="StartDate" dataDxfId="1"/>
    <tableColumn id="4" name="EndDate" dataDxfId="0"/>
  </tableColumns>
  <tableStyleInfo name="TableStyleMedium2" showFirstColumn="0" showLastColumn="0" showRowStripes="1" showColumnStripes="0"/>
</table>
</file>

<file path=xl/tables/table14.xml><?xml version="1.0" encoding="utf-8"?>
<table xmlns="http://schemas.openxmlformats.org/spreadsheetml/2006/main" id="13" name="tblOjtTypes" displayName="tblOjtTypes" ref="BL1:BM3" totalsRowShown="0">
  <autoFilter ref="BL1:BM3"/>
  <tableColumns count="2">
    <tableColumn id="1" name="Value"/>
    <tableColumn id="2" name="Name"/>
  </tableColumns>
  <tableStyleInfo name="TableStyleMedium2" showFirstColumn="0" showLastColumn="0" showRowStripes="1" showColumnStripes="0"/>
</table>
</file>

<file path=xl/tables/table2.xml><?xml version="1.0" encoding="utf-8"?>
<table xmlns="http://schemas.openxmlformats.org/spreadsheetml/2006/main" id="4" name="tblFipsStateCountyCodes" displayName="tblFipsStateCountyCodes" ref="E1:H3239" totalsRowShown="0" dataDxfId="31">
  <autoFilter ref="E1:H3239"/>
  <sortState ref="E2:H3236">
    <sortCondition ref="F1:F3236"/>
  </sortState>
  <tableColumns count="4">
    <tableColumn id="2" name="StateID" dataDxfId="30"/>
    <tableColumn id="6" name="StateAbbr" dataDxfId="29"/>
    <tableColumn id="3" name="CountyID" dataDxfId="28"/>
    <tableColumn id="4" name="CountyName" dataDxfId="27"/>
  </tableColumns>
  <tableStyleInfo name="TableStyleMedium2" showFirstColumn="0" showLastColumn="0" showRowStripes="1" showColumnStripes="0"/>
</table>
</file>

<file path=xl/tables/table3.xml><?xml version="1.0" encoding="utf-8"?>
<table xmlns="http://schemas.openxmlformats.org/spreadsheetml/2006/main" id="5" name="tblFipsStateCodes" displayName="tblFipsStateCodes" ref="A1:C61" totalsRowShown="0" headerRowDxfId="26" dataDxfId="25">
  <autoFilter ref="A1:C61"/>
  <sortState ref="A2:C61">
    <sortCondition ref="B1:B61"/>
  </sortState>
  <tableColumns count="3">
    <tableColumn id="1" name="StateID" dataDxfId="24"/>
    <tableColumn id="2" name="StateAbbr" dataDxfId="23"/>
    <tableColumn id="3" name="StateName" dataDxfId="22"/>
  </tableColumns>
  <tableStyleInfo name="TableStyleMedium2" showFirstColumn="0" showLastColumn="0" showRowStripes="1" showColumnStripes="0"/>
</table>
</file>

<file path=xl/tables/table4.xml><?xml version="1.0" encoding="utf-8"?>
<table xmlns="http://schemas.openxmlformats.org/spreadsheetml/2006/main" id="7" name="tblMilitaryBranch" displayName="tblMilitaryBranch" ref="P1:P6" totalsRowShown="0">
  <autoFilter ref="P1:P6"/>
  <tableColumns count="1">
    <tableColumn id="1" name="Value"/>
  </tableColumns>
  <tableStyleInfo name="TableStyleMedium2" showFirstColumn="0" showLastColumn="0" showRowStripes="1" showColumnStripes="0"/>
</table>
</file>

<file path=xl/tables/table5.xml><?xml version="1.0" encoding="utf-8"?>
<table xmlns="http://schemas.openxmlformats.org/spreadsheetml/2006/main" id="8" name="tblGender" displayName="tblGender" ref="R1:T3" totalsRowShown="0">
  <autoFilter ref="R1:T3"/>
  <tableColumns count="3">
    <tableColumn id="2" name="Value"/>
    <tableColumn id="1" name="Name"/>
    <tableColumn id="3" name="Abbr"/>
  </tableColumns>
  <tableStyleInfo name="TableStyleMedium2" showFirstColumn="0" showLastColumn="0" showRowStripes="1" showColumnStripes="0"/>
</table>
</file>

<file path=xl/tables/table6.xml><?xml version="1.0" encoding="utf-8"?>
<table xmlns="http://schemas.openxmlformats.org/spreadsheetml/2006/main" id="9" name="tblEthnicity" displayName="tblEthnicity" ref="V1:X3" totalsRowShown="0">
  <autoFilter ref="V1:X3"/>
  <tableColumns count="3">
    <tableColumn id="1" name="Name"/>
    <tableColumn id="2" name="Value"/>
    <tableColumn id="3" name="ValidationDisplay" dataDxfId="21">
      <calculatedColumnFormula>CONCATENATE(tblEthnicity[[#This Row],[Value]]," - ",tblEthnicity[[#This Row],[Name]])</calculatedColumnFormula>
    </tableColumn>
  </tableColumns>
  <tableStyleInfo name="TableStyleMedium2" showFirstColumn="0" showLastColumn="0" showRowStripes="1" showColumnStripes="0"/>
</table>
</file>

<file path=xl/tables/table7.xml><?xml version="1.0" encoding="utf-8"?>
<table xmlns="http://schemas.openxmlformats.org/spreadsheetml/2006/main" id="10" name="tblYesNo" displayName="tblYesNo" ref="Z1:AA3" totalsRowShown="0">
  <autoFilter ref="Z1:AA3"/>
  <tableColumns count="2">
    <tableColumn id="2" name="Value"/>
    <tableColumn id="1" name="Name"/>
  </tableColumns>
  <tableStyleInfo name="TableStyleMedium2" showFirstColumn="0" showLastColumn="0" showRowStripes="1" showColumnStripes="0"/>
</table>
</file>

<file path=xl/tables/table8.xml><?xml version="1.0" encoding="utf-8"?>
<table xmlns="http://schemas.openxmlformats.org/spreadsheetml/2006/main" id="6" name="tblEducLevel" displayName="tblEducLevel" ref="AD1:AE10" totalsRowShown="0">
  <autoFilter ref="AD1:AE10"/>
  <tableColumns count="2">
    <tableColumn id="2" name="Value"/>
    <tableColumn id="1" name="Name"/>
  </tableColumns>
  <tableStyleInfo name="TableStyleMedium2" showFirstColumn="0" showLastColumn="0" showRowStripes="1" showColumnStripes="0"/>
</table>
</file>

<file path=xl/tables/table9.xml><?xml version="1.0" encoding="utf-8"?>
<table xmlns="http://schemas.openxmlformats.org/spreadsheetml/2006/main" id="2" name="tblPyQtr" displayName="tblPyQtr" ref="AH1:AM9" totalsRowShown="0">
  <autoFilter ref="AH1:AM9"/>
  <tableColumns count="6">
    <tableColumn id="6" name="PY" dataDxfId="20"/>
    <tableColumn id="1" name="Qtr" dataDxfId="19"/>
    <tableColumn id="2" name="StartDate" dataDxfId="18">
      <calculatedColumnFormula>INT(DATE(2019,10,1))</calculatedColumnFormula>
    </tableColumn>
    <tableColumn id="4" name="StartDateNoTime" dataDxfId="17">
      <calculatedColumnFormula>INT(tblPyQtr[[#This Row],[StartDate]])</calculatedColumnFormula>
    </tableColumn>
    <tableColumn id="3" name="EndDate" dataDxfId="16">
      <calculatedColumnFormula>INT(DATE(2019,9,1))</calculatedColumnFormula>
    </tableColumn>
    <tableColumn id="5" name="EndDateNoTime" dataDxfId="15">
      <calculatedColumnFormula>INT(tblPyQtr[[#This Row],[EndDate]])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3" Type="http://schemas.openxmlformats.org/officeDocument/2006/relationships/vmlDrawing" Target="../drawings/vmlDrawing4.v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comments" Target="../comments4.xml"/><Relationship Id="rId2" Type="http://schemas.openxmlformats.org/officeDocument/2006/relationships/printerSettings" Target="../printerSettings/printerSettings8.bin"/><Relationship Id="rId16" Type="http://schemas.openxmlformats.org/officeDocument/2006/relationships/table" Target="../tables/table14.xml"/><Relationship Id="rId1" Type="http://schemas.openxmlformats.org/officeDocument/2006/relationships/hyperlink" Target="https://onedrive.live.com/view.aspx?cid=0F92FC2BD5F29BD2&amp;authKey=!AKrh49qnid-Lm-U&amp;resid=F92FC2BD5F29BD2!201&amp;ithint=.pdf&amp;open=true&amp;app=WordPdf" TargetMode="External"/><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5" Type="http://schemas.openxmlformats.org/officeDocument/2006/relationships/table" Target="../tables/table1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ksGoals">
    <pageSetUpPr fitToPage="1"/>
  </sheetPr>
  <dimension ref="A1:DI60"/>
  <sheetViews>
    <sheetView showGridLines="0" zoomScale="80" zoomScaleNormal="80" zoomScalePageLayoutView="90" workbookViewId="0">
      <selection activeCell="CB3" sqref="CB3"/>
    </sheetView>
  </sheetViews>
  <sheetFormatPr defaultRowHeight="14.4" x14ac:dyDescent="0.3"/>
  <cols>
    <col min="1" max="1" width="3.88671875" customWidth="1"/>
    <col min="2" max="2" width="3.5546875" customWidth="1"/>
    <col min="3" max="25" width="2.6640625" customWidth="1"/>
    <col min="26" max="26" width="6.109375" customWidth="1"/>
    <col min="27" max="27" width="12" customWidth="1"/>
    <col min="28" max="34" width="2.6640625" customWidth="1"/>
    <col min="35" max="35" width="1.44140625" customWidth="1"/>
    <col min="36" max="42" width="2.6640625" customWidth="1"/>
    <col min="43" max="43" width="1.44140625" customWidth="1"/>
    <col min="44" max="50" width="2.6640625" customWidth="1"/>
    <col min="51" max="51" width="1.44140625" customWidth="1"/>
    <col min="52" max="58" width="2.6640625" customWidth="1"/>
    <col min="59" max="59" width="1.44140625" customWidth="1"/>
    <col min="60" max="66" width="2.6640625" customWidth="1"/>
    <col min="67" max="67" width="1.44140625" customWidth="1"/>
    <col min="68" max="74" width="2.6640625" customWidth="1"/>
    <col min="75" max="75" width="1.44140625" customWidth="1"/>
    <col min="76" max="82" width="2.6640625" customWidth="1"/>
    <col min="83" max="83" width="1.44140625" customWidth="1"/>
    <col min="84" max="90" width="2.6640625" customWidth="1"/>
    <col min="91" max="91" width="1.44140625" customWidth="1"/>
    <col min="92" max="100" width="2.6640625" customWidth="1"/>
    <col min="104" max="104" width="30.44140625" customWidth="1"/>
    <col min="105" max="105" width="20.88671875" customWidth="1"/>
    <col min="106" max="106" width="19.5546875" customWidth="1"/>
    <col min="107" max="107" width="18.5546875" customWidth="1"/>
    <col min="108" max="108" width="19.6640625" customWidth="1"/>
    <col min="109" max="109" width="18.109375" customWidth="1"/>
    <col min="110" max="110" width="21" customWidth="1"/>
    <col min="111" max="111" width="21.44140625" customWidth="1"/>
    <col min="112" max="112" width="23.44140625" customWidth="1"/>
    <col min="113" max="113" width="25.5546875" customWidth="1"/>
  </cols>
  <sheetData>
    <row r="1" spans="1:105" ht="12" customHeight="1" x14ac:dyDescent="0.3">
      <c r="A1" s="28">
        <v>1</v>
      </c>
      <c r="B1" s="28">
        <v>1</v>
      </c>
      <c r="C1" s="28">
        <v>1</v>
      </c>
      <c r="D1" s="28">
        <v>1</v>
      </c>
      <c r="E1" s="28">
        <v>1</v>
      </c>
      <c r="F1" s="28">
        <v>1</v>
      </c>
      <c r="G1" s="28">
        <v>1</v>
      </c>
      <c r="H1" s="28">
        <v>1</v>
      </c>
      <c r="I1" s="28">
        <v>1</v>
      </c>
      <c r="J1" s="28">
        <v>1</v>
      </c>
      <c r="K1" s="28">
        <v>1</v>
      </c>
      <c r="L1" s="28">
        <v>1</v>
      </c>
      <c r="M1" s="28">
        <v>1</v>
      </c>
      <c r="N1" s="28">
        <v>1</v>
      </c>
      <c r="O1" s="28">
        <v>1</v>
      </c>
      <c r="P1" s="28">
        <v>1</v>
      </c>
      <c r="Q1" s="28">
        <v>1</v>
      </c>
      <c r="R1" s="28">
        <v>1</v>
      </c>
      <c r="S1" s="28">
        <v>1</v>
      </c>
      <c r="T1" s="28">
        <v>1</v>
      </c>
      <c r="U1" s="28">
        <v>1</v>
      </c>
      <c r="V1" s="28">
        <v>1</v>
      </c>
      <c r="W1" s="28">
        <v>1</v>
      </c>
      <c r="X1" s="28">
        <v>1</v>
      </c>
      <c r="Y1" s="28">
        <v>1</v>
      </c>
      <c r="Z1" s="28">
        <v>1</v>
      </c>
      <c r="AA1" s="28">
        <v>1</v>
      </c>
      <c r="AB1" s="28">
        <v>1</v>
      </c>
      <c r="AC1" s="28">
        <v>1</v>
      </c>
      <c r="AD1" s="28">
        <v>1</v>
      </c>
      <c r="AE1" s="28">
        <v>1</v>
      </c>
      <c r="AF1" s="28">
        <v>1</v>
      </c>
      <c r="AG1" s="28">
        <v>1</v>
      </c>
      <c r="AH1" s="28">
        <v>1</v>
      </c>
      <c r="AI1" s="28">
        <v>1</v>
      </c>
      <c r="AJ1" s="28">
        <v>1</v>
      </c>
      <c r="AK1" s="28">
        <v>1</v>
      </c>
      <c r="AL1" s="28">
        <v>1</v>
      </c>
      <c r="AM1" s="28">
        <v>1</v>
      </c>
      <c r="AN1" s="28">
        <v>1</v>
      </c>
      <c r="AO1" s="28">
        <v>1</v>
      </c>
      <c r="AP1" s="28">
        <v>1</v>
      </c>
      <c r="AQ1" s="28">
        <v>1</v>
      </c>
      <c r="AR1" s="28">
        <v>1</v>
      </c>
      <c r="AS1" s="28">
        <v>1</v>
      </c>
      <c r="AT1" s="28">
        <v>1</v>
      </c>
      <c r="AU1" s="28">
        <v>1</v>
      </c>
      <c r="AV1" s="28">
        <v>1</v>
      </c>
      <c r="AW1" s="28">
        <v>1</v>
      </c>
      <c r="AX1" s="28">
        <v>1</v>
      </c>
      <c r="AY1" s="28">
        <v>1</v>
      </c>
      <c r="AZ1" s="28">
        <v>1</v>
      </c>
      <c r="BA1" s="28">
        <v>1</v>
      </c>
      <c r="BB1" s="28">
        <v>1</v>
      </c>
      <c r="BC1" s="28">
        <v>1</v>
      </c>
      <c r="BD1" s="28">
        <v>1</v>
      </c>
      <c r="BE1" s="28">
        <v>1</v>
      </c>
      <c r="BF1" s="28">
        <v>1</v>
      </c>
      <c r="BG1" s="28">
        <v>1</v>
      </c>
      <c r="BH1" s="28">
        <v>1</v>
      </c>
      <c r="BI1" s="28">
        <v>1</v>
      </c>
      <c r="BJ1" s="28">
        <v>1</v>
      </c>
      <c r="BK1" s="28">
        <v>1</v>
      </c>
      <c r="BL1" s="28">
        <v>1</v>
      </c>
      <c r="BM1" s="28">
        <v>1</v>
      </c>
      <c r="BN1" s="28">
        <v>1</v>
      </c>
      <c r="BO1" s="28">
        <v>1</v>
      </c>
      <c r="BP1" s="28">
        <v>1</v>
      </c>
      <c r="BQ1" s="28">
        <v>1</v>
      </c>
      <c r="BR1" s="28">
        <v>1</v>
      </c>
      <c r="BS1" s="28">
        <v>1</v>
      </c>
      <c r="BT1" s="28">
        <v>1</v>
      </c>
      <c r="BU1" s="28">
        <v>1</v>
      </c>
      <c r="BV1" s="28">
        <v>1</v>
      </c>
      <c r="BW1" s="28">
        <v>1</v>
      </c>
      <c r="BX1" s="28">
        <v>1</v>
      </c>
      <c r="BY1" s="28">
        <v>1</v>
      </c>
      <c r="BZ1" s="28">
        <v>1</v>
      </c>
      <c r="CA1" s="28">
        <v>1</v>
      </c>
      <c r="CB1" s="28">
        <v>1</v>
      </c>
      <c r="CC1" s="28">
        <v>1</v>
      </c>
      <c r="CD1" s="28">
        <v>1</v>
      </c>
      <c r="CE1" s="28">
        <v>1</v>
      </c>
      <c r="CF1" s="28">
        <v>1</v>
      </c>
      <c r="CG1" s="28">
        <v>1</v>
      </c>
      <c r="CH1" s="28">
        <v>1</v>
      </c>
      <c r="CI1" s="28">
        <v>1</v>
      </c>
      <c r="CJ1" s="28">
        <v>1</v>
      </c>
      <c r="CK1" s="28">
        <v>1</v>
      </c>
      <c r="CL1" s="28">
        <v>1</v>
      </c>
      <c r="CM1" s="28">
        <v>1</v>
      </c>
      <c r="CN1" s="28">
        <v>1</v>
      </c>
      <c r="CO1" s="28">
        <v>1</v>
      </c>
      <c r="CP1" s="28">
        <v>1</v>
      </c>
      <c r="CQ1" s="28">
        <v>1</v>
      </c>
      <c r="CR1" s="28">
        <v>1</v>
      </c>
      <c r="CS1" s="28">
        <v>1</v>
      </c>
      <c r="CT1" s="28">
        <v>1</v>
      </c>
      <c r="CU1" s="28">
        <v>1</v>
      </c>
      <c r="CV1" s="28">
        <v>1</v>
      </c>
    </row>
    <row r="2" spans="1:105" ht="67.5" customHeight="1" x14ac:dyDescent="0.3">
      <c r="A2" s="124"/>
      <c r="B2" s="111"/>
      <c r="C2" s="111"/>
      <c r="D2" s="111"/>
      <c r="E2" s="111"/>
      <c r="F2" s="111"/>
      <c r="G2" s="111"/>
      <c r="H2" s="111"/>
      <c r="I2" s="111"/>
      <c r="J2" s="111"/>
      <c r="K2" s="111"/>
      <c r="L2" s="111"/>
      <c r="M2" s="111"/>
      <c r="N2" s="111"/>
      <c r="O2" s="111"/>
      <c r="P2" s="111"/>
      <c r="Q2" s="111"/>
      <c r="R2" s="111"/>
      <c r="S2" s="111"/>
      <c r="T2" s="578" t="s">
        <v>2813</v>
      </c>
      <c r="U2" s="578"/>
      <c r="V2" s="578"/>
      <c r="W2" s="578"/>
      <c r="X2" s="578"/>
      <c r="Y2" s="578"/>
      <c r="Z2" s="578"/>
      <c r="AA2" s="578"/>
      <c r="AB2" s="578"/>
      <c r="AC2" s="578"/>
      <c r="AD2" s="578"/>
      <c r="AE2" s="578"/>
      <c r="AF2" s="578"/>
      <c r="AG2" s="578"/>
      <c r="AH2" s="578"/>
      <c r="AI2" s="578"/>
      <c r="AJ2" s="578"/>
      <c r="AK2" s="578"/>
      <c r="AL2" s="578"/>
      <c r="AM2" s="578"/>
      <c r="AN2" s="578"/>
      <c r="AO2" s="578"/>
      <c r="AP2" s="578"/>
      <c r="AQ2" s="578"/>
      <c r="AR2" s="578"/>
      <c r="AS2" s="578"/>
      <c r="AT2" s="578"/>
      <c r="AU2" s="578"/>
      <c r="AV2" s="578"/>
      <c r="AW2" s="578"/>
      <c r="AX2" s="578"/>
      <c r="AY2" s="578"/>
      <c r="AZ2" s="578"/>
      <c r="BA2" s="578"/>
      <c r="BB2" s="578"/>
      <c r="BC2" s="578"/>
      <c r="BD2" s="578"/>
      <c r="BE2" s="578"/>
      <c r="BF2" s="578"/>
      <c r="BG2" s="578"/>
      <c r="BH2" s="578"/>
      <c r="BI2" s="578"/>
      <c r="BJ2" s="578"/>
      <c r="BK2" s="578"/>
      <c r="BL2" s="578"/>
      <c r="BM2" s="578"/>
      <c r="BN2" s="578"/>
      <c r="BO2" s="578"/>
      <c r="BP2" s="578"/>
      <c r="BQ2" s="578"/>
      <c r="BR2" s="578"/>
      <c r="BS2" s="578"/>
      <c r="BT2" s="578"/>
      <c r="BU2" s="578"/>
      <c r="BV2" s="578"/>
      <c r="BW2" s="578"/>
      <c r="BX2" s="578"/>
      <c r="BY2" s="578"/>
      <c r="BZ2" s="578"/>
      <c r="CA2" s="578"/>
      <c r="CB2" s="579" t="s">
        <v>3169</v>
      </c>
      <c r="CC2" s="580"/>
      <c r="CD2" s="580"/>
      <c r="CE2" s="580"/>
      <c r="CF2" s="580"/>
      <c r="CG2" s="580"/>
      <c r="CH2" s="580"/>
      <c r="CI2" s="580"/>
      <c r="CJ2" s="580"/>
      <c r="CK2" s="580"/>
      <c r="CL2" s="580"/>
      <c r="CM2" s="580"/>
      <c r="CN2" s="580"/>
      <c r="CO2" s="580"/>
      <c r="CP2" s="580"/>
      <c r="CQ2" s="580"/>
      <c r="CR2" s="580"/>
      <c r="CS2" s="580"/>
      <c r="CT2" s="580"/>
      <c r="CU2" s="580"/>
      <c r="CV2" s="581"/>
    </row>
    <row r="3" spans="1:105" ht="24.75" customHeight="1" x14ac:dyDescent="0.3">
      <c r="A3" s="125"/>
      <c r="B3" s="111"/>
      <c r="C3" s="111"/>
      <c r="D3" s="111"/>
      <c r="E3" s="111"/>
      <c r="F3" s="111"/>
      <c r="G3" s="111"/>
      <c r="H3" s="111"/>
      <c r="I3" s="111"/>
      <c r="J3" s="111"/>
      <c r="K3" s="111"/>
      <c r="L3" s="111"/>
      <c r="M3" s="111"/>
      <c r="N3" s="111"/>
      <c r="O3" s="111"/>
      <c r="P3" s="111"/>
      <c r="Q3" s="111"/>
      <c r="R3" s="111"/>
      <c r="S3" s="111"/>
      <c r="T3" s="112"/>
      <c r="U3" s="113"/>
      <c r="V3" s="113"/>
      <c r="W3" s="113"/>
      <c r="X3" s="113"/>
      <c r="Y3" s="113"/>
      <c r="Z3" s="113"/>
      <c r="AA3" s="113"/>
      <c r="AB3" s="113"/>
      <c r="AC3" s="113"/>
      <c r="AD3" s="113"/>
      <c r="AE3" s="113"/>
      <c r="AF3" s="113"/>
      <c r="AG3" s="113"/>
      <c r="AH3" s="129"/>
      <c r="AI3" s="620" t="s">
        <v>2782</v>
      </c>
      <c r="AJ3" s="620"/>
      <c r="AK3" s="620"/>
      <c r="AL3" s="620"/>
      <c r="AM3" s="620"/>
      <c r="AN3" s="620"/>
      <c r="AO3" s="620"/>
      <c r="AP3" s="621"/>
      <c r="AQ3" s="622" t="s">
        <v>3168</v>
      </c>
      <c r="AR3" s="622"/>
      <c r="AS3" s="622"/>
      <c r="AT3" s="622"/>
      <c r="AU3" s="622"/>
      <c r="AV3" s="622"/>
      <c r="AW3" s="622"/>
      <c r="AX3" s="622"/>
      <c r="AY3" s="623"/>
      <c r="AZ3" s="620" t="s">
        <v>2783</v>
      </c>
      <c r="BA3" s="620"/>
      <c r="BB3" s="620"/>
      <c r="BC3" s="620"/>
      <c r="BD3" s="620"/>
      <c r="BE3" s="620"/>
      <c r="BF3" s="620"/>
      <c r="BG3" s="621"/>
      <c r="BH3" s="113"/>
      <c r="BI3" s="113"/>
      <c r="BJ3" s="113"/>
      <c r="BK3" s="113"/>
      <c r="BL3" s="113"/>
      <c r="BM3" s="113"/>
      <c r="BN3" s="113"/>
      <c r="BO3" s="113"/>
      <c r="BP3" s="113"/>
      <c r="BQ3" s="113"/>
      <c r="BR3" s="113"/>
      <c r="BS3" s="113"/>
      <c r="BT3" s="113"/>
      <c r="BU3" s="113"/>
      <c r="BV3" s="113"/>
      <c r="BW3" s="113"/>
      <c r="BX3" s="113"/>
      <c r="BY3" s="113"/>
      <c r="BZ3" s="113"/>
      <c r="CA3" s="113"/>
      <c r="CB3" s="121"/>
      <c r="CC3" s="122"/>
      <c r="CD3" s="122"/>
      <c r="CE3" s="122"/>
      <c r="CF3" s="122"/>
      <c r="CG3" s="122"/>
      <c r="CH3" s="122"/>
      <c r="CI3" s="122"/>
      <c r="CJ3" s="122"/>
      <c r="CK3" s="122"/>
      <c r="CL3" s="122"/>
      <c r="CM3" s="122"/>
      <c r="CN3" s="122"/>
      <c r="CO3" s="122"/>
      <c r="CP3" s="122"/>
      <c r="CQ3" s="122"/>
      <c r="CR3" s="122"/>
      <c r="CS3" s="122"/>
      <c r="CT3" s="122"/>
      <c r="CU3" s="122"/>
      <c r="CV3" s="123"/>
    </row>
    <row r="4" spans="1:105" ht="9" customHeight="1" x14ac:dyDescent="0.3">
      <c r="A4" s="126"/>
      <c r="B4" s="110"/>
      <c r="C4" s="110"/>
      <c r="D4" s="110"/>
      <c r="E4" s="110"/>
      <c r="F4" s="110"/>
      <c r="G4" s="110"/>
      <c r="H4" s="110"/>
      <c r="I4" s="110"/>
      <c r="J4" s="110"/>
      <c r="K4" s="110"/>
      <c r="L4" s="110"/>
      <c r="M4" s="110"/>
      <c r="N4" s="110"/>
      <c r="O4" s="110"/>
      <c r="P4" s="110"/>
      <c r="Q4" s="110"/>
      <c r="R4" s="110"/>
      <c r="S4" s="110"/>
      <c r="T4" s="114"/>
      <c r="U4" s="115"/>
      <c r="V4" s="115"/>
      <c r="W4" s="115"/>
      <c r="X4" s="115"/>
      <c r="Y4" s="115"/>
      <c r="Z4" s="115"/>
      <c r="AA4" s="115"/>
      <c r="AB4" s="115"/>
      <c r="AC4" s="115"/>
      <c r="AD4" s="115"/>
      <c r="AE4" s="115"/>
      <c r="AF4" s="115"/>
      <c r="AG4" s="115"/>
      <c r="AH4" s="115"/>
      <c r="AI4" s="116"/>
      <c r="AJ4" s="116"/>
      <c r="AK4" s="116"/>
      <c r="AL4" s="116"/>
      <c r="AM4" s="116"/>
      <c r="AN4" s="116"/>
      <c r="AO4" s="116"/>
      <c r="AP4" s="115"/>
      <c r="AQ4" s="115"/>
      <c r="AR4" s="116"/>
      <c r="AS4" s="116"/>
      <c r="AT4" s="116"/>
      <c r="AU4" s="116"/>
      <c r="AV4" s="116"/>
      <c r="AW4" s="116"/>
      <c r="AX4" s="116"/>
      <c r="AY4" s="115"/>
      <c r="AZ4" s="117"/>
      <c r="BA4" s="117"/>
      <c r="BB4" s="117"/>
      <c r="BC4" s="117"/>
      <c r="BD4" s="117"/>
      <c r="BE4" s="117"/>
      <c r="BF4" s="117"/>
      <c r="BG4" s="115"/>
      <c r="BH4" s="115"/>
      <c r="BI4" s="115"/>
      <c r="BJ4" s="115"/>
      <c r="BK4" s="115"/>
      <c r="BL4" s="115"/>
      <c r="BM4" s="115"/>
      <c r="BN4" s="115"/>
      <c r="BO4" s="115"/>
      <c r="BP4" s="115"/>
      <c r="BQ4" s="115"/>
      <c r="BR4" s="115"/>
      <c r="BS4" s="115"/>
      <c r="BT4" s="115"/>
      <c r="BU4" s="115"/>
      <c r="BV4" s="115"/>
      <c r="BW4" s="115"/>
      <c r="BX4" s="115"/>
      <c r="BY4" s="115"/>
      <c r="BZ4" s="115"/>
      <c r="CA4" s="115"/>
      <c r="CB4" s="118"/>
      <c r="CC4" s="119"/>
      <c r="CD4" s="119"/>
      <c r="CE4" s="119"/>
      <c r="CF4" s="119"/>
      <c r="CG4" s="119"/>
      <c r="CH4" s="119"/>
      <c r="CI4" s="119"/>
      <c r="CJ4" s="119"/>
      <c r="CK4" s="119"/>
      <c r="CL4" s="119"/>
      <c r="CM4" s="119"/>
      <c r="CN4" s="119"/>
      <c r="CO4" s="119"/>
      <c r="CP4" s="119"/>
      <c r="CQ4" s="119"/>
      <c r="CR4" s="119"/>
      <c r="CS4" s="119"/>
      <c r="CT4" s="119"/>
      <c r="CU4" s="119"/>
      <c r="CV4" s="120"/>
    </row>
    <row r="5" spans="1:105" x14ac:dyDescent="0.3">
      <c r="A5" s="27"/>
      <c r="B5" s="28"/>
      <c r="C5" s="28"/>
      <c r="D5" s="28"/>
      <c r="E5" s="28"/>
      <c r="F5" s="28"/>
      <c r="G5" s="28"/>
      <c r="H5" s="28"/>
      <c r="I5" s="28"/>
      <c r="J5" s="28"/>
      <c r="K5" s="27"/>
      <c r="L5" s="27"/>
      <c r="M5" s="27"/>
      <c r="N5" s="27"/>
      <c r="O5" s="27"/>
      <c r="P5" s="27"/>
      <c r="Q5" s="27"/>
      <c r="R5" s="27"/>
      <c r="S5" s="27"/>
      <c r="T5" s="27"/>
      <c r="U5" s="27"/>
      <c r="V5" s="27"/>
      <c r="W5" s="31"/>
      <c r="X5" s="31"/>
      <c r="Y5" s="31"/>
      <c r="Z5" s="31"/>
      <c r="AA5" s="28"/>
      <c r="AB5" s="28"/>
      <c r="AC5" s="28"/>
      <c r="AD5" s="28"/>
      <c r="AE5" s="28"/>
      <c r="AF5" s="28"/>
      <c r="AG5" s="28"/>
      <c r="AH5" s="27"/>
      <c r="AI5" s="65"/>
      <c r="AJ5" s="65"/>
      <c r="AK5" s="65"/>
      <c r="AL5" s="65"/>
      <c r="AM5" s="65"/>
      <c r="AN5" s="65"/>
      <c r="AO5" s="65"/>
      <c r="AP5" s="31"/>
      <c r="AQ5" s="31"/>
      <c r="AR5" s="31"/>
      <c r="AS5" s="27"/>
      <c r="AT5" s="27"/>
      <c r="AU5" s="27"/>
      <c r="AV5" s="27"/>
      <c r="AW5" s="27"/>
      <c r="AX5" s="27"/>
      <c r="AY5" s="27"/>
      <c r="AZ5" s="27"/>
      <c r="BA5" s="27"/>
      <c r="BB5" s="28"/>
      <c r="BC5" s="28"/>
      <c r="BD5" s="28"/>
      <c r="BE5" s="28"/>
      <c r="BF5" s="28"/>
      <c r="BG5" s="28"/>
      <c r="BH5" s="28"/>
      <c r="BI5" s="28"/>
      <c r="BJ5" s="27"/>
      <c r="BK5" s="27"/>
      <c r="BL5" s="27"/>
      <c r="BM5" s="27"/>
      <c r="BN5" s="27"/>
      <c r="BO5" s="27"/>
      <c r="BP5" s="27"/>
      <c r="BQ5" s="27"/>
      <c r="BR5" s="27"/>
      <c r="BS5" s="27"/>
      <c r="BT5" s="27"/>
      <c r="BU5" s="27"/>
      <c r="BV5" s="27"/>
      <c r="BW5" s="31"/>
      <c r="BX5" s="31"/>
      <c r="BY5" s="31"/>
      <c r="BZ5" s="31"/>
      <c r="CA5" s="31"/>
      <c r="CB5" s="31"/>
      <c r="CC5" s="31"/>
      <c r="CD5" s="27"/>
      <c r="CE5" s="27"/>
      <c r="CF5" s="27"/>
      <c r="CG5" s="27"/>
      <c r="CH5" s="27"/>
      <c r="CI5" s="27"/>
      <c r="CJ5" s="27"/>
      <c r="CK5" s="27"/>
      <c r="CL5" s="27"/>
      <c r="CM5" s="27"/>
      <c r="CN5" s="27"/>
      <c r="CO5" s="27"/>
      <c r="CP5" s="27"/>
      <c r="CQ5" s="27"/>
      <c r="CR5" s="27"/>
      <c r="CS5" s="27"/>
      <c r="CT5" s="27"/>
      <c r="CU5" s="27"/>
      <c r="CV5" s="27"/>
    </row>
    <row r="6" spans="1:105" ht="18" x14ac:dyDescent="0.35">
      <c r="A6" s="29"/>
      <c r="B6" s="582" t="s">
        <v>2641</v>
      </c>
      <c r="C6" s="624"/>
      <c r="D6" s="624"/>
      <c r="E6" s="624"/>
      <c r="F6" s="624"/>
      <c r="G6" s="624"/>
      <c r="H6" s="624"/>
      <c r="I6" s="624"/>
      <c r="J6" s="583"/>
      <c r="K6" s="27"/>
      <c r="L6" s="627"/>
      <c r="M6" s="628"/>
      <c r="N6" s="628"/>
      <c r="O6" s="628"/>
      <c r="P6" s="628"/>
      <c r="Q6" s="628"/>
      <c r="R6" s="628"/>
      <c r="S6" s="628"/>
      <c r="T6" s="628"/>
      <c r="U6" s="628"/>
      <c r="V6" s="628"/>
      <c r="W6" s="628"/>
      <c r="X6" s="56"/>
      <c r="Y6" s="56"/>
      <c r="Z6" s="27"/>
      <c r="AA6" s="617" t="s">
        <v>2625</v>
      </c>
      <c r="AB6" s="618"/>
      <c r="AC6" s="618"/>
      <c r="AD6" s="618"/>
      <c r="AE6" s="618"/>
      <c r="AF6" s="618"/>
      <c r="AG6" s="619"/>
      <c r="AH6" s="31"/>
      <c r="AI6" s="613"/>
      <c r="AJ6" s="614"/>
      <c r="AK6" s="614"/>
      <c r="AL6" s="614"/>
      <c r="AM6" s="614"/>
      <c r="AN6" s="614"/>
      <c r="AO6" s="615"/>
      <c r="AP6" s="615"/>
      <c r="AQ6" s="615"/>
      <c r="AR6" s="615"/>
      <c r="AS6" s="616"/>
      <c r="AT6" s="83"/>
      <c r="AU6" s="56"/>
      <c r="AV6" s="56"/>
      <c r="AW6" s="56"/>
      <c r="AX6" s="56"/>
      <c r="AY6" s="56"/>
      <c r="AZ6" s="56"/>
      <c r="BA6" s="29"/>
      <c r="BB6" s="582" t="s">
        <v>2510</v>
      </c>
      <c r="BC6" s="583"/>
      <c r="BD6" s="583"/>
      <c r="BE6" s="583"/>
      <c r="BF6" s="583"/>
      <c r="BG6" s="583"/>
      <c r="BH6" s="583"/>
      <c r="BI6" s="583"/>
      <c r="BJ6" s="33"/>
      <c r="BK6" s="635" t="s">
        <v>3167</v>
      </c>
      <c r="BL6" s="636"/>
      <c r="BM6" s="636"/>
      <c r="BN6" s="636"/>
      <c r="BO6" s="636"/>
      <c r="BP6" s="636"/>
      <c r="BQ6" s="636"/>
      <c r="BR6" s="636"/>
      <c r="BS6" s="636"/>
      <c r="BT6" s="636"/>
      <c r="BU6" s="636"/>
      <c r="BV6" s="636"/>
      <c r="BW6" s="636"/>
      <c r="BX6" s="636"/>
      <c r="BY6" s="636"/>
      <c r="BZ6" s="636"/>
      <c r="CA6" s="636"/>
      <c r="CB6" s="636"/>
      <c r="CC6" s="636"/>
      <c r="CD6" s="636"/>
      <c r="CE6" s="636"/>
      <c r="CF6" s="636"/>
      <c r="CG6" s="636"/>
      <c r="CH6" s="636"/>
      <c r="CI6" s="636"/>
      <c r="CJ6" s="636"/>
      <c r="CK6" s="636"/>
      <c r="CL6" s="636"/>
      <c r="CM6" s="636"/>
      <c r="CN6" s="636"/>
      <c r="CO6" s="636"/>
      <c r="CP6" s="636"/>
      <c r="CQ6" s="636"/>
      <c r="CR6" s="636"/>
      <c r="CS6" s="636"/>
      <c r="CT6" s="637"/>
      <c r="CU6" s="27"/>
      <c r="CV6" s="27"/>
      <c r="DA6" s="46"/>
    </row>
    <row r="7" spans="1:105" ht="18.75" customHeight="1" x14ac:dyDescent="0.35">
      <c r="A7" s="29"/>
      <c r="B7" s="625"/>
      <c r="C7" s="626"/>
      <c r="D7" s="626"/>
      <c r="E7" s="626"/>
      <c r="F7" s="626"/>
      <c r="G7" s="626"/>
      <c r="H7" s="626"/>
      <c r="I7" s="626"/>
      <c r="J7" s="626"/>
      <c r="K7" s="33"/>
      <c r="L7" s="628"/>
      <c r="M7" s="628"/>
      <c r="N7" s="628"/>
      <c r="O7" s="628"/>
      <c r="P7" s="628"/>
      <c r="Q7" s="628"/>
      <c r="R7" s="628"/>
      <c r="S7" s="628"/>
      <c r="T7" s="628"/>
      <c r="U7" s="628"/>
      <c r="V7" s="628"/>
      <c r="W7" s="628"/>
      <c r="X7" s="27"/>
      <c r="Y7" s="31"/>
      <c r="Z7" s="27"/>
      <c r="AA7" s="646" t="s">
        <v>2626</v>
      </c>
      <c r="AB7" s="647"/>
      <c r="AC7" s="647"/>
      <c r="AD7" s="647"/>
      <c r="AE7" s="647"/>
      <c r="AF7" s="647"/>
      <c r="AG7" s="625"/>
      <c r="AH7" s="30"/>
      <c r="AI7" s="613"/>
      <c r="AJ7" s="614"/>
      <c r="AK7" s="614"/>
      <c r="AL7" s="614"/>
      <c r="AM7" s="614"/>
      <c r="AN7" s="614"/>
      <c r="AO7" s="615"/>
      <c r="AP7" s="615"/>
      <c r="AQ7" s="615"/>
      <c r="AR7" s="615"/>
      <c r="AS7" s="616"/>
      <c r="AT7" s="84"/>
      <c r="AU7" s="27"/>
      <c r="AV7" s="27"/>
      <c r="AW7" s="27"/>
      <c r="AX7" s="27"/>
      <c r="AY7" s="27"/>
      <c r="AZ7" s="27"/>
      <c r="BA7" s="31"/>
      <c r="BB7" s="81"/>
      <c r="BC7" s="36"/>
      <c r="BD7" s="36"/>
      <c r="BE7" s="36"/>
      <c r="BF7" s="36"/>
      <c r="BG7" s="36"/>
      <c r="BH7" s="36"/>
      <c r="BI7" s="36"/>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27"/>
      <c r="CZ7" s="243" t="s">
        <v>2723</v>
      </c>
      <c r="DA7" s="246"/>
    </row>
    <row r="8" spans="1:105" ht="18" x14ac:dyDescent="0.35">
      <c r="A8" s="31"/>
      <c r="B8" s="39"/>
      <c r="C8" s="39"/>
      <c r="D8" s="39"/>
      <c r="E8" s="39"/>
      <c r="F8" s="39"/>
      <c r="G8" s="39"/>
      <c r="H8" s="39"/>
      <c r="I8" s="39"/>
      <c r="J8" s="39"/>
      <c r="K8" s="27"/>
      <c r="L8" s="27"/>
      <c r="M8" s="27"/>
      <c r="N8" s="27"/>
      <c r="O8" s="27"/>
      <c r="P8" s="27"/>
      <c r="Q8" s="27"/>
      <c r="R8" s="27"/>
      <c r="S8" s="27"/>
      <c r="T8" s="27"/>
      <c r="U8" s="27"/>
      <c r="V8" s="27"/>
      <c r="W8" s="27"/>
      <c r="X8" s="27"/>
      <c r="Y8" s="27"/>
      <c r="Z8" s="27"/>
      <c r="AA8" s="27"/>
      <c r="AB8" s="27"/>
      <c r="AC8" s="27"/>
      <c r="AD8" s="27"/>
      <c r="AE8" s="27"/>
      <c r="AF8" s="27"/>
      <c r="AG8" s="27"/>
      <c r="AH8" s="27"/>
      <c r="AI8" s="27"/>
      <c r="AJ8" s="85"/>
      <c r="AK8" s="85"/>
      <c r="AL8" s="85"/>
      <c r="AM8" s="85"/>
      <c r="AN8" s="85"/>
      <c r="AO8" s="85"/>
      <c r="AP8" s="85"/>
      <c r="AQ8" s="85"/>
      <c r="AR8" s="85"/>
      <c r="AS8" s="85"/>
      <c r="AT8" s="27"/>
      <c r="AU8" s="27"/>
      <c r="AV8" s="27"/>
      <c r="AW8" s="27"/>
      <c r="AX8" s="27"/>
      <c r="AY8" s="27"/>
      <c r="AZ8" s="27"/>
      <c r="BA8" s="29"/>
      <c r="BB8" s="592" t="s">
        <v>2620</v>
      </c>
      <c r="BC8" s="593"/>
      <c r="BD8" s="593"/>
      <c r="BE8" s="593"/>
      <c r="BF8" s="593"/>
      <c r="BG8" s="593"/>
      <c r="BH8" s="593"/>
      <c r="BI8" s="594"/>
      <c r="BJ8" s="27"/>
      <c r="BK8" s="595"/>
      <c r="BL8" s="596"/>
      <c r="BM8" s="597"/>
      <c r="BN8" s="27"/>
      <c r="BO8" s="598"/>
      <c r="BP8" s="599"/>
      <c r="BQ8" s="599"/>
      <c r="BR8" s="599"/>
      <c r="BS8" s="599"/>
      <c r="BT8" s="599"/>
      <c r="BU8" s="599"/>
      <c r="BV8" s="599"/>
      <c r="BW8" s="599"/>
      <c r="BX8" s="599"/>
      <c r="BY8" s="599"/>
      <c r="BZ8" s="599"/>
      <c r="CA8" s="599"/>
      <c r="CB8" s="599"/>
      <c r="CC8" s="599"/>
      <c r="CD8" s="599"/>
      <c r="CE8" s="599"/>
      <c r="CF8" s="599"/>
      <c r="CG8" s="599"/>
      <c r="CH8" s="599"/>
      <c r="CI8" s="599"/>
      <c r="CJ8" s="599"/>
      <c r="CK8" s="599"/>
      <c r="CL8" s="599"/>
      <c r="CM8" s="599"/>
      <c r="CN8" s="599"/>
      <c r="CO8" s="600"/>
      <c r="CP8" s="30"/>
      <c r="CQ8" s="30"/>
      <c r="CR8" s="30"/>
      <c r="CS8" s="30"/>
      <c r="CT8" s="30"/>
      <c r="CU8" s="30"/>
      <c r="CV8" s="27"/>
    </row>
    <row r="9" spans="1:105" x14ac:dyDescent="0.3">
      <c r="A9" s="29"/>
      <c r="B9" s="582" t="s">
        <v>2616</v>
      </c>
      <c r="C9" s="632"/>
      <c r="D9" s="632"/>
      <c r="E9" s="632"/>
      <c r="F9" s="632"/>
      <c r="G9" s="632"/>
      <c r="H9" s="632"/>
      <c r="I9" s="632"/>
      <c r="J9" s="583"/>
      <c r="K9" s="27"/>
      <c r="L9" s="629"/>
      <c r="M9" s="630"/>
      <c r="N9" s="630"/>
      <c r="O9" s="630"/>
      <c r="P9" s="630"/>
      <c r="Q9" s="630"/>
      <c r="R9" s="630"/>
      <c r="S9" s="630"/>
      <c r="T9" s="630"/>
      <c r="U9" s="630"/>
      <c r="V9" s="630"/>
      <c r="W9" s="630"/>
      <c r="X9" s="630"/>
      <c r="Y9" s="630"/>
      <c r="Z9" s="630"/>
      <c r="AA9" s="630"/>
      <c r="AB9" s="630"/>
      <c r="AC9" s="630"/>
      <c r="AD9" s="630"/>
      <c r="AE9" s="630"/>
      <c r="AF9" s="630"/>
      <c r="AG9" s="630"/>
      <c r="AH9" s="630"/>
      <c r="AI9" s="630"/>
      <c r="AJ9" s="630"/>
      <c r="AK9" s="630"/>
      <c r="AL9" s="630"/>
      <c r="AM9" s="630"/>
      <c r="AN9" s="630"/>
      <c r="AO9" s="630"/>
      <c r="AP9" s="630"/>
      <c r="AQ9" s="630"/>
      <c r="AR9" s="630"/>
      <c r="AS9" s="630"/>
      <c r="AT9" s="630"/>
      <c r="AU9" s="630"/>
      <c r="AV9" s="630"/>
      <c r="AW9" s="630"/>
      <c r="AX9" s="630"/>
      <c r="AY9" s="630"/>
      <c r="AZ9" s="630"/>
      <c r="BA9" s="27"/>
      <c r="BB9" s="28"/>
      <c r="BC9" s="28"/>
      <c r="BD9" s="28"/>
      <c r="BE9" s="28"/>
      <c r="BF9" s="28"/>
      <c r="BG9" s="28"/>
      <c r="BH9" s="28"/>
      <c r="BI9" s="28"/>
      <c r="BJ9" s="28"/>
      <c r="BK9" s="28"/>
      <c r="BL9" s="28"/>
      <c r="BM9" s="28"/>
      <c r="BN9" s="28"/>
      <c r="BO9" s="28"/>
      <c r="BP9" s="28"/>
      <c r="BQ9" s="27"/>
      <c r="BR9" s="27"/>
      <c r="BS9" s="27"/>
      <c r="BT9" s="27"/>
      <c r="BU9" s="27"/>
      <c r="BV9" s="27"/>
      <c r="BW9" s="86"/>
      <c r="BX9" s="27"/>
      <c r="BY9" s="27"/>
      <c r="BZ9" s="27"/>
      <c r="CA9" s="27"/>
      <c r="CB9" s="27"/>
      <c r="CC9" s="27"/>
      <c r="CD9" s="27"/>
      <c r="CE9" s="27"/>
      <c r="CF9" s="27"/>
      <c r="CG9" s="27"/>
      <c r="CH9" s="27"/>
      <c r="CI9" s="27"/>
      <c r="CJ9" s="27"/>
      <c r="CK9" s="27"/>
      <c r="CL9" s="27"/>
      <c r="CM9" s="27"/>
      <c r="CN9" s="27"/>
      <c r="CO9" s="27"/>
      <c r="CP9" s="27"/>
      <c r="CQ9" s="27"/>
      <c r="CR9" s="27"/>
      <c r="CS9" s="27"/>
      <c r="CT9" s="27"/>
      <c r="CU9" s="27"/>
      <c r="CV9" s="27"/>
    </row>
    <row r="10" spans="1:105" ht="18" x14ac:dyDescent="0.35">
      <c r="A10" s="29"/>
      <c r="B10" s="633"/>
      <c r="C10" s="634"/>
      <c r="D10" s="634"/>
      <c r="E10" s="634"/>
      <c r="F10" s="634"/>
      <c r="G10" s="634"/>
      <c r="H10" s="634"/>
      <c r="I10" s="634"/>
      <c r="J10" s="626"/>
      <c r="K10" s="27"/>
      <c r="L10" s="630"/>
      <c r="M10" s="630"/>
      <c r="N10" s="630"/>
      <c r="O10" s="630"/>
      <c r="P10" s="630"/>
      <c r="Q10" s="630"/>
      <c r="R10" s="630"/>
      <c r="S10" s="630"/>
      <c r="T10" s="630"/>
      <c r="U10" s="630"/>
      <c r="V10" s="630"/>
      <c r="W10" s="630"/>
      <c r="X10" s="630"/>
      <c r="Y10" s="630"/>
      <c r="Z10" s="630"/>
      <c r="AA10" s="630"/>
      <c r="AB10" s="630"/>
      <c r="AC10" s="630"/>
      <c r="AD10" s="630"/>
      <c r="AE10" s="630"/>
      <c r="AF10" s="630"/>
      <c r="AG10" s="630"/>
      <c r="AH10" s="630"/>
      <c r="AI10" s="630"/>
      <c r="AJ10" s="630"/>
      <c r="AK10" s="630"/>
      <c r="AL10" s="630"/>
      <c r="AM10" s="630"/>
      <c r="AN10" s="630"/>
      <c r="AO10" s="630"/>
      <c r="AP10" s="630"/>
      <c r="AQ10" s="630"/>
      <c r="AR10" s="630"/>
      <c r="AS10" s="630"/>
      <c r="AT10" s="630"/>
      <c r="AU10" s="630"/>
      <c r="AV10" s="630"/>
      <c r="AW10" s="630"/>
      <c r="AX10" s="630"/>
      <c r="AY10" s="630"/>
      <c r="AZ10" s="630"/>
      <c r="BA10" s="82"/>
      <c r="BB10" s="642" t="s">
        <v>2618</v>
      </c>
      <c r="BC10" s="643"/>
      <c r="BD10" s="643"/>
      <c r="BE10" s="643"/>
      <c r="BF10" s="643"/>
      <c r="BG10" s="643"/>
      <c r="BH10" s="643"/>
      <c r="BI10" s="644"/>
      <c r="BJ10" s="644"/>
      <c r="BK10" s="644"/>
      <c r="BL10" s="644"/>
      <c r="BM10" s="624"/>
      <c r="BN10" s="583"/>
      <c r="BO10" s="583"/>
      <c r="BP10" s="583"/>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row>
    <row r="11" spans="1:105" ht="18.75" customHeight="1" x14ac:dyDescent="0.3">
      <c r="A11" s="29"/>
      <c r="B11" s="625"/>
      <c r="C11" s="626"/>
      <c r="D11" s="626"/>
      <c r="E11" s="626"/>
      <c r="F11" s="626"/>
      <c r="G11" s="626"/>
      <c r="H11" s="626"/>
      <c r="I11" s="626"/>
      <c r="J11" s="626"/>
      <c r="K11" s="27"/>
      <c r="L11" s="631"/>
      <c r="M11" s="631"/>
      <c r="N11" s="631"/>
      <c r="O11" s="631"/>
      <c r="P11" s="631"/>
      <c r="Q11" s="631"/>
      <c r="R11" s="631"/>
      <c r="S11" s="631"/>
      <c r="T11" s="631"/>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c r="AT11" s="631"/>
      <c r="AU11" s="631"/>
      <c r="AV11" s="631"/>
      <c r="AW11" s="631"/>
      <c r="AX11" s="631"/>
      <c r="AY11" s="631"/>
      <c r="AZ11" s="631"/>
      <c r="BA11" s="31"/>
      <c r="BB11" s="584"/>
      <c r="BC11" s="585"/>
      <c r="BD11" s="585"/>
      <c r="BE11" s="585"/>
      <c r="BF11" s="585"/>
      <c r="BG11" s="585"/>
      <c r="BH11" s="585"/>
      <c r="BI11" s="585"/>
      <c r="BJ11" s="585"/>
      <c r="BK11" s="585"/>
      <c r="BL11" s="585"/>
      <c r="BM11" s="585"/>
      <c r="BN11" s="585"/>
      <c r="BO11" s="585"/>
      <c r="BP11" s="585"/>
      <c r="BQ11" s="585"/>
      <c r="BR11" s="585"/>
      <c r="BS11" s="585"/>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c r="CU11" s="585"/>
      <c r="CV11" s="27"/>
    </row>
    <row r="12" spans="1:105" ht="19.5" customHeight="1" x14ac:dyDescent="0.3">
      <c r="A12" s="31"/>
      <c r="B12" s="39"/>
      <c r="C12" s="39"/>
      <c r="D12" s="39"/>
      <c r="E12" s="39"/>
      <c r="F12" s="39"/>
      <c r="G12" s="39"/>
      <c r="H12" s="39"/>
      <c r="I12" s="39"/>
      <c r="J12" s="39"/>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585"/>
      <c r="BC12" s="585"/>
      <c r="BD12" s="585"/>
      <c r="BE12" s="585"/>
      <c r="BF12" s="585"/>
      <c r="BG12" s="585"/>
      <c r="BH12" s="585"/>
      <c r="BI12" s="585"/>
      <c r="BJ12" s="585"/>
      <c r="BK12" s="585"/>
      <c r="BL12" s="585"/>
      <c r="BM12" s="585"/>
      <c r="BN12" s="585"/>
      <c r="BO12" s="585"/>
      <c r="BP12" s="585"/>
      <c r="BQ12" s="585"/>
      <c r="BR12" s="585"/>
      <c r="BS12" s="585"/>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27"/>
    </row>
    <row r="13" spans="1:105" ht="21" customHeight="1" x14ac:dyDescent="0.3">
      <c r="A13" s="29"/>
      <c r="B13" s="582" t="s">
        <v>2617</v>
      </c>
      <c r="C13" s="624"/>
      <c r="D13" s="624"/>
      <c r="E13" s="624"/>
      <c r="F13" s="624"/>
      <c r="G13" s="624"/>
      <c r="H13" s="624"/>
      <c r="I13" s="624"/>
      <c r="J13" s="583"/>
      <c r="K13" s="27"/>
      <c r="L13" s="638"/>
      <c r="M13" s="639"/>
      <c r="N13" s="639"/>
      <c r="O13" s="639"/>
      <c r="P13" s="639"/>
      <c r="Q13" s="639"/>
      <c r="R13" s="639"/>
      <c r="S13" s="639"/>
      <c r="T13" s="639"/>
      <c r="U13" s="639"/>
      <c r="V13" s="639"/>
      <c r="W13" s="639"/>
      <c r="X13" s="639"/>
      <c r="Y13" s="639"/>
      <c r="Z13" s="639"/>
      <c r="AA13" s="639"/>
      <c r="AB13" s="639"/>
      <c r="AC13" s="639"/>
      <c r="AD13" s="639"/>
      <c r="AE13" s="639"/>
      <c r="AF13" s="639"/>
      <c r="AG13" s="639"/>
      <c r="AH13" s="639"/>
      <c r="AI13" s="639"/>
      <c r="AJ13" s="639"/>
      <c r="AK13" s="639"/>
      <c r="AL13" s="639"/>
      <c r="AM13" s="639"/>
      <c r="AN13" s="639"/>
      <c r="AO13" s="639"/>
      <c r="AP13" s="639"/>
      <c r="AQ13" s="639"/>
      <c r="AR13" s="639"/>
      <c r="AS13" s="639"/>
      <c r="AT13" s="639"/>
      <c r="AU13" s="639"/>
      <c r="AV13" s="639"/>
      <c r="AW13" s="639"/>
      <c r="AX13" s="639"/>
      <c r="AY13" s="639"/>
      <c r="AZ13" s="639"/>
      <c r="BA13" s="27"/>
      <c r="BB13" s="585"/>
      <c r="BC13" s="585"/>
      <c r="BD13" s="585"/>
      <c r="BE13" s="585"/>
      <c r="BF13" s="585"/>
      <c r="BG13" s="585"/>
      <c r="BH13" s="585"/>
      <c r="BI13" s="585"/>
      <c r="BJ13" s="585"/>
      <c r="BK13" s="585"/>
      <c r="BL13" s="585"/>
      <c r="BM13" s="585"/>
      <c r="BN13" s="585"/>
      <c r="BO13" s="585"/>
      <c r="BP13" s="585"/>
      <c r="BQ13" s="585"/>
      <c r="BR13" s="585"/>
      <c r="BS13" s="585"/>
      <c r="BT13" s="585"/>
      <c r="BU13" s="585"/>
      <c r="BV13" s="585"/>
      <c r="BW13" s="585"/>
      <c r="BX13" s="585"/>
      <c r="BY13" s="585"/>
      <c r="BZ13" s="585"/>
      <c r="CA13" s="585"/>
      <c r="CB13" s="585"/>
      <c r="CC13" s="585"/>
      <c r="CD13" s="585"/>
      <c r="CE13" s="585"/>
      <c r="CF13" s="585"/>
      <c r="CG13" s="585"/>
      <c r="CH13" s="585"/>
      <c r="CI13" s="585"/>
      <c r="CJ13" s="585"/>
      <c r="CK13" s="585"/>
      <c r="CL13" s="585"/>
      <c r="CM13" s="585"/>
      <c r="CN13" s="585"/>
      <c r="CO13" s="585"/>
      <c r="CP13" s="585"/>
      <c r="CQ13" s="585"/>
      <c r="CR13" s="585"/>
      <c r="CS13" s="585"/>
      <c r="CT13" s="585"/>
      <c r="CU13" s="585"/>
      <c r="CV13" s="27"/>
    </row>
    <row r="14" spans="1:105" x14ac:dyDescent="0.3">
      <c r="A14" s="29"/>
      <c r="B14" s="640"/>
      <c r="C14" s="641"/>
      <c r="D14" s="641"/>
      <c r="E14" s="641"/>
      <c r="F14" s="641"/>
      <c r="G14" s="641"/>
      <c r="H14" s="641"/>
      <c r="I14" s="641"/>
      <c r="J14" s="626"/>
      <c r="K14" s="27"/>
      <c r="L14" s="639"/>
      <c r="M14" s="639"/>
      <c r="N14" s="639"/>
      <c r="O14" s="639"/>
      <c r="P14" s="639"/>
      <c r="Q14" s="639"/>
      <c r="R14" s="639"/>
      <c r="S14" s="639"/>
      <c r="T14" s="639"/>
      <c r="U14" s="639"/>
      <c r="V14" s="639"/>
      <c r="W14" s="639"/>
      <c r="X14" s="639"/>
      <c r="Y14" s="639"/>
      <c r="Z14" s="639"/>
      <c r="AA14" s="639"/>
      <c r="AB14" s="639"/>
      <c r="AC14" s="639"/>
      <c r="AD14" s="639"/>
      <c r="AE14" s="639"/>
      <c r="AF14" s="639"/>
      <c r="AG14" s="639"/>
      <c r="AH14" s="639"/>
      <c r="AI14" s="639"/>
      <c r="AJ14" s="639"/>
      <c r="AK14" s="639"/>
      <c r="AL14" s="639"/>
      <c r="AM14" s="639"/>
      <c r="AN14" s="639"/>
      <c r="AO14" s="639"/>
      <c r="AP14" s="639"/>
      <c r="AQ14" s="639"/>
      <c r="AR14" s="639"/>
      <c r="AS14" s="639"/>
      <c r="AT14" s="639"/>
      <c r="AU14" s="639"/>
      <c r="AV14" s="639"/>
      <c r="AW14" s="639"/>
      <c r="AX14" s="639"/>
      <c r="AY14" s="639"/>
      <c r="AZ14" s="639"/>
      <c r="BA14" s="27"/>
      <c r="BB14" s="585"/>
      <c r="BC14" s="585"/>
      <c r="BD14" s="585"/>
      <c r="BE14" s="585"/>
      <c r="BF14" s="585"/>
      <c r="BG14" s="585"/>
      <c r="BH14" s="585"/>
      <c r="BI14" s="585"/>
      <c r="BJ14" s="585"/>
      <c r="BK14" s="585"/>
      <c r="BL14" s="585"/>
      <c r="BM14" s="585"/>
      <c r="BN14" s="585"/>
      <c r="BO14" s="585"/>
      <c r="BP14" s="585"/>
      <c r="BQ14" s="585"/>
      <c r="BR14" s="585"/>
      <c r="BS14" s="585"/>
      <c r="BT14" s="585"/>
      <c r="BU14" s="585"/>
      <c r="BV14" s="585"/>
      <c r="BW14" s="585"/>
      <c r="BX14" s="585"/>
      <c r="BY14" s="585"/>
      <c r="BZ14" s="585"/>
      <c r="CA14" s="585"/>
      <c r="CB14" s="585"/>
      <c r="CC14" s="585"/>
      <c r="CD14" s="585"/>
      <c r="CE14" s="585"/>
      <c r="CF14" s="585"/>
      <c r="CG14" s="585"/>
      <c r="CH14" s="585"/>
      <c r="CI14" s="585"/>
      <c r="CJ14" s="585"/>
      <c r="CK14" s="585"/>
      <c r="CL14" s="585"/>
      <c r="CM14" s="585"/>
      <c r="CN14" s="585"/>
      <c r="CO14" s="585"/>
      <c r="CP14" s="585"/>
      <c r="CQ14" s="585"/>
      <c r="CR14" s="585"/>
      <c r="CS14" s="585"/>
      <c r="CT14" s="585"/>
      <c r="CU14" s="585"/>
      <c r="CV14" s="27"/>
    </row>
    <row r="15" spans="1:105" ht="18" customHeight="1" x14ac:dyDescent="0.3">
      <c r="A15" s="29"/>
      <c r="B15" s="625"/>
      <c r="C15" s="626"/>
      <c r="D15" s="626"/>
      <c r="E15" s="626"/>
      <c r="F15" s="626"/>
      <c r="G15" s="626"/>
      <c r="H15" s="626"/>
      <c r="I15" s="626"/>
      <c r="J15" s="626"/>
      <c r="K15" s="27"/>
      <c r="L15" s="631"/>
      <c r="M15" s="631"/>
      <c r="N15" s="631"/>
      <c r="O15" s="631"/>
      <c r="P15" s="631"/>
      <c r="Q15" s="631"/>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631"/>
      <c r="AU15" s="631"/>
      <c r="AV15" s="631"/>
      <c r="AW15" s="631"/>
      <c r="AX15" s="631"/>
      <c r="AY15" s="631"/>
      <c r="AZ15" s="631"/>
      <c r="BA15" s="27"/>
      <c r="BB15" s="585"/>
      <c r="BC15" s="585"/>
      <c r="BD15" s="585"/>
      <c r="BE15" s="585"/>
      <c r="BF15" s="585"/>
      <c r="BG15" s="585"/>
      <c r="BH15" s="585"/>
      <c r="BI15" s="585"/>
      <c r="BJ15" s="585"/>
      <c r="BK15" s="585"/>
      <c r="BL15" s="585"/>
      <c r="BM15" s="585"/>
      <c r="BN15" s="585"/>
      <c r="BO15" s="585"/>
      <c r="BP15" s="585"/>
      <c r="BQ15" s="585"/>
      <c r="BR15" s="585"/>
      <c r="BS15" s="585"/>
      <c r="BT15" s="585"/>
      <c r="BU15" s="585"/>
      <c r="BV15" s="585"/>
      <c r="BW15" s="585"/>
      <c r="BX15" s="585"/>
      <c r="BY15" s="585"/>
      <c r="BZ15" s="585"/>
      <c r="CA15" s="585"/>
      <c r="CB15" s="585"/>
      <c r="CC15" s="585"/>
      <c r="CD15" s="585"/>
      <c r="CE15" s="585"/>
      <c r="CF15" s="585"/>
      <c r="CG15" s="585"/>
      <c r="CH15" s="585"/>
      <c r="CI15" s="585"/>
      <c r="CJ15" s="585"/>
      <c r="CK15" s="585"/>
      <c r="CL15" s="585"/>
      <c r="CM15" s="585"/>
      <c r="CN15" s="585"/>
      <c r="CO15" s="585"/>
      <c r="CP15" s="585"/>
      <c r="CQ15" s="585"/>
      <c r="CR15" s="585"/>
      <c r="CS15" s="585"/>
      <c r="CT15" s="585"/>
      <c r="CU15" s="585"/>
      <c r="CV15" s="27"/>
    </row>
    <row r="16" spans="1:105" ht="20.25" customHeight="1" x14ac:dyDescent="0.3">
      <c r="A16" s="31"/>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27"/>
      <c r="CO16" s="27"/>
      <c r="CP16" s="27"/>
      <c r="CQ16" s="27"/>
      <c r="CR16" s="27"/>
      <c r="CS16" s="27"/>
      <c r="CT16" s="27"/>
      <c r="CU16" s="27"/>
      <c r="CV16" s="27"/>
    </row>
    <row r="17" spans="1:113" ht="18.75" customHeight="1" x14ac:dyDescent="0.35">
      <c r="A17" s="31"/>
      <c r="B17" s="28"/>
      <c r="C17" s="28"/>
      <c r="D17" s="28"/>
      <c r="E17" s="28"/>
      <c r="F17" s="28"/>
      <c r="G17" s="28"/>
      <c r="H17" s="28"/>
      <c r="I17" s="28"/>
      <c r="J17" s="28"/>
      <c r="K17" s="28"/>
      <c r="L17" s="28"/>
      <c r="M17" s="28"/>
      <c r="N17" s="28"/>
      <c r="O17" s="38"/>
      <c r="P17" s="38"/>
      <c r="Q17" s="38"/>
      <c r="R17" s="38"/>
      <c r="S17" s="38"/>
      <c r="T17" s="38"/>
      <c r="U17" s="28"/>
      <c r="V17" s="28"/>
      <c r="W17" s="28"/>
      <c r="X17" s="28"/>
      <c r="Y17" s="28"/>
      <c r="Z17" s="28"/>
      <c r="AA17" s="61"/>
      <c r="AB17" s="648" t="s">
        <v>2500</v>
      </c>
      <c r="AC17" s="649"/>
      <c r="AD17" s="649"/>
      <c r="AE17" s="649"/>
      <c r="AF17" s="649"/>
      <c r="AG17" s="649"/>
      <c r="AH17" s="649"/>
      <c r="AI17" s="649"/>
      <c r="AJ17" s="649"/>
      <c r="AK17" s="649"/>
      <c r="AL17" s="649"/>
      <c r="AM17" s="649"/>
      <c r="AN17" s="649"/>
      <c r="AO17" s="649"/>
      <c r="AP17" s="649"/>
      <c r="AQ17" s="649"/>
      <c r="AR17" s="649"/>
      <c r="AS17" s="649"/>
      <c r="AT17" s="649"/>
      <c r="AU17" s="649"/>
      <c r="AV17" s="649"/>
      <c r="AW17" s="649"/>
      <c r="AX17" s="649"/>
      <c r="AY17" s="649"/>
      <c r="AZ17" s="649"/>
      <c r="BA17" s="649"/>
      <c r="BB17" s="649"/>
      <c r="BC17" s="650"/>
      <c r="BD17" s="650"/>
      <c r="BE17" s="650"/>
      <c r="BF17" s="650"/>
      <c r="BG17" s="651"/>
      <c r="BH17" s="652" t="s">
        <v>2504</v>
      </c>
      <c r="BI17" s="653"/>
      <c r="BJ17" s="653"/>
      <c r="BK17" s="653"/>
      <c r="BL17" s="653"/>
      <c r="BM17" s="653"/>
      <c r="BN17" s="653"/>
      <c r="BO17" s="653"/>
      <c r="BP17" s="653"/>
      <c r="BQ17" s="653"/>
      <c r="BR17" s="653"/>
      <c r="BS17" s="653"/>
      <c r="BT17" s="653"/>
      <c r="BU17" s="653"/>
      <c r="BV17" s="653"/>
      <c r="BW17" s="653"/>
      <c r="BX17" s="653"/>
      <c r="BY17" s="653"/>
      <c r="BZ17" s="653"/>
      <c r="CA17" s="653"/>
      <c r="CB17" s="653"/>
      <c r="CC17" s="653"/>
      <c r="CD17" s="653"/>
      <c r="CE17" s="653"/>
      <c r="CF17" s="653"/>
      <c r="CG17" s="653"/>
      <c r="CH17" s="653"/>
      <c r="CI17" s="653"/>
      <c r="CJ17" s="653"/>
      <c r="CK17" s="653"/>
      <c r="CL17" s="653"/>
      <c r="CM17" s="654"/>
      <c r="CN17" s="28"/>
      <c r="CO17" s="28"/>
      <c r="CP17" s="28"/>
      <c r="CQ17" s="28"/>
      <c r="CR17" s="28"/>
      <c r="CS17" s="28"/>
      <c r="CT17" s="28"/>
      <c r="CU17" s="28"/>
      <c r="CV17" s="27"/>
    </row>
    <row r="18" spans="1:113" ht="15.6" x14ac:dyDescent="0.3">
      <c r="A18" s="42"/>
      <c r="B18" s="664" t="s">
        <v>2825</v>
      </c>
      <c r="C18" s="609"/>
      <c r="D18" s="609"/>
      <c r="E18" s="609"/>
      <c r="F18" s="609"/>
      <c r="G18" s="609"/>
      <c r="H18" s="609"/>
      <c r="I18" s="609"/>
      <c r="J18" s="609"/>
      <c r="K18" s="609"/>
      <c r="L18" s="609"/>
      <c r="M18" s="609"/>
      <c r="N18" s="609"/>
      <c r="O18" s="609"/>
      <c r="P18" s="609"/>
      <c r="Q18" s="609"/>
      <c r="R18" s="609"/>
      <c r="S18" s="609"/>
      <c r="T18" s="609"/>
      <c r="U18" s="609"/>
      <c r="V18" s="609"/>
      <c r="W18" s="609"/>
      <c r="X18" s="609"/>
      <c r="Y18" s="609"/>
      <c r="Z18" s="609"/>
      <c r="AA18" s="610"/>
      <c r="AB18" s="601" t="s">
        <v>2826</v>
      </c>
      <c r="AC18" s="602"/>
      <c r="AD18" s="602"/>
      <c r="AE18" s="602"/>
      <c r="AF18" s="602"/>
      <c r="AG18" s="602"/>
      <c r="AH18" s="602"/>
      <c r="AI18" s="603"/>
      <c r="AJ18" s="601" t="s">
        <v>2827</v>
      </c>
      <c r="AK18" s="602"/>
      <c r="AL18" s="602"/>
      <c r="AM18" s="602"/>
      <c r="AN18" s="602"/>
      <c r="AO18" s="602"/>
      <c r="AP18" s="602"/>
      <c r="AQ18" s="603"/>
      <c r="AR18" s="601" t="s">
        <v>2828</v>
      </c>
      <c r="AS18" s="602"/>
      <c r="AT18" s="602"/>
      <c r="AU18" s="602"/>
      <c r="AV18" s="602"/>
      <c r="AW18" s="602"/>
      <c r="AX18" s="602"/>
      <c r="AY18" s="603"/>
      <c r="AZ18" s="601" t="s">
        <v>2829</v>
      </c>
      <c r="BA18" s="602"/>
      <c r="BB18" s="602"/>
      <c r="BC18" s="602"/>
      <c r="BD18" s="602"/>
      <c r="BE18" s="602"/>
      <c r="BF18" s="602"/>
      <c r="BG18" s="603"/>
      <c r="BH18" s="607" t="s">
        <v>2830</v>
      </c>
      <c r="BI18" s="608"/>
      <c r="BJ18" s="608"/>
      <c r="BK18" s="608"/>
      <c r="BL18" s="608"/>
      <c r="BM18" s="608"/>
      <c r="BN18" s="609"/>
      <c r="BO18" s="610"/>
      <c r="BP18" s="607" t="s">
        <v>2831</v>
      </c>
      <c r="BQ18" s="608"/>
      <c r="BR18" s="608"/>
      <c r="BS18" s="608"/>
      <c r="BT18" s="608"/>
      <c r="BU18" s="608"/>
      <c r="BV18" s="609"/>
      <c r="BW18" s="610"/>
      <c r="BX18" s="607" t="s">
        <v>2832</v>
      </c>
      <c r="BY18" s="608"/>
      <c r="BZ18" s="608"/>
      <c r="CA18" s="608"/>
      <c r="CB18" s="608"/>
      <c r="CC18" s="608"/>
      <c r="CD18" s="609"/>
      <c r="CE18" s="610"/>
      <c r="CF18" s="607" t="s">
        <v>2833</v>
      </c>
      <c r="CG18" s="608"/>
      <c r="CH18" s="608"/>
      <c r="CI18" s="608"/>
      <c r="CJ18" s="608"/>
      <c r="CK18" s="608"/>
      <c r="CL18" s="609"/>
      <c r="CM18" s="610"/>
      <c r="CN18" s="586" t="s">
        <v>2824</v>
      </c>
      <c r="CO18" s="587"/>
      <c r="CP18" s="587"/>
      <c r="CQ18" s="587"/>
      <c r="CR18" s="587"/>
      <c r="CS18" s="587"/>
      <c r="CT18" s="587"/>
      <c r="CU18" s="588"/>
      <c r="CV18" s="27"/>
      <c r="DA18" s="241"/>
    </row>
    <row r="19" spans="1:113" ht="24" customHeight="1" x14ac:dyDescent="0.3">
      <c r="A19" s="42"/>
      <c r="B19" s="605"/>
      <c r="C19" s="605"/>
      <c r="D19" s="605"/>
      <c r="E19" s="605"/>
      <c r="F19" s="605"/>
      <c r="G19" s="605"/>
      <c r="H19" s="605"/>
      <c r="I19" s="605"/>
      <c r="J19" s="605"/>
      <c r="K19" s="605"/>
      <c r="L19" s="605"/>
      <c r="M19" s="605"/>
      <c r="N19" s="605"/>
      <c r="O19" s="605"/>
      <c r="P19" s="605"/>
      <c r="Q19" s="605"/>
      <c r="R19" s="605"/>
      <c r="S19" s="605"/>
      <c r="T19" s="605"/>
      <c r="U19" s="605"/>
      <c r="V19" s="605"/>
      <c r="W19" s="605"/>
      <c r="X19" s="605"/>
      <c r="Y19" s="605"/>
      <c r="Z19" s="605"/>
      <c r="AA19" s="606"/>
      <c r="AB19" s="604"/>
      <c r="AC19" s="605"/>
      <c r="AD19" s="605"/>
      <c r="AE19" s="605"/>
      <c r="AF19" s="605"/>
      <c r="AG19" s="605"/>
      <c r="AH19" s="605"/>
      <c r="AI19" s="606"/>
      <c r="AJ19" s="604"/>
      <c r="AK19" s="605"/>
      <c r="AL19" s="605"/>
      <c r="AM19" s="605"/>
      <c r="AN19" s="605"/>
      <c r="AO19" s="605"/>
      <c r="AP19" s="605"/>
      <c r="AQ19" s="606"/>
      <c r="AR19" s="604"/>
      <c r="AS19" s="605"/>
      <c r="AT19" s="605"/>
      <c r="AU19" s="605"/>
      <c r="AV19" s="605"/>
      <c r="AW19" s="605"/>
      <c r="AX19" s="605"/>
      <c r="AY19" s="606"/>
      <c r="AZ19" s="604"/>
      <c r="BA19" s="605"/>
      <c r="BB19" s="605"/>
      <c r="BC19" s="605"/>
      <c r="BD19" s="605"/>
      <c r="BE19" s="605"/>
      <c r="BF19" s="605"/>
      <c r="BG19" s="606"/>
      <c r="BH19" s="611"/>
      <c r="BI19" s="612"/>
      <c r="BJ19" s="612"/>
      <c r="BK19" s="612"/>
      <c r="BL19" s="612"/>
      <c r="BM19" s="608"/>
      <c r="BN19" s="609"/>
      <c r="BO19" s="610"/>
      <c r="BP19" s="607"/>
      <c r="BQ19" s="608"/>
      <c r="BR19" s="608"/>
      <c r="BS19" s="608"/>
      <c r="BT19" s="608"/>
      <c r="BU19" s="608"/>
      <c r="BV19" s="609"/>
      <c r="BW19" s="610"/>
      <c r="BX19" s="607"/>
      <c r="BY19" s="608"/>
      <c r="BZ19" s="608"/>
      <c r="CA19" s="608"/>
      <c r="CB19" s="608"/>
      <c r="CC19" s="608"/>
      <c r="CD19" s="609"/>
      <c r="CE19" s="610"/>
      <c r="CF19" s="607"/>
      <c r="CG19" s="608"/>
      <c r="CH19" s="608"/>
      <c r="CI19" s="608"/>
      <c r="CJ19" s="608"/>
      <c r="CK19" s="608"/>
      <c r="CL19" s="609"/>
      <c r="CM19" s="610"/>
      <c r="CN19" s="589"/>
      <c r="CO19" s="590"/>
      <c r="CP19" s="590"/>
      <c r="CQ19" s="590"/>
      <c r="CR19" s="590"/>
      <c r="CS19" s="590"/>
      <c r="CT19" s="590"/>
      <c r="CU19" s="591"/>
      <c r="CV19" s="27"/>
    </row>
    <row r="20" spans="1:113" ht="18" x14ac:dyDescent="0.35">
      <c r="A20" s="35"/>
      <c r="B20" s="554" t="s">
        <v>2837</v>
      </c>
      <c r="C20" s="556"/>
      <c r="D20" s="556"/>
      <c r="E20" s="556"/>
      <c r="F20" s="556"/>
      <c r="G20" s="556"/>
      <c r="H20" s="556"/>
      <c r="I20" s="556"/>
      <c r="J20" s="556"/>
      <c r="K20" s="556"/>
      <c r="L20" s="556"/>
      <c r="M20" s="556"/>
      <c r="N20" s="556"/>
      <c r="O20" s="556"/>
      <c r="P20" s="556"/>
      <c r="Q20" s="556"/>
      <c r="R20" s="556"/>
      <c r="S20" s="556"/>
      <c r="T20" s="556"/>
      <c r="U20" s="556"/>
      <c r="V20" s="556"/>
      <c r="W20" s="556"/>
      <c r="X20" s="556"/>
      <c r="Y20" s="556"/>
      <c r="Z20" s="556"/>
      <c r="AA20" s="709"/>
      <c r="AB20" s="560"/>
      <c r="AC20" s="561"/>
      <c r="AD20" s="561"/>
      <c r="AE20" s="561"/>
      <c r="AF20" s="561"/>
      <c r="AG20" s="561"/>
      <c r="AH20" s="561"/>
      <c r="AI20" s="562"/>
      <c r="AJ20" s="560"/>
      <c r="AK20" s="561"/>
      <c r="AL20" s="561"/>
      <c r="AM20" s="561"/>
      <c r="AN20" s="561"/>
      <c r="AO20" s="561"/>
      <c r="AP20" s="561"/>
      <c r="AQ20" s="562"/>
      <c r="AR20" s="560"/>
      <c r="AS20" s="561"/>
      <c r="AT20" s="561"/>
      <c r="AU20" s="561"/>
      <c r="AV20" s="561"/>
      <c r="AW20" s="561"/>
      <c r="AX20" s="561"/>
      <c r="AY20" s="562"/>
      <c r="AZ20" s="560"/>
      <c r="BA20" s="561"/>
      <c r="BB20" s="561"/>
      <c r="BC20" s="561"/>
      <c r="BD20" s="561"/>
      <c r="BE20" s="561"/>
      <c r="BF20" s="561"/>
      <c r="BG20" s="562"/>
      <c r="BH20" s="656"/>
      <c r="BI20" s="657"/>
      <c r="BJ20" s="657"/>
      <c r="BK20" s="657"/>
      <c r="BL20" s="657"/>
      <c r="BM20" s="657"/>
      <c r="BN20" s="657"/>
      <c r="BO20" s="658"/>
      <c r="BP20" s="656"/>
      <c r="BQ20" s="657"/>
      <c r="BR20" s="657"/>
      <c r="BS20" s="657"/>
      <c r="BT20" s="657"/>
      <c r="BU20" s="657"/>
      <c r="BV20" s="657"/>
      <c r="BW20" s="658"/>
      <c r="BX20" s="656"/>
      <c r="BY20" s="657"/>
      <c r="BZ20" s="657"/>
      <c r="CA20" s="657"/>
      <c r="CB20" s="657"/>
      <c r="CC20" s="657"/>
      <c r="CD20" s="657"/>
      <c r="CE20" s="658"/>
      <c r="CF20" s="656"/>
      <c r="CG20" s="657"/>
      <c r="CH20" s="657"/>
      <c r="CI20" s="657"/>
      <c r="CJ20" s="657"/>
      <c r="CK20" s="657"/>
      <c r="CL20" s="657"/>
      <c r="CM20" s="658"/>
      <c r="CN20" s="667"/>
      <c r="CO20" s="668"/>
      <c r="CP20" s="668"/>
      <c r="CQ20" s="668"/>
      <c r="CR20" s="668"/>
      <c r="CS20" s="668"/>
      <c r="CT20" s="668"/>
      <c r="CU20" s="669"/>
      <c r="CV20" s="27"/>
      <c r="CZ20" s="247" t="s">
        <v>2859</v>
      </c>
      <c r="DA20" s="242" t="s">
        <v>2851</v>
      </c>
      <c r="DB20" s="242" t="s">
        <v>2852</v>
      </c>
      <c r="DC20" s="242" t="s">
        <v>2853</v>
      </c>
      <c r="DD20" s="242" t="s">
        <v>2854</v>
      </c>
      <c r="DE20" s="242" t="s">
        <v>2855</v>
      </c>
      <c r="DF20" s="242" t="s">
        <v>2856</v>
      </c>
      <c r="DG20" s="242" t="s">
        <v>2857</v>
      </c>
      <c r="DH20" s="242" t="s">
        <v>2858</v>
      </c>
      <c r="DI20" s="250" t="str">
        <f>CONCATENATE("BySelectedRptQtr(",'VETS-701 Tech Perf Report'!outReportQtr,")")</f>
        <v>BySelectedRptQtr(1)</v>
      </c>
    </row>
    <row r="21" spans="1:113" ht="18" x14ac:dyDescent="0.35">
      <c r="A21" s="34"/>
      <c r="B21" s="63" t="s">
        <v>2643</v>
      </c>
      <c r="C21" s="544" t="s">
        <v>2505</v>
      </c>
      <c r="D21" s="544"/>
      <c r="E21" s="544"/>
      <c r="F21" s="544"/>
      <c r="G21" s="544"/>
      <c r="H21" s="544"/>
      <c r="I21" s="544"/>
      <c r="J21" s="544"/>
      <c r="K21" s="544"/>
      <c r="L21" s="544"/>
      <c r="M21" s="544"/>
      <c r="N21" s="544"/>
      <c r="O21" s="544"/>
      <c r="P21" s="544"/>
      <c r="Q21" s="544"/>
      <c r="R21" s="544"/>
      <c r="S21" s="544"/>
      <c r="T21" s="544"/>
      <c r="U21" s="544"/>
      <c r="V21" s="544"/>
      <c r="W21" s="544"/>
      <c r="X21" s="544"/>
      <c r="Y21" s="544"/>
      <c r="Z21" s="544"/>
      <c r="AA21" s="545"/>
      <c r="AB21" s="570"/>
      <c r="AC21" s="571"/>
      <c r="AD21" s="571"/>
      <c r="AE21" s="571"/>
      <c r="AF21" s="571"/>
      <c r="AG21" s="571"/>
      <c r="AH21" s="571"/>
      <c r="AI21" s="655"/>
      <c r="AJ21" s="570"/>
      <c r="AK21" s="571"/>
      <c r="AL21" s="571"/>
      <c r="AM21" s="571"/>
      <c r="AN21" s="571"/>
      <c r="AO21" s="571"/>
      <c r="AP21" s="571"/>
      <c r="AQ21" s="655"/>
      <c r="AR21" s="570"/>
      <c r="AS21" s="571"/>
      <c r="AT21" s="571"/>
      <c r="AU21" s="571"/>
      <c r="AV21" s="571"/>
      <c r="AW21" s="571"/>
      <c r="AX21" s="571"/>
      <c r="AY21" s="655"/>
      <c r="AZ21" s="570"/>
      <c r="BA21" s="571"/>
      <c r="BB21" s="571"/>
      <c r="BC21" s="571"/>
      <c r="BD21" s="571"/>
      <c r="BE21" s="571"/>
      <c r="BF21" s="571"/>
      <c r="BG21" s="655"/>
      <c r="BH21" s="479"/>
      <c r="BI21" s="480"/>
      <c r="BJ21" s="480"/>
      <c r="BK21" s="480"/>
      <c r="BL21" s="480"/>
      <c r="BM21" s="480"/>
      <c r="BN21" s="480"/>
      <c r="BO21" s="481"/>
      <c r="BP21" s="484"/>
      <c r="BQ21" s="480"/>
      <c r="BR21" s="480"/>
      <c r="BS21" s="480"/>
      <c r="BT21" s="480"/>
      <c r="BU21" s="480"/>
      <c r="BV21" s="480"/>
      <c r="BW21" s="481"/>
      <c r="BX21" s="484"/>
      <c r="BY21" s="480"/>
      <c r="BZ21" s="480"/>
      <c r="CA21" s="480"/>
      <c r="CB21" s="480"/>
      <c r="CC21" s="480"/>
      <c r="CD21" s="480"/>
      <c r="CE21" s="481"/>
      <c r="CF21" s="484"/>
      <c r="CG21" s="480"/>
      <c r="CH21" s="480"/>
      <c r="CI21" s="480"/>
      <c r="CJ21" s="480"/>
      <c r="CK21" s="480"/>
      <c r="CL21" s="480"/>
      <c r="CM21" s="645"/>
      <c r="CN21" s="659">
        <f>SUM(IFERROR(ROUND(AB21,0),0),IFERROR(ROUND(AJ21,0),0),IFERROR(ROUND(AR21,0),0),IFERROR(ROUND(AZ21,0),0))</f>
        <v>0</v>
      </c>
      <c r="CO21" s="660"/>
      <c r="CP21" s="660"/>
      <c r="CQ21" s="660"/>
      <c r="CR21" s="660"/>
      <c r="CS21" s="660"/>
      <c r="CT21" s="660"/>
      <c r="CU21" s="661"/>
      <c r="CV21" s="27"/>
      <c r="CZ21" s="243" t="s">
        <v>2848</v>
      </c>
      <c r="DA21" s="244">
        <f>IFERROR(ROUND(AB21,0),0)</f>
        <v>0</v>
      </c>
      <c r="DB21" s="245">
        <f>IFERROR(ROUND(AB21,0),0)+IFERROR(ROUND(AJ21,0),0)</f>
        <v>0</v>
      </c>
      <c r="DC21" s="245">
        <f>IFERROR(ROUND(AB21,0),0)+IFERROR(ROUND(AJ21,0),0)+IFERROR(ROUND(AR21,0),0)</f>
        <v>0</v>
      </c>
      <c r="DD21" s="245">
        <f>IFERROR(ROUND(AB21,0),0)+IFERROR(ROUND(AJ21,0),0)+IFERROR(ROUND(AR21,0),0)+IFERROR(ROUND(AZ21,0),0)</f>
        <v>0</v>
      </c>
      <c r="DE21" s="245">
        <f>DD21</f>
        <v>0</v>
      </c>
      <c r="DF21" s="245">
        <f>DD21</f>
        <v>0</v>
      </c>
      <c r="DG21" s="245">
        <f>DD21</f>
        <v>0</v>
      </c>
      <c r="DH21" s="245">
        <f>DD21</f>
        <v>0</v>
      </c>
      <c r="DI21" s="244">
        <f ca="1">OFFSET(CZ21,0,'VETS-701 Tech Perf Report'!outReportQtr)</f>
        <v>0</v>
      </c>
    </row>
    <row r="22" spans="1:113" ht="18" x14ac:dyDescent="0.35">
      <c r="A22" s="34"/>
      <c r="B22" s="63" t="s">
        <v>2644</v>
      </c>
      <c r="C22" s="544" t="s">
        <v>2509</v>
      </c>
      <c r="D22" s="544"/>
      <c r="E22" s="544"/>
      <c r="F22" s="544"/>
      <c r="G22" s="544"/>
      <c r="H22" s="544"/>
      <c r="I22" s="544"/>
      <c r="J22" s="544"/>
      <c r="K22" s="544"/>
      <c r="L22" s="544"/>
      <c r="M22" s="544"/>
      <c r="N22" s="544"/>
      <c r="O22" s="544"/>
      <c r="P22" s="544"/>
      <c r="Q22" s="544"/>
      <c r="R22" s="544"/>
      <c r="S22" s="544"/>
      <c r="T22" s="544"/>
      <c r="U22" s="544"/>
      <c r="V22" s="544"/>
      <c r="W22" s="544"/>
      <c r="X22" s="544"/>
      <c r="Y22" s="544"/>
      <c r="Z22" s="544"/>
      <c r="AA22" s="545"/>
      <c r="AB22" s="655"/>
      <c r="AC22" s="512"/>
      <c r="AD22" s="512"/>
      <c r="AE22" s="512"/>
      <c r="AF22" s="512"/>
      <c r="AG22" s="512"/>
      <c r="AH22" s="670"/>
      <c r="AI22" s="671"/>
      <c r="AJ22" s="512"/>
      <c r="AK22" s="512"/>
      <c r="AL22" s="512"/>
      <c r="AM22" s="512"/>
      <c r="AN22" s="512"/>
      <c r="AO22" s="512"/>
      <c r="AP22" s="670"/>
      <c r="AQ22" s="671"/>
      <c r="AR22" s="512"/>
      <c r="AS22" s="512"/>
      <c r="AT22" s="512"/>
      <c r="AU22" s="512"/>
      <c r="AV22" s="512"/>
      <c r="AW22" s="512"/>
      <c r="AX22" s="670"/>
      <c r="AY22" s="671"/>
      <c r="AZ22" s="512"/>
      <c r="BA22" s="512"/>
      <c r="BB22" s="512"/>
      <c r="BC22" s="512"/>
      <c r="BD22" s="512"/>
      <c r="BE22" s="512"/>
      <c r="BF22" s="670"/>
      <c r="BG22" s="671"/>
      <c r="BH22" s="468"/>
      <c r="BI22" s="469"/>
      <c r="BJ22" s="469"/>
      <c r="BK22" s="469"/>
      <c r="BL22" s="469"/>
      <c r="BM22" s="469"/>
      <c r="BN22" s="469"/>
      <c r="BO22" s="470"/>
      <c r="BP22" s="471"/>
      <c r="BQ22" s="469"/>
      <c r="BR22" s="469"/>
      <c r="BS22" s="469"/>
      <c r="BT22" s="469"/>
      <c r="BU22" s="469"/>
      <c r="BV22" s="469"/>
      <c r="BW22" s="470"/>
      <c r="BX22" s="472"/>
      <c r="BY22" s="473"/>
      <c r="BZ22" s="473"/>
      <c r="CA22" s="473"/>
      <c r="CB22" s="473"/>
      <c r="CC22" s="473"/>
      <c r="CD22" s="473"/>
      <c r="CE22" s="474"/>
      <c r="CF22" s="471"/>
      <c r="CG22" s="469"/>
      <c r="CH22" s="469"/>
      <c r="CI22" s="469"/>
      <c r="CJ22" s="469"/>
      <c r="CK22" s="469"/>
      <c r="CL22" s="469"/>
      <c r="CM22" s="502"/>
      <c r="CN22" s="663">
        <f>SUM(IFERROR(ROUND(AB22,0),0),IFERROR(ROUND(AJ22,0),0),IFERROR(ROUND(AR22,0),0),IFERROR(ROUND(AZ22,0),0))</f>
        <v>0</v>
      </c>
      <c r="CO22" s="660"/>
      <c r="CP22" s="660"/>
      <c r="CQ22" s="660"/>
      <c r="CR22" s="660"/>
      <c r="CS22" s="660"/>
      <c r="CT22" s="660"/>
      <c r="CU22" s="661"/>
      <c r="CV22" s="27"/>
      <c r="CZ22" s="243" t="s">
        <v>2861</v>
      </c>
      <c r="DA22" s="244">
        <f>IFERROR(ROUND(AB22,0),0)</f>
        <v>0</v>
      </c>
      <c r="DB22" s="245">
        <f>IFERROR(ROUND(AB22,0),0)+IFERROR(ROUND(AJ22,0),0)</f>
        <v>0</v>
      </c>
      <c r="DC22" s="245">
        <f>IFERROR(ROUND(AB22,0),0)+IFERROR(ROUND(AJ22,0),0)+IFERROR(ROUND(AR22,0),0)</f>
        <v>0</v>
      </c>
      <c r="DD22" s="245">
        <f>IFERROR(ROUND(AB22,0),0)+IFERROR(ROUND(AJ22,0),0)+IFERROR(ROUND(AR22,0),0)+IFERROR(ROUND(AZ22,0),0)</f>
        <v>0</v>
      </c>
      <c r="DE22" s="245">
        <f>DD22</f>
        <v>0</v>
      </c>
      <c r="DF22" s="245">
        <f>DD22</f>
        <v>0</v>
      </c>
      <c r="DG22" s="245">
        <f>DD22</f>
        <v>0</v>
      </c>
      <c r="DH22" s="245">
        <f>DD22</f>
        <v>0</v>
      </c>
      <c r="DI22" s="244">
        <f ca="1">OFFSET(CZ22,0,'VETS-701 Tech Perf Report'!outReportQtr)</f>
        <v>0</v>
      </c>
    </row>
    <row r="23" spans="1:113" ht="18" x14ac:dyDescent="0.35">
      <c r="A23" s="34"/>
      <c r="B23" s="63" t="s">
        <v>2645</v>
      </c>
      <c r="C23" s="544" t="s">
        <v>2768</v>
      </c>
      <c r="D23" s="544"/>
      <c r="E23" s="544"/>
      <c r="F23" s="544"/>
      <c r="G23" s="544"/>
      <c r="H23" s="544"/>
      <c r="I23" s="544"/>
      <c r="J23" s="544"/>
      <c r="K23" s="544"/>
      <c r="L23" s="544"/>
      <c r="M23" s="544"/>
      <c r="N23" s="544"/>
      <c r="O23" s="544"/>
      <c r="P23" s="544"/>
      <c r="Q23" s="544"/>
      <c r="R23" s="544"/>
      <c r="S23" s="544"/>
      <c r="T23" s="544"/>
      <c r="U23" s="544"/>
      <c r="V23" s="544"/>
      <c r="W23" s="544"/>
      <c r="X23" s="544"/>
      <c r="Y23" s="544"/>
      <c r="Z23" s="544"/>
      <c r="AA23" s="545"/>
      <c r="AB23" s="672"/>
      <c r="AC23" s="673"/>
      <c r="AD23" s="673"/>
      <c r="AE23" s="673"/>
      <c r="AF23" s="673"/>
      <c r="AG23" s="673"/>
      <c r="AH23" s="674"/>
      <c r="AI23" s="675"/>
      <c r="AJ23" s="673"/>
      <c r="AK23" s="673"/>
      <c r="AL23" s="673"/>
      <c r="AM23" s="673"/>
      <c r="AN23" s="673"/>
      <c r="AO23" s="673"/>
      <c r="AP23" s="674"/>
      <c r="AQ23" s="675"/>
      <c r="AR23" s="673"/>
      <c r="AS23" s="673"/>
      <c r="AT23" s="673"/>
      <c r="AU23" s="673"/>
      <c r="AV23" s="673"/>
      <c r="AW23" s="673"/>
      <c r="AX23" s="674"/>
      <c r="AY23" s="675"/>
      <c r="AZ23" s="673"/>
      <c r="BA23" s="673"/>
      <c r="BB23" s="673"/>
      <c r="BC23" s="673"/>
      <c r="BD23" s="673"/>
      <c r="BE23" s="673"/>
      <c r="BF23" s="674"/>
      <c r="BG23" s="675"/>
      <c r="BH23" s="468"/>
      <c r="BI23" s="469"/>
      <c r="BJ23" s="469"/>
      <c r="BK23" s="469"/>
      <c r="BL23" s="469"/>
      <c r="BM23" s="469"/>
      <c r="BN23" s="469"/>
      <c r="BO23" s="470"/>
      <c r="BP23" s="472"/>
      <c r="BQ23" s="473"/>
      <c r="BR23" s="473"/>
      <c r="BS23" s="473"/>
      <c r="BT23" s="473"/>
      <c r="BU23" s="473"/>
      <c r="BV23" s="473"/>
      <c r="BW23" s="474"/>
      <c r="BX23" s="472"/>
      <c r="BY23" s="473"/>
      <c r="BZ23" s="473"/>
      <c r="CA23" s="473"/>
      <c r="CB23" s="473"/>
      <c r="CC23" s="473"/>
      <c r="CD23" s="473"/>
      <c r="CE23" s="474"/>
      <c r="CF23" s="471"/>
      <c r="CG23" s="469"/>
      <c r="CH23" s="469"/>
      <c r="CI23" s="469"/>
      <c r="CJ23" s="469"/>
      <c r="CK23" s="469"/>
      <c r="CL23" s="469"/>
      <c r="CM23" s="502"/>
      <c r="CN23" s="663">
        <f>SUM(IFERROR(ROUND(AB23,0),0),IFERROR(ROUND(AJ23,0),0),IFERROR(ROUND(AR23,0),0),IFERROR(ROUND(AZ23,0),0))</f>
        <v>0</v>
      </c>
      <c r="CO23" s="660"/>
      <c r="CP23" s="660"/>
      <c r="CQ23" s="660"/>
      <c r="CR23" s="660"/>
      <c r="CS23" s="660"/>
      <c r="CT23" s="660"/>
      <c r="CU23" s="661"/>
      <c r="CV23" s="27"/>
      <c r="CZ23" s="243" t="s">
        <v>2862</v>
      </c>
      <c r="DA23" s="244">
        <f>IFERROR(ROUND(AB23,0),0)</f>
        <v>0</v>
      </c>
      <c r="DB23" s="245">
        <f>IFERROR(ROUND(AB23,0),0)+IFERROR(ROUND(AJ23,0),0)</f>
        <v>0</v>
      </c>
      <c r="DC23" s="245">
        <f>IFERROR(ROUND(AB23,0),0)+IFERROR(ROUND(AJ23,0),0)+IFERROR(ROUND(AR23,0),0)</f>
        <v>0</v>
      </c>
      <c r="DD23" s="245">
        <f>IFERROR(ROUND(AB23,0),0)+IFERROR(ROUND(AJ23,0),0)+IFERROR(ROUND(AR23,0),0)+IFERROR(ROUND(AZ23,0),0)</f>
        <v>0</v>
      </c>
      <c r="DE23" s="245">
        <f>DD23</f>
        <v>0</v>
      </c>
      <c r="DF23" s="245">
        <f>DD23</f>
        <v>0</v>
      </c>
      <c r="DG23" s="245">
        <f>DD23</f>
        <v>0</v>
      </c>
      <c r="DH23" s="245">
        <f>DD23</f>
        <v>0</v>
      </c>
      <c r="DI23" s="244">
        <f ca="1">OFFSET(CZ23,0,'VETS-701 Tech Perf Report'!outReportQtr)</f>
        <v>0</v>
      </c>
    </row>
    <row r="24" spans="1:113" ht="18" x14ac:dyDescent="0.35">
      <c r="A24" s="34"/>
      <c r="B24" s="63" t="s">
        <v>2646</v>
      </c>
      <c r="C24" s="544" t="s">
        <v>2507</v>
      </c>
      <c r="D24" s="544"/>
      <c r="E24" s="544"/>
      <c r="F24" s="544"/>
      <c r="G24" s="544"/>
      <c r="H24" s="544"/>
      <c r="I24" s="544"/>
      <c r="J24" s="544"/>
      <c r="K24" s="544"/>
      <c r="L24" s="544"/>
      <c r="M24" s="544"/>
      <c r="N24" s="544"/>
      <c r="O24" s="544"/>
      <c r="P24" s="544"/>
      <c r="Q24" s="544"/>
      <c r="R24" s="544"/>
      <c r="S24" s="544"/>
      <c r="T24" s="544"/>
      <c r="U24" s="544"/>
      <c r="V24" s="544"/>
      <c r="W24" s="544"/>
      <c r="X24" s="544"/>
      <c r="Y24" s="544"/>
      <c r="Z24" s="544"/>
      <c r="AA24" s="545"/>
      <c r="AB24" s="464"/>
      <c r="AC24" s="524"/>
      <c r="AD24" s="524"/>
      <c r="AE24" s="524"/>
      <c r="AF24" s="524"/>
      <c r="AG24" s="524"/>
      <c r="AH24" s="676"/>
      <c r="AI24" s="677"/>
      <c r="AJ24" s="524"/>
      <c r="AK24" s="524"/>
      <c r="AL24" s="524"/>
      <c r="AM24" s="524"/>
      <c r="AN24" s="524"/>
      <c r="AO24" s="524"/>
      <c r="AP24" s="676"/>
      <c r="AQ24" s="677"/>
      <c r="AR24" s="524"/>
      <c r="AS24" s="524"/>
      <c r="AT24" s="524"/>
      <c r="AU24" s="524"/>
      <c r="AV24" s="524"/>
      <c r="AW24" s="524"/>
      <c r="AX24" s="676"/>
      <c r="AY24" s="677"/>
      <c r="AZ24" s="524"/>
      <c r="BA24" s="524"/>
      <c r="BB24" s="524"/>
      <c r="BC24" s="524"/>
      <c r="BD24" s="524"/>
      <c r="BE24" s="524"/>
      <c r="BF24" s="676"/>
      <c r="BG24" s="677"/>
      <c r="BH24" s="468"/>
      <c r="BI24" s="469"/>
      <c r="BJ24" s="469"/>
      <c r="BK24" s="469"/>
      <c r="BL24" s="469"/>
      <c r="BM24" s="469"/>
      <c r="BN24" s="469"/>
      <c r="BO24" s="470"/>
      <c r="BP24" s="472"/>
      <c r="BQ24" s="473"/>
      <c r="BR24" s="473"/>
      <c r="BS24" s="473"/>
      <c r="BT24" s="473"/>
      <c r="BU24" s="473"/>
      <c r="BV24" s="473"/>
      <c r="BW24" s="474"/>
      <c r="BX24" s="472"/>
      <c r="BY24" s="473"/>
      <c r="BZ24" s="473"/>
      <c r="CA24" s="473"/>
      <c r="CB24" s="473"/>
      <c r="CC24" s="473"/>
      <c r="CD24" s="473"/>
      <c r="CE24" s="474"/>
      <c r="CF24" s="471"/>
      <c r="CG24" s="469"/>
      <c r="CH24" s="469"/>
      <c r="CI24" s="469"/>
      <c r="CJ24" s="469"/>
      <c r="CK24" s="469"/>
      <c r="CL24" s="469"/>
      <c r="CM24" s="502"/>
      <c r="CN24" s="519">
        <f>IF(SUM(ROUND(AB23,0),ROUND(AJ23,0),ROUND(AR23,0),ROUND(AZ23,0))&gt;0,((ROUND(AB23,0)*AB24)+(ROUND(AJ23,0)*AJ24)+(ROUND(AR23,0)*AR24)+(ROUND(AZ23,0)*AZ24))/SUM(ROUND(AB23,0),ROUND(AJ23,0),ROUND(AR23,0),ROUND(AZ23,0)),0)</f>
        <v>0</v>
      </c>
      <c r="CO24" s="519"/>
      <c r="CP24" s="519"/>
      <c r="CQ24" s="519"/>
      <c r="CR24" s="519"/>
      <c r="CS24" s="519"/>
      <c r="CT24" s="519"/>
      <c r="CU24" s="662"/>
      <c r="CV24" s="27"/>
      <c r="CZ24" s="243" t="s">
        <v>2865</v>
      </c>
      <c r="DA24" s="256">
        <f>IFERROR(ROUND(AB24,2),0)</f>
        <v>0</v>
      </c>
      <c r="DB24" s="256">
        <f>IF(DB23&gt;0,((IFERROR(ROUND(AB24,2),0)*IFERROR(ROUND(AB23,0),0))+(IFERROR(ROUND(AJ24,2),0)*IFERROR(ROUND(AJ23,0),0)))/DB23,0)</f>
        <v>0</v>
      </c>
      <c r="DC24" s="256">
        <f>IF(DC23&gt;0,((IFERROR(ROUND(AB24,2),0)*IFERROR(ROUND(AB23,0),0))+(IFERROR(ROUND(AJ24,2),0)*IFERROR(ROUND(AJ23,0),0))+(IFERROR(ROUND(AR24,2),0)*IFERROR(ROUND(AR23,0),0)))/DC23,0)</f>
        <v>0</v>
      </c>
      <c r="DD24" s="256">
        <f>IF(DD23&gt;0,((IFERROR(ROUND(AB24,2),0)*IFERROR(ROUND(AB23,0),0))+(IFERROR(ROUND(AJ24,2),0)*IFERROR(ROUND(AJ23,0),0))+(IFERROR(ROUND(AR24,2),0)*IFERROR(ROUND(AR23,0),0))+(IFERROR(ROUND(AZ24,2),0)*IFERROR(ROUND(AZ23,0),0)))/DD23,0)</f>
        <v>0</v>
      </c>
      <c r="DE24" s="256">
        <f t="shared" ref="DE24:DE26" si="0">DD24</f>
        <v>0</v>
      </c>
      <c r="DF24" s="256">
        <f t="shared" ref="DF24:DF26" si="1">DD24</f>
        <v>0</v>
      </c>
      <c r="DG24" s="256">
        <f t="shared" ref="DG24:DG26" si="2">DD24</f>
        <v>0</v>
      </c>
      <c r="DH24" s="256">
        <f t="shared" ref="DH24:DH26" si="3">DD24</f>
        <v>0</v>
      </c>
      <c r="DI24" s="256">
        <f ca="1">OFFSET(CZ24,0,'VETS-701 Tech Perf Report'!outReportQtr)</f>
        <v>0</v>
      </c>
    </row>
    <row r="25" spans="1:113" ht="18" x14ac:dyDescent="0.35">
      <c r="A25" s="34"/>
      <c r="B25" s="64" t="s">
        <v>2647</v>
      </c>
      <c r="C25" s="546" t="s">
        <v>2920</v>
      </c>
      <c r="D25" s="546"/>
      <c r="E25" s="546"/>
      <c r="F25" s="546"/>
      <c r="G25" s="546"/>
      <c r="H25" s="546"/>
      <c r="I25" s="546"/>
      <c r="J25" s="546"/>
      <c r="K25" s="546"/>
      <c r="L25" s="546"/>
      <c r="M25" s="546"/>
      <c r="N25" s="546"/>
      <c r="O25" s="546"/>
      <c r="P25" s="546"/>
      <c r="Q25" s="546"/>
      <c r="R25" s="546"/>
      <c r="S25" s="546"/>
      <c r="T25" s="546"/>
      <c r="U25" s="546"/>
      <c r="V25" s="546"/>
      <c r="W25" s="546"/>
      <c r="X25" s="546"/>
      <c r="Y25" s="546"/>
      <c r="Z25" s="546"/>
      <c r="AA25" s="545"/>
      <c r="AB25" s="678">
        <f>IF(AB26&gt;0,ROUND(AB23,0)/ROUND(AB26,0),0)</f>
        <v>0</v>
      </c>
      <c r="AC25" s="527"/>
      <c r="AD25" s="527"/>
      <c r="AE25" s="527"/>
      <c r="AF25" s="527"/>
      <c r="AG25" s="527"/>
      <c r="AH25" s="528"/>
      <c r="AI25" s="529"/>
      <c r="AJ25" s="678">
        <f>IF(AJ26&gt;0,ROUND(AJ23,0)/ROUND(AJ26,0),0)</f>
        <v>0</v>
      </c>
      <c r="AK25" s="527"/>
      <c r="AL25" s="527"/>
      <c r="AM25" s="527"/>
      <c r="AN25" s="527"/>
      <c r="AO25" s="527"/>
      <c r="AP25" s="528"/>
      <c r="AQ25" s="529"/>
      <c r="AR25" s="678">
        <f>IF(AR26&gt;0,ROUND(AR23,0)/ROUND(AR26,0),0)</f>
        <v>0</v>
      </c>
      <c r="AS25" s="527"/>
      <c r="AT25" s="527"/>
      <c r="AU25" s="527"/>
      <c r="AV25" s="527"/>
      <c r="AW25" s="527"/>
      <c r="AX25" s="528"/>
      <c r="AY25" s="529"/>
      <c r="AZ25" s="678">
        <f>IF(AZ26&gt;0,ROUND(AZ23,0)/ROUND(AZ26,0),0)</f>
        <v>0</v>
      </c>
      <c r="BA25" s="527"/>
      <c r="BB25" s="527"/>
      <c r="BC25" s="527"/>
      <c r="BD25" s="527"/>
      <c r="BE25" s="527"/>
      <c r="BF25" s="528"/>
      <c r="BG25" s="529"/>
      <c r="BH25" s="468"/>
      <c r="BI25" s="469"/>
      <c r="BJ25" s="469"/>
      <c r="BK25" s="469"/>
      <c r="BL25" s="469"/>
      <c r="BM25" s="469"/>
      <c r="BN25" s="469"/>
      <c r="BO25" s="470"/>
      <c r="BP25" s="472"/>
      <c r="BQ25" s="473"/>
      <c r="BR25" s="473"/>
      <c r="BS25" s="473"/>
      <c r="BT25" s="473"/>
      <c r="BU25" s="473"/>
      <c r="BV25" s="473"/>
      <c r="BW25" s="474"/>
      <c r="BX25" s="472"/>
      <c r="BY25" s="473"/>
      <c r="BZ25" s="473"/>
      <c r="CA25" s="473"/>
      <c r="CB25" s="473"/>
      <c r="CC25" s="473"/>
      <c r="CD25" s="473"/>
      <c r="CE25" s="474"/>
      <c r="CF25" s="471"/>
      <c r="CG25" s="469"/>
      <c r="CH25" s="469"/>
      <c r="CI25" s="469"/>
      <c r="CJ25" s="469"/>
      <c r="CK25" s="469"/>
      <c r="CL25" s="469"/>
      <c r="CM25" s="502"/>
      <c r="CN25" s="665">
        <f>IF(CN26&gt;0,CN23/CN26,0)</f>
        <v>0</v>
      </c>
      <c r="CO25" s="665"/>
      <c r="CP25" s="665"/>
      <c r="CQ25" s="665"/>
      <c r="CR25" s="665"/>
      <c r="CS25" s="665"/>
      <c r="CT25" s="665"/>
      <c r="CU25" s="666"/>
      <c r="CV25" s="27"/>
      <c r="CZ25" s="243" t="s">
        <v>2866</v>
      </c>
      <c r="DA25" s="255">
        <f>IF(DA26&gt;0,DA23/DA26,0)</f>
        <v>0</v>
      </c>
      <c r="DB25" s="255">
        <f>IF(DB26&gt;0,DB23/DB26,0)</f>
        <v>0</v>
      </c>
      <c r="DC25" s="255">
        <f>IF(DC26&gt;0,DC23/DC26,0)</f>
        <v>0</v>
      </c>
      <c r="DD25" s="255">
        <f>IF(DD26&gt;0,DD23/DD26,0)</f>
        <v>0</v>
      </c>
      <c r="DE25" s="255">
        <f t="shared" si="0"/>
        <v>0</v>
      </c>
      <c r="DF25" s="255">
        <f t="shared" si="1"/>
        <v>0</v>
      </c>
      <c r="DG25" s="255">
        <f t="shared" si="2"/>
        <v>0</v>
      </c>
      <c r="DH25" s="255">
        <f t="shared" si="3"/>
        <v>0</v>
      </c>
      <c r="DI25" s="255">
        <f ca="1">OFFSET(CZ25,0,'VETS-701 Tech Perf Report'!outReportQtr)</f>
        <v>0</v>
      </c>
    </row>
    <row r="26" spans="1:113" ht="18" x14ac:dyDescent="0.35">
      <c r="A26" s="34"/>
      <c r="B26" s="63" t="s">
        <v>2648</v>
      </c>
      <c r="C26" s="544" t="s">
        <v>2508</v>
      </c>
      <c r="D26" s="544"/>
      <c r="E26" s="544"/>
      <c r="F26" s="544"/>
      <c r="G26" s="544"/>
      <c r="H26" s="544"/>
      <c r="I26" s="544"/>
      <c r="J26" s="544"/>
      <c r="K26" s="544"/>
      <c r="L26" s="544"/>
      <c r="M26" s="544"/>
      <c r="N26" s="544"/>
      <c r="O26" s="544"/>
      <c r="P26" s="544"/>
      <c r="Q26" s="544"/>
      <c r="R26" s="544"/>
      <c r="S26" s="544"/>
      <c r="T26" s="544"/>
      <c r="U26" s="544"/>
      <c r="V26" s="544"/>
      <c r="W26" s="544"/>
      <c r="X26" s="544"/>
      <c r="Y26" s="544"/>
      <c r="Z26" s="544"/>
      <c r="AA26" s="545"/>
      <c r="AB26" s="655"/>
      <c r="AC26" s="512"/>
      <c r="AD26" s="512"/>
      <c r="AE26" s="512"/>
      <c r="AF26" s="512"/>
      <c r="AG26" s="512"/>
      <c r="AH26" s="513"/>
      <c r="AI26" s="514"/>
      <c r="AJ26" s="512"/>
      <c r="AK26" s="512"/>
      <c r="AL26" s="512"/>
      <c r="AM26" s="512"/>
      <c r="AN26" s="512"/>
      <c r="AO26" s="512"/>
      <c r="AP26" s="513"/>
      <c r="AQ26" s="514"/>
      <c r="AR26" s="697"/>
      <c r="AS26" s="697"/>
      <c r="AT26" s="697"/>
      <c r="AU26" s="697"/>
      <c r="AV26" s="697"/>
      <c r="AW26" s="697"/>
      <c r="AX26" s="698"/>
      <c r="AY26" s="699"/>
      <c r="AZ26" s="697"/>
      <c r="BA26" s="697"/>
      <c r="BB26" s="697"/>
      <c r="BC26" s="697"/>
      <c r="BD26" s="697"/>
      <c r="BE26" s="697"/>
      <c r="BF26" s="698"/>
      <c r="BG26" s="699"/>
      <c r="BH26" s="482"/>
      <c r="BI26" s="477"/>
      <c r="BJ26" s="477"/>
      <c r="BK26" s="477"/>
      <c r="BL26" s="477"/>
      <c r="BM26" s="477"/>
      <c r="BN26" s="477"/>
      <c r="BO26" s="483"/>
      <c r="BP26" s="488"/>
      <c r="BQ26" s="489"/>
      <c r="BR26" s="489"/>
      <c r="BS26" s="489"/>
      <c r="BT26" s="489"/>
      <c r="BU26" s="489"/>
      <c r="BV26" s="489"/>
      <c r="BW26" s="490"/>
      <c r="BX26" s="472"/>
      <c r="BY26" s="473"/>
      <c r="BZ26" s="473"/>
      <c r="CA26" s="473"/>
      <c r="CB26" s="473"/>
      <c r="CC26" s="473"/>
      <c r="CD26" s="473"/>
      <c r="CE26" s="474"/>
      <c r="CF26" s="471"/>
      <c r="CG26" s="469"/>
      <c r="CH26" s="469"/>
      <c r="CI26" s="469"/>
      <c r="CJ26" s="469"/>
      <c r="CK26" s="469"/>
      <c r="CL26" s="469"/>
      <c r="CM26" s="502"/>
      <c r="CN26" s="663">
        <f>SUM(IFERROR(ROUND(AB26,0),0),IFERROR(ROUND(AJ26,0),0),IFERROR(ROUND(AR26,0),0),IFERROR(ROUND(AZ26,0),0))</f>
        <v>0</v>
      </c>
      <c r="CO26" s="663"/>
      <c r="CP26" s="663"/>
      <c r="CQ26" s="663"/>
      <c r="CR26" s="663"/>
      <c r="CS26" s="663"/>
      <c r="CT26" s="663"/>
      <c r="CU26" s="661"/>
      <c r="CV26" s="27"/>
      <c r="CZ26" s="243" t="s">
        <v>2695</v>
      </c>
      <c r="DA26" s="244">
        <f>IFERROR(ROUND(AB26,0),0)</f>
        <v>0</v>
      </c>
      <c r="DB26" s="245">
        <f>IFERROR(ROUND(AB26,0),0)+IFERROR(ROUND(AJ26,0),0)</f>
        <v>0</v>
      </c>
      <c r="DC26" s="245">
        <f>IFERROR(ROUND(AB26,0),0)+IFERROR(ROUND(AJ26,0),0)+IFERROR(ROUND(AR26,0),0)</f>
        <v>0</v>
      </c>
      <c r="DD26" s="245">
        <f>IFERROR(ROUND(AB26,0),0)+IFERROR(ROUND(AJ26,0),0)+IFERROR(ROUND(AR26,0),0)+IFERROR(ROUND(AZ26,0),0)</f>
        <v>0</v>
      </c>
      <c r="DE26" s="245">
        <f t="shared" si="0"/>
        <v>0</v>
      </c>
      <c r="DF26" s="245">
        <f t="shared" si="1"/>
        <v>0</v>
      </c>
      <c r="DG26" s="245">
        <f t="shared" si="2"/>
        <v>0</v>
      </c>
      <c r="DH26" s="245">
        <f t="shared" si="3"/>
        <v>0</v>
      </c>
      <c r="DI26" s="244">
        <f ca="1">OFFSET(CZ26,0,'VETS-701 Tech Perf Report'!outReportQtr)</f>
        <v>0</v>
      </c>
    </row>
    <row r="27" spans="1:113" ht="18" x14ac:dyDescent="0.35">
      <c r="A27" s="34"/>
      <c r="B27" s="63" t="s">
        <v>2649</v>
      </c>
      <c r="C27" s="544" t="s">
        <v>2516</v>
      </c>
      <c r="D27" s="544"/>
      <c r="E27" s="544"/>
      <c r="F27" s="544"/>
      <c r="G27" s="544"/>
      <c r="H27" s="544"/>
      <c r="I27" s="544"/>
      <c r="J27" s="544"/>
      <c r="K27" s="544"/>
      <c r="L27" s="544"/>
      <c r="M27" s="544"/>
      <c r="N27" s="544"/>
      <c r="O27" s="544"/>
      <c r="P27" s="544"/>
      <c r="Q27" s="544"/>
      <c r="R27" s="544"/>
      <c r="S27" s="544"/>
      <c r="T27" s="544"/>
      <c r="U27" s="544"/>
      <c r="V27" s="544"/>
      <c r="W27" s="544"/>
      <c r="X27" s="544"/>
      <c r="Y27" s="544"/>
      <c r="Z27" s="544"/>
      <c r="AA27" s="545"/>
      <c r="AB27" s="694"/>
      <c r="AC27" s="695"/>
      <c r="AD27" s="695"/>
      <c r="AE27" s="695"/>
      <c r="AF27" s="695"/>
      <c r="AG27" s="695"/>
      <c r="AH27" s="695"/>
      <c r="AI27" s="696"/>
      <c r="AJ27" s="484"/>
      <c r="AK27" s="480"/>
      <c r="AL27" s="480"/>
      <c r="AM27" s="480"/>
      <c r="AN27" s="480"/>
      <c r="AO27" s="480"/>
      <c r="AP27" s="480"/>
      <c r="AQ27" s="645"/>
      <c r="AR27" s="512"/>
      <c r="AS27" s="512"/>
      <c r="AT27" s="512"/>
      <c r="AU27" s="512"/>
      <c r="AV27" s="512"/>
      <c r="AW27" s="512"/>
      <c r="AX27" s="513"/>
      <c r="AY27" s="514"/>
      <c r="AZ27" s="512"/>
      <c r="BA27" s="512"/>
      <c r="BB27" s="512"/>
      <c r="BC27" s="512"/>
      <c r="BD27" s="512"/>
      <c r="BE27" s="512"/>
      <c r="BF27" s="513"/>
      <c r="BG27" s="514"/>
      <c r="BH27" s="512"/>
      <c r="BI27" s="512"/>
      <c r="BJ27" s="512"/>
      <c r="BK27" s="512"/>
      <c r="BL27" s="512"/>
      <c r="BM27" s="512"/>
      <c r="BN27" s="513"/>
      <c r="BO27" s="514"/>
      <c r="BP27" s="512"/>
      <c r="BQ27" s="512"/>
      <c r="BR27" s="512"/>
      <c r="BS27" s="512"/>
      <c r="BT27" s="512"/>
      <c r="BU27" s="512"/>
      <c r="BV27" s="513"/>
      <c r="BW27" s="514"/>
      <c r="BX27" s="700"/>
      <c r="BY27" s="473"/>
      <c r="BZ27" s="473"/>
      <c r="CA27" s="473"/>
      <c r="CB27" s="473"/>
      <c r="CC27" s="473"/>
      <c r="CD27" s="473"/>
      <c r="CE27" s="474"/>
      <c r="CF27" s="471"/>
      <c r="CG27" s="469"/>
      <c r="CH27" s="469"/>
      <c r="CI27" s="469"/>
      <c r="CJ27" s="469"/>
      <c r="CK27" s="469"/>
      <c r="CL27" s="469"/>
      <c r="CM27" s="502"/>
      <c r="CN27" s="660">
        <f>SUM(IFERROR(ROUND(AR27,0),0),IFERROR(ROUND(AZ27,0),0),IFERROR(ROUND(BH27,0),0),IFERROR(ROUND(BP27,0),0))</f>
        <v>0</v>
      </c>
      <c r="CO27" s="660"/>
      <c r="CP27" s="660"/>
      <c r="CQ27" s="660"/>
      <c r="CR27" s="660"/>
      <c r="CS27" s="660"/>
      <c r="CT27" s="660"/>
      <c r="CU27" s="661"/>
      <c r="CV27" s="27"/>
      <c r="CZ27" s="251" t="s">
        <v>2867</v>
      </c>
      <c r="DA27" s="244">
        <v>0</v>
      </c>
      <c r="DB27" s="244">
        <v>0</v>
      </c>
      <c r="DC27" s="245">
        <f>IFERROR(ROUND(AR27,0),0)</f>
        <v>0</v>
      </c>
      <c r="DD27" s="245">
        <f>IFERROR(ROUND(AR27,0),0)+IFERROR(ROUND(AZ27,0),0)</f>
        <v>0</v>
      </c>
      <c r="DE27" s="245">
        <f>IFERROR(ROUND(AR27,0),0)+IFERROR(ROUND(AZ27,0),0)+IFERROR(ROUND(BH27,0),0)</f>
        <v>0</v>
      </c>
      <c r="DF27" s="245">
        <f>IFERROR(ROUND(AR27,0),0)+IFERROR(ROUND(AZ27,0),0)+IFERROR(ROUND(BH27,0),0)+IFERROR(ROUND(BP27,0),0)</f>
        <v>0</v>
      </c>
      <c r="DG27" s="245">
        <f>DF27</f>
        <v>0</v>
      </c>
      <c r="DH27" s="245">
        <f>DF27</f>
        <v>0</v>
      </c>
      <c r="DI27" s="244">
        <f ca="1">OFFSET(CZ27,0,'VETS-701 Tech Perf Report'!outReportQtr)</f>
        <v>0</v>
      </c>
    </row>
    <row r="28" spans="1:113" ht="18" x14ac:dyDescent="0.35">
      <c r="A28" s="34"/>
      <c r="B28" s="64" t="s">
        <v>2650</v>
      </c>
      <c r="C28" s="546" t="s">
        <v>2517</v>
      </c>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5"/>
      <c r="AB28" s="710"/>
      <c r="AC28" s="711"/>
      <c r="AD28" s="711"/>
      <c r="AE28" s="711"/>
      <c r="AF28" s="711"/>
      <c r="AG28" s="711"/>
      <c r="AH28" s="711"/>
      <c r="AI28" s="712"/>
      <c r="AJ28" s="471"/>
      <c r="AK28" s="469"/>
      <c r="AL28" s="469"/>
      <c r="AM28" s="469"/>
      <c r="AN28" s="469"/>
      <c r="AO28" s="469"/>
      <c r="AP28" s="469"/>
      <c r="AQ28" s="502"/>
      <c r="AR28" s="527">
        <f>IF(AB26&gt;0,ROUND(AR27,0)/ROUND(AB26,0),0)</f>
        <v>0</v>
      </c>
      <c r="AS28" s="527"/>
      <c r="AT28" s="527"/>
      <c r="AU28" s="527"/>
      <c r="AV28" s="527"/>
      <c r="AW28" s="527"/>
      <c r="AX28" s="528"/>
      <c r="AY28" s="529"/>
      <c r="AZ28" s="527">
        <f>IF(AJ26&gt;0,ROUND(AZ27,0)/ROUND(AJ26,0),0)</f>
        <v>0</v>
      </c>
      <c r="BA28" s="527"/>
      <c r="BB28" s="527"/>
      <c r="BC28" s="527"/>
      <c r="BD28" s="527"/>
      <c r="BE28" s="527"/>
      <c r="BF28" s="528"/>
      <c r="BG28" s="529"/>
      <c r="BH28" s="527">
        <f>IF(AR26&gt;0,ROUND(BH27,0)/ROUND(AR26,0),0)</f>
        <v>0</v>
      </c>
      <c r="BI28" s="527"/>
      <c r="BJ28" s="527"/>
      <c r="BK28" s="527"/>
      <c r="BL28" s="527"/>
      <c r="BM28" s="527"/>
      <c r="BN28" s="528"/>
      <c r="BO28" s="529"/>
      <c r="BP28" s="527">
        <f>IF(AZ26&gt;0,ROUND(BP27,0)/ROUND(AZ26,0),0)</f>
        <v>0</v>
      </c>
      <c r="BQ28" s="527"/>
      <c r="BR28" s="527"/>
      <c r="BS28" s="527"/>
      <c r="BT28" s="527"/>
      <c r="BU28" s="527"/>
      <c r="BV28" s="528"/>
      <c r="BW28" s="529"/>
      <c r="BX28" s="700"/>
      <c r="BY28" s="473"/>
      <c r="BZ28" s="473"/>
      <c r="CA28" s="473"/>
      <c r="CB28" s="473"/>
      <c r="CC28" s="473"/>
      <c r="CD28" s="473"/>
      <c r="CE28" s="474"/>
      <c r="CF28" s="471"/>
      <c r="CG28" s="469"/>
      <c r="CH28" s="469"/>
      <c r="CI28" s="469"/>
      <c r="CJ28" s="469"/>
      <c r="CK28" s="469"/>
      <c r="CL28" s="469"/>
      <c r="CM28" s="502"/>
      <c r="CN28" s="527">
        <f>IF(CN26&gt;0,CN27/CN26,0)</f>
        <v>0</v>
      </c>
      <c r="CO28" s="527"/>
      <c r="CP28" s="527"/>
      <c r="CQ28" s="527"/>
      <c r="CR28" s="527"/>
      <c r="CS28" s="527"/>
      <c r="CT28" s="527"/>
      <c r="CU28" s="528"/>
      <c r="CV28" s="27"/>
      <c r="CZ28" s="251" t="s">
        <v>2868</v>
      </c>
      <c r="DA28" s="274">
        <v>0</v>
      </c>
      <c r="DB28" s="255">
        <v>0</v>
      </c>
      <c r="DC28" s="255">
        <f>IF(DA26&gt;0,DC27/DA26,0)</f>
        <v>0</v>
      </c>
      <c r="DD28" s="255">
        <f>IF(SUM(DA26:DB26)&gt;0,SUM(DC27:DD27)/SUM(DA26:DB26),0)</f>
        <v>0</v>
      </c>
      <c r="DE28" s="255">
        <f t="shared" ref="DE28:DF28" si="4">IF(SUM(DB26:DC26)&gt;0,SUM(DD27:DE27)/SUM(DB26:DC26),0)</f>
        <v>0</v>
      </c>
      <c r="DF28" s="255">
        <f t="shared" si="4"/>
        <v>0</v>
      </c>
      <c r="DG28" s="255">
        <f>DF28</f>
        <v>0</v>
      </c>
      <c r="DH28" s="255">
        <f>DF28</f>
        <v>0</v>
      </c>
      <c r="DI28" s="255">
        <f ca="1">OFFSET(CZ28,0,'VETS-701 Tech Perf Report'!outReportQtr)</f>
        <v>0</v>
      </c>
    </row>
    <row r="29" spans="1:113" ht="18" x14ac:dyDescent="0.35">
      <c r="A29" s="34"/>
      <c r="B29" s="63" t="s">
        <v>2651</v>
      </c>
      <c r="C29" s="544" t="s">
        <v>2520</v>
      </c>
      <c r="D29" s="544"/>
      <c r="E29" s="544"/>
      <c r="F29" s="544"/>
      <c r="G29" s="544"/>
      <c r="H29" s="544"/>
      <c r="I29" s="544"/>
      <c r="J29" s="544"/>
      <c r="K29" s="544"/>
      <c r="L29" s="544"/>
      <c r="M29" s="544"/>
      <c r="N29" s="544"/>
      <c r="O29" s="544"/>
      <c r="P29" s="544"/>
      <c r="Q29" s="544"/>
      <c r="R29" s="544"/>
      <c r="S29" s="544"/>
      <c r="T29" s="544"/>
      <c r="U29" s="544"/>
      <c r="V29" s="544"/>
      <c r="W29" s="544"/>
      <c r="X29" s="544"/>
      <c r="Y29" s="544"/>
      <c r="Z29" s="544"/>
      <c r="AA29" s="545"/>
      <c r="AB29" s="468"/>
      <c r="AC29" s="469"/>
      <c r="AD29" s="469"/>
      <c r="AE29" s="469"/>
      <c r="AF29" s="469"/>
      <c r="AG29" s="469"/>
      <c r="AH29" s="469"/>
      <c r="AI29" s="470"/>
      <c r="AJ29" s="471"/>
      <c r="AK29" s="469"/>
      <c r="AL29" s="469"/>
      <c r="AM29" s="469"/>
      <c r="AN29" s="469"/>
      <c r="AO29" s="469"/>
      <c r="AP29" s="469"/>
      <c r="AQ29" s="502"/>
      <c r="AR29" s="524"/>
      <c r="AS29" s="524"/>
      <c r="AT29" s="524"/>
      <c r="AU29" s="524"/>
      <c r="AV29" s="524"/>
      <c r="AW29" s="524"/>
      <c r="AX29" s="524"/>
      <c r="AY29" s="530"/>
      <c r="AZ29" s="524"/>
      <c r="BA29" s="524"/>
      <c r="BB29" s="524"/>
      <c r="BC29" s="524"/>
      <c r="BD29" s="524"/>
      <c r="BE29" s="524"/>
      <c r="BF29" s="524"/>
      <c r="BG29" s="530"/>
      <c r="BH29" s="689"/>
      <c r="BI29" s="689"/>
      <c r="BJ29" s="689"/>
      <c r="BK29" s="689"/>
      <c r="BL29" s="689"/>
      <c r="BM29" s="689"/>
      <c r="BN29" s="689"/>
      <c r="BO29" s="690"/>
      <c r="BP29" s="689"/>
      <c r="BQ29" s="689"/>
      <c r="BR29" s="689"/>
      <c r="BS29" s="689"/>
      <c r="BT29" s="689"/>
      <c r="BU29" s="689"/>
      <c r="BV29" s="689"/>
      <c r="BW29" s="690"/>
      <c r="BX29" s="685"/>
      <c r="BY29" s="489"/>
      <c r="BZ29" s="489"/>
      <c r="CA29" s="489"/>
      <c r="CB29" s="489"/>
      <c r="CC29" s="489"/>
      <c r="CD29" s="489"/>
      <c r="CE29" s="490"/>
      <c r="CF29" s="702" t="s">
        <v>2797</v>
      </c>
      <c r="CG29" s="703"/>
      <c r="CH29" s="703"/>
      <c r="CI29" s="703"/>
      <c r="CJ29" s="703"/>
      <c r="CK29" s="703"/>
      <c r="CL29" s="703"/>
      <c r="CM29" s="704"/>
      <c r="CN29" s="705"/>
      <c r="CO29" s="705"/>
      <c r="CP29" s="705"/>
      <c r="CQ29" s="705"/>
      <c r="CR29" s="705"/>
      <c r="CS29" s="705"/>
      <c r="CT29" s="705"/>
      <c r="CU29" s="706"/>
      <c r="CV29" s="27"/>
      <c r="CZ29" s="273" t="s">
        <v>2869</v>
      </c>
      <c r="DA29" s="276">
        <v>0</v>
      </c>
      <c r="DB29" s="271">
        <v>0</v>
      </c>
      <c r="DC29" s="265">
        <f>IFERROR(ROUND(CN29,2),0)</f>
        <v>0</v>
      </c>
      <c r="DD29" s="265">
        <f>IFERROR(ROUND(CN29,2),0)</f>
        <v>0</v>
      </c>
      <c r="DE29" s="265">
        <f>IFERROR(ROUND(CN29,2),0)</f>
        <v>0</v>
      </c>
      <c r="DF29" s="265">
        <f>IFERROR(ROUND(CN29,2),0)</f>
        <v>0</v>
      </c>
      <c r="DG29" s="265">
        <f>DF29</f>
        <v>0</v>
      </c>
      <c r="DH29" s="265">
        <f>DF29</f>
        <v>0</v>
      </c>
      <c r="DI29" s="265">
        <f ca="1">OFFSET(CZ29,0,'VETS-701 Tech Perf Report'!outReportQtr)</f>
        <v>0</v>
      </c>
    </row>
    <row r="30" spans="1:113" ht="18" x14ac:dyDescent="0.35">
      <c r="A30" s="34"/>
      <c r="B30" s="63" t="s">
        <v>2652</v>
      </c>
      <c r="C30" s="544" t="s">
        <v>2518</v>
      </c>
      <c r="D30" s="544"/>
      <c r="E30" s="544"/>
      <c r="F30" s="544"/>
      <c r="G30" s="544"/>
      <c r="H30" s="544"/>
      <c r="I30" s="544"/>
      <c r="J30" s="544"/>
      <c r="K30" s="544"/>
      <c r="L30" s="544"/>
      <c r="M30" s="544"/>
      <c r="N30" s="544"/>
      <c r="O30" s="544"/>
      <c r="P30" s="544"/>
      <c r="Q30" s="544"/>
      <c r="R30" s="544"/>
      <c r="S30" s="544"/>
      <c r="T30" s="544"/>
      <c r="U30" s="544"/>
      <c r="V30" s="544"/>
      <c r="W30" s="544"/>
      <c r="X30" s="544"/>
      <c r="Y30" s="544"/>
      <c r="Z30" s="544"/>
      <c r="AA30" s="545"/>
      <c r="AB30" s="468"/>
      <c r="AC30" s="469"/>
      <c r="AD30" s="469"/>
      <c r="AE30" s="469"/>
      <c r="AF30" s="469"/>
      <c r="AG30" s="469"/>
      <c r="AH30" s="469"/>
      <c r="AI30" s="470"/>
      <c r="AJ30" s="471"/>
      <c r="AK30" s="469"/>
      <c r="AL30" s="469"/>
      <c r="AM30" s="469"/>
      <c r="AN30" s="469"/>
      <c r="AO30" s="469"/>
      <c r="AP30" s="469"/>
      <c r="AQ30" s="470"/>
      <c r="AR30" s="484"/>
      <c r="AS30" s="480"/>
      <c r="AT30" s="480"/>
      <c r="AU30" s="480"/>
      <c r="AV30" s="480"/>
      <c r="AW30" s="480"/>
      <c r="AX30" s="480"/>
      <c r="AY30" s="481"/>
      <c r="AZ30" s="484"/>
      <c r="BA30" s="480"/>
      <c r="BB30" s="480"/>
      <c r="BC30" s="480"/>
      <c r="BD30" s="480"/>
      <c r="BE30" s="480"/>
      <c r="BF30" s="480"/>
      <c r="BG30" s="645"/>
      <c r="BH30" s="512"/>
      <c r="BI30" s="512"/>
      <c r="BJ30" s="512"/>
      <c r="BK30" s="512"/>
      <c r="BL30" s="512"/>
      <c r="BM30" s="512"/>
      <c r="BN30" s="513"/>
      <c r="BO30" s="514"/>
      <c r="BP30" s="512"/>
      <c r="BQ30" s="512"/>
      <c r="BR30" s="512"/>
      <c r="BS30" s="512"/>
      <c r="BT30" s="512"/>
      <c r="BU30" s="512"/>
      <c r="BV30" s="513"/>
      <c r="BW30" s="514"/>
      <c r="BX30" s="512"/>
      <c r="BY30" s="512"/>
      <c r="BZ30" s="512"/>
      <c r="CA30" s="512"/>
      <c r="CB30" s="512"/>
      <c r="CC30" s="512"/>
      <c r="CD30" s="568"/>
      <c r="CE30" s="569"/>
      <c r="CF30" s="512"/>
      <c r="CG30" s="512"/>
      <c r="CH30" s="512"/>
      <c r="CI30" s="512"/>
      <c r="CJ30" s="512"/>
      <c r="CK30" s="512"/>
      <c r="CL30" s="513"/>
      <c r="CM30" s="701"/>
      <c r="CN30" s="660">
        <f>SUM(IFERROR(ROUND(BH30,0),0),IFERROR(ROUND(BP30,0),0),IFERROR(ROUND(BX30,0),0),IFERROR(ROUND(CF30,0),0))</f>
        <v>0</v>
      </c>
      <c r="CO30" s="660"/>
      <c r="CP30" s="660"/>
      <c r="CQ30" s="660"/>
      <c r="CR30" s="660"/>
      <c r="CS30" s="660"/>
      <c r="CT30" s="660"/>
      <c r="CU30" s="661"/>
      <c r="CV30" s="27"/>
      <c r="CZ30" s="251" t="s">
        <v>2870</v>
      </c>
      <c r="DA30" s="275">
        <v>0</v>
      </c>
      <c r="DB30" s="244">
        <v>0</v>
      </c>
      <c r="DC30" s="244">
        <v>0</v>
      </c>
      <c r="DD30" s="244">
        <v>0</v>
      </c>
      <c r="DE30" s="244">
        <f>IFERROR(ROUND(BH30,0),0)</f>
        <v>0</v>
      </c>
      <c r="DF30" s="245">
        <f>IFERROR(ROUND(BH30,0),0)+IFERROR(ROUND(BP30,0),0)</f>
        <v>0</v>
      </c>
      <c r="DG30" s="245">
        <f>IFERROR(ROUND(BH30,0),0)+IFERROR(ROUND(BP30,0),0)+IFERROR(ROUND(BX30,0),0)</f>
        <v>0</v>
      </c>
      <c r="DH30" s="245">
        <f>IFERROR(ROUND(BH30,0),0)+IFERROR(ROUND(BP30,0),0)+IFERROR(ROUND(BX30,0),0)+IFERROR(ROUND(CF30,0),0)</f>
        <v>0</v>
      </c>
      <c r="DI30" s="244">
        <f ca="1">OFFSET(CZ30,0,'VETS-701 Tech Perf Report'!outReportQtr)</f>
        <v>0</v>
      </c>
    </row>
    <row r="31" spans="1:113" ht="18" x14ac:dyDescent="0.35">
      <c r="A31" s="34"/>
      <c r="B31" s="79" t="s">
        <v>2653</v>
      </c>
      <c r="C31" s="707" t="s">
        <v>2519</v>
      </c>
      <c r="D31" s="707"/>
      <c r="E31" s="707"/>
      <c r="F31" s="707"/>
      <c r="G31" s="707"/>
      <c r="H31" s="707"/>
      <c r="I31" s="707"/>
      <c r="J31" s="707"/>
      <c r="K31" s="707"/>
      <c r="L31" s="707"/>
      <c r="M31" s="707"/>
      <c r="N31" s="707"/>
      <c r="O31" s="707"/>
      <c r="P31" s="707"/>
      <c r="Q31" s="707"/>
      <c r="R31" s="707"/>
      <c r="S31" s="707"/>
      <c r="T31" s="707"/>
      <c r="U31" s="707"/>
      <c r="V31" s="707"/>
      <c r="W31" s="707"/>
      <c r="X31" s="707"/>
      <c r="Y31" s="707"/>
      <c r="Z31" s="707"/>
      <c r="AA31" s="708"/>
      <c r="AB31" s="482"/>
      <c r="AC31" s="477"/>
      <c r="AD31" s="477"/>
      <c r="AE31" s="477"/>
      <c r="AF31" s="477"/>
      <c r="AG31" s="477"/>
      <c r="AH31" s="477"/>
      <c r="AI31" s="483"/>
      <c r="AJ31" s="476"/>
      <c r="AK31" s="477"/>
      <c r="AL31" s="477"/>
      <c r="AM31" s="477"/>
      <c r="AN31" s="477"/>
      <c r="AO31" s="477"/>
      <c r="AP31" s="477"/>
      <c r="AQ31" s="483"/>
      <c r="AR31" s="476"/>
      <c r="AS31" s="477"/>
      <c r="AT31" s="477"/>
      <c r="AU31" s="477"/>
      <c r="AV31" s="477"/>
      <c r="AW31" s="477"/>
      <c r="AX31" s="477"/>
      <c r="AY31" s="483"/>
      <c r="AZ31" s="476"/>
      <c r="BA31" s="477"/>
      <c r="BB31" s="477"/>
      <c r="BC31" s="477"/>
      <c r="BD31" s="477"/>
      <c r="BE31" s="477"/>
      <c r="BF31" s="477"/>
      <c r="BG31" s="515"/>
      <c r="BH31" s="682">
        <f>IF(BH30=0,0,BH30/AB26)</f>
        <v>0</v>
      </c>
      <c r="BI31" s="682"/>
      <c r="BJ31" s="682"/>
      <c r="BK31" s="682"/>
      <c r="BL31" s="682"/>
      <c r="BM31" s="682"/>
      <c r="BN31" s="683"/>
      <c r="BO31" s="684"/>
      <c r="BP31" s="682">
        <f>IF(BP30=0,0,BP30/AJ26)</f>
        <v>0</v>
      </c>
      <c r="BQ31" s="682"/>
      <c r="BR31" s="682"/>
      <c r="BS31" s="682"/>
      <c r="BT31" s="682"/>
      <c r="BU31" s="682"/>
      <c r="BV31" s="683"/>
      <c r="BW31" s="684"/>
      <c r="BX31" s="682">
        <f>IF(BX30=0,0,BX30/AR26)</f>
        <v>0</v>
      </c>
      <c r="BY31" s="682"/>
      <c r="BZ31" s="682"/>
      <c r="CA31" s="682"/>
      <c r="CB31" s="682"/>
      <c r="CC31" s="682"/>
      <c r="CD31" s="683"/>
      <c r="CE31" s="684"/>
      <c r="CF31" s="682">
        <f>IF(CF30=0,0,CF30/AZ26)</f>
        <v>0</v>
      </c>
      <c r="CG31" s="682"/>
      <c r="CH31" s="682"/>
      <c r="CI31" s="682"/>
      <c r="CJ31" s="682"/>
      <c r="CK31" s="682"/>
      <c r="CL31" s="683"/>
      <c r="CM31" s="684"/>
      <c r="CN31" s="686">
        <f>IF(CN30=0,0,CN30/CN26)</f>
        <v>0</v>
      </c>
      <c r="CO31" s="687"/>
      <c r="CP31" s="687"/>
      <c r="CQ31" s="687"/>
      <c r="CR31" s="687"/>
      <c r="CS31" s="687"/>
      <c r="CT31" s="687"/>
      <c r="CU31" s="688"/>
      <c r="CV31" s="27"/>
      <c r="CZ31" s="251" t="s">
        <v>2871</v>
      </c>
      <c r="DA31" s="255">
        <v>0</v>
      </c>
      <c r="DB31" s="255">
        <v>0</v>
      </c>
      <c r="DC31" s="255">
        <v>0</v>
      </c>
      <c r="DD31" s="255">
        <v>0</v>
      </c>
      <c r="DE31" s="255">
        <f>IF(DA26&gt;0,DE30/DA26,0)</f>
        <v>0</v>
      </c>
      <c r="DF31" s="255">
        <f t="shared" ref="DF31:DH31" si="5">IF(DB26&gt;0,DF30/DB26,0)</f>
        <v>0</v>
      </c>
      <c r="DG31" s="255">
        <f t="shared" si="5"/>
        <v>0</v>
      </c>
      <c r="DH31" s="255">
        <f t="shared" si="5"/>
        <v>0</v>
      </c>
      <c r="DI31" s="255">
        <f ca="1">OFFSET(CZ31,0,'VETS-701 Tech Perf Report'!outReportQtr)</f>
        <v>0</v>
      </c>
    </row>
    <row r="32" spans="1:113" ht="18" x14ac:dyDescent="0.35">
      <c r="A32" s="35"/>
      <c r="B32" s="554" t="s">
        <v>2838</v>
      </c>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c r="AA32" s="59"/>
      <c r="AB32" s="492"/>
      <c r="AC32" s="493"/>
      <c r="AD32" s="493"/>
      <c r="AE32" s="493"/>
      <c r="AF32" s="493"/>
      <c r="AG32" s="493"/>
      <c r="AH32" s="493"/>
      <c r="AI32" s="494"/>
      <c r="AJ32" s="492"/>
      <c r="AK32" s="493"/>
      <c r="AL32" s="493"/>
      <c r="AM32" s="493"/>
      <c r="AN32" s="493"/>
      <c r="AO32" s="493"/>
      <c r="AP32" s="493"/>
      <c r="AQ32" s="494"/>
      <c r="AR32" s="492"/>
      <c r="AS32" s="493"/>
      <c r="AT32" s="493"/>
      <c r="AU32" s="493"/>
      <c r="AV32" s="493"/>
      <c r="AW32" s="493"/>
      <c r="AX32" s="493"/>
      <c r="AY32" s="494"/>
      <c r="AZ32" s="492"/>
      <c r="BA32" s="493"/>
      <c r="BB32" s="493"/>
      <c r="BC32" s="493"/>
      <c r="BD32" s="493"/>
      <c r="BE32" s="493"/>
      <c r="BF32" s="493"/>
      <c r="BG32" s="494"/>
      <c r="BH32" s="560"/>
      <c r="BI32" s="561"/>
      <c r="BJ32" s="561"/>
      <c r="BK32" s="561"/>
      <c r="BL32" s="561"/>
      <c r="BM32" s="561"/>
      <c r="BN32" s="561"/>
      <c r="BO32" s="562"/>
      <c r="BP32" s="560"/>
      <c r="BQ32" s="561"/>
      <c r="BR32" s="561"/>
      <c r="BS32" s="561"/>
      <c r="BT32" s="561"/>
      <c r="BU32" s="561"/>
      <c r="BV32" s="561"/>
      <c r="BW32" s="562"/>
      <c r="BX32" s="492"/>
      <c r="BY32" s="493"/>
      <c r="BZ32" s="493"/>
      <c r="CA32" s="493"/>
      <c r="CB32" s="493"/>
      <c r="CC32" s="493"/>
      <c r="CD32" s="493"/>
      <c r="CE32" s="494"/>
      <c r="CF32" s="492"/>
      <c r="CG32" s="493"/>
      <c r="CH32" s="493"/>
      <c r="CI32" s="493"/>
      <c r="CJ32" s="493"/>
      <c r="CK32" s="493"/>
      <c r="CL32" s="493"/>
      <c r="CM32" s="494"/>
      <c r="CN32" s="492"/>
      <c r="CO32" s="493"/>
      <c r="CP32" s="493"/>
      <c r="CQ32" s="493"/>
      <c r="CR32" s="493"/>
      <c r="CS32" s="493"/>
      <c r="CT32" s="493"/>
      <c r="CU32" s="501"/>
      <c r="CV32" s="27"/>
      <c r="CZ32" s="251"/>
      <c r="DA32" s="244"/>
      <c r="DB32" s="244"/>
      <c r="DC32" s="244"/>
      <c r="DD32" s="244"/>
      <c r="DE32" s="244"/>
      <c r="DF32" s="244"/>
      <c r="DG32" s="244"/>
      <c r="DH32" s="244"/>
      <c r="DI32" s="244">
        <f ca="1">OFFSET(CZ32,0,'VETS-701 Tech Perf Report'!outReportQtr)</f>
        <v>0</v>
      </c>
    </row>
    <row r="33" spans="1:113" ht="18" x14ac:dyDescent="0.35">
      <c r="A33" s="62"/>
      <c r="B33" s="80" t="s">
        <v>2643</v>
      </c>
      <c r="C33" s="574" t="s">
        <v>2511</v>
      </c>
      <c r="D33" s="575"/>
      <c r="E33" s="575"/>
      <c r="F33" s="575"/>
      <c r="G33" s="575"/>
      <c r="H33" s="575"/>
      <c r="I33" s="575"/>
      <c r="J33" s="575"/>
      <c r="K33" s="575"/>
      <c r="L33" s="575"/>
      <c r="M33" s="575"/>
      <c r="N33" s="575"/>
      <c r="O33" s="575"/>
      <c r="P33" s="575"/>
      <c r="Q33" s="575"/>
      <c r="R33" s="575"/>
      <c r="S33" s="575"/>
      <c r="T33" s="575"/>
      <c r="U33" s="575"/>
      <c r="V33" s="575"/>
      <c r="W33" s="575"/>
      <c r="X33" s="575"/>
      <c r="Y33" s="575"/>
      <c r="Z33" s="575"/>
      <c r="AA33" s="576"/>
      <c r="AB33" s="503"/>
      <c r="AC33" s="503"/>
      <c r="AD33" s="503"/>
      <c r="AE33" s="503"/>
      <c r="AF33" s="503"/>
      <c r="AG33" s="503"/>
      <c r="AH33" s="504"/>
      <c r="AI33" s="505"/>
      <c r="AJ33" s="503"/>
      <c r="AK33" s="503"/>
      <c r="AL33" s="503"/>
      <c r="AM33" s="503"/>
      <c r="AN33" s="503"/>
      <c r="AO33" s="503"/>
      <c r="AP33" s="566"/>
      <c r="AQ33" s="567"/>
      <c r="AR33" s="503"/>
      <c r="AS33" s="503"/>
      <c r="AT33" s="503"/>
      <c r="AU33" s="503"/>
      <c r="AV33" s="503"/>
      <c r="AW33" s="503"/>
      <c r="AX33" s="504"/>
      <c r="AY33" s="505"/>
      <c r="AZ33" s="570"/>
      <c r="BA33" s="571"/>
      <c r="BB33" s="571"/>
      <c r="BC33" s="571"/>
      <c r="BD33" s="571"/>
      <c r="BE33" s="571"/>
      <c r="BF33" s="572"/>
      <c r="BG33" s="573"/>
      <c r="BH33" s="479"/>
      <c r="BI33" s="480"/>
      <c r="BJ33" s="480"/>
      <c r="BK33" s="480"/>
      <c r="BL33" s="480"/>
      <c r="BM33" s="480"/>
      <c r="BN33" s="480"/>
      <c r="BO33" s="481"/>
      <c r="BP33" s="484"/>
      <c r="BQ33" s="480"/>
      <c r="BR33" s="480"/>
      <c r="BS33" s="480"/>
      <c r="BT33" s="480"/>
      <c r="BU33" s="480"/>
      <c r="BV33" s="480"/>
      <c r="BW33" s="481"/>
      <c r="BX33" s="485"/>
      <c r="BY33" s="486"/>
      <c r="BZ33" s="486"/>
      <c r="CA33" s="486"/>
      <c r="CB33" s="486"/>
      <c r="CC33" s="486"/>
      <c r="CD33" s="486"/>
      <c r="CE33" s="487"/>
      <c r="CF33" s="484"/>
      <c r="CG33" s="480"/>
      <c r="CH33" s="480"/>
      <c r="CI33" s="480"/>
      <c r="CJ33" s="480"/>
      <c r="CK33" s="480"/>
      <c r="CL33" s="480"/>
      <c r="CM33" s="645"/>
      <c r="CN33" s="679">
        <f>SUM(IFERROR(ROUND(AB33,0),0),IFERROR(ROUND(AJ33,0),0),IFERROR(ROUND(AR33,0),0),IFERROR(ROUND(AZ33,0),0))</f>
        <v>0</v>
      </c>
      <c r="CO33" s="680"/>
      <c r="CP33" s="680"/>
      <c r="CQ33" s="680"/>
      <c r="CR33" s="680"/>
      <c r="CS33" s="680"/>
      <c r="CT33" s="680"/>
      <c r="CU33" s="681"/>
      <c r="CV33" s="27"/>
      <c r="CZ33" s="251" t="s">
        <v>2874</v>
      </c>
      <c r="DA33" s="245">
        <f>IFERROR(ROUND(AB33,0),0)</f>
        <v>0</v>
      </c>
      <c r="DB33" s="245">
        <f>IFERROR(ROUND(AB33,0),0)+IFERROR(ROUND(AJ33,0),0)</f>
        <v>0</v>
      </c>
      <c r="DC33" s="245">
        <f>IFERROR(ROUND(AB33,0),0)+IFERROR(ROUND(AJ33,0),0)+IFERROR(ROUND(AR33,0),0)</f>
        <v>0</v>
      </c>
      <c r="DD33" s="245">
        <f>IFERROR(ROUND(AB33,0),0)+IFERROR(ROUND(AJ33,0),0)+IFERROR(ROUND(AR33,0),0)++IFERROR(ROUND(AZ33,0),0)</f>
        <v>0</v>
      </c>
      <c r="DE33" s="245">
        <f>DD33</f>
        <v>0</v>
      </c>
      <c r="DF33" s="245">
        <f>DD33</f>
        <v>0</v>
      </c>
      <c r="DG33" s="245">
        <f>DD33</f>
        <v>0</v>
      </c>
      <c r="DH33" s="245">
        <f>DD33</f>
        <v>0</v>
      </c>
      <c r="DI33" s="244">
        <f ca="1">OFFSET(CZ33,0,'VETS-701 Tech Perf Report'!outReportQtr)</f>
        <v>0</v>
      </c>
    </row>
    <row r="34" spans="1:113" ht="18" x14ac:dyDescent="0.35">
      <c r="A34" s="62"/>
      <c r="B34" s="63" t="s">
        <v>2644</v>
      </c>
      <c r="C34" s="457" t="s">
        <v>2512</v>
      </c>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459"/>
      <c r="AB34" s="512"/>
      <c r="AC34" s="512"/>
      <c r="AD34" s="512"/>
      <c r="AE34" s="512"/>
      <c r="AF34" s="512"/>
      <c r="AG34" s="512"/>
      <c r="AH34" s="513"/>
      <c r="AI34" s="514"/>
      <c r="AJ34" s="512"/>
      <c r="AK34" s="512"/>
      <c r="AL34" s="512"/>
      <c r="AM34" s="512"/>
      <c r="AN34" s="512"/>
      <c r="AO34" s="512"/>
      <c r="AP34" s="568"/>
      <c r="AQ34" s="569"/>
      <c r="AR34" s="512"/>
      <c r="AS34" s="512"/>
      <c r="AT34" s="512"/>
      <c r="AU34" s="512"/>
      <c r="AV34" s="512"/>
      <c r="AW34" s="512"/>
      <c r="AX34" s="513"/>
      <c r="AY34" s="514"/>
      <c r="AZ34" s="570"/>
      <c r="BA34" s="571"/>
      <c r="BB34" s="571"/>
      <c r="BC34" s="571"/>
      <c r="BD34" s="571"/>
      <c r="BE34" s="571"/>
      <c r="BF34" s="571"/>
      <c r="BG34" s="573"/>
      <c r="BH34" s="468"/>
      <c r="BI34" s="469"/>
      <c r="BJ34" s="469"/>
      <c r="BK34" s="469"/>
      <c r="BL34" s="469"/>
      <c r="BM34" s="469"/>
      <c r="BN34" s="469"/>
      <c r="BO34" s="470"/>
      <c r="BP34" s="471"/>
      <c r="BQ34" s="469"/>
      <c r="BR34" s="469"/>
      <c r="BS34" s="469"/>
      <c r="BT34" s="469"/>
      <c r="BU34" s="469"/>
      <c r="BV34" s="469"/>
      <c r="BW34" s="470"/>
      <c r="BX34" s="472"/>
      <c r="BY34" s="473"/>
      <c r="BZ34" s="473"/>
      <c r="CA34" s="473"/>
      <c r="CB34" s="473"/>
      <c r="CC34" s="473"/>
      <c r="CD34" s="473"/>
      <c r="CE34" s="474"/>
      <c r="CF34" s="471"/>
      <c r="CG34" s="469"/>
      <c r="CH34" s="469"/>
      <c r="CI34" s="469"/>
      <c r="CJ34" s="469"/>
      <c r="CK34" s="469"/>
      <c r="CL34" s="469"/>
      <c r="CM34" s="502"/>
      <c r="CN34" s="679">
        <f>SUM(IFERROR(ROUND(AB34,0),0),IFERROR(ROUND(AJ34,0),0),IFERROR(ROUND(AR34,0),0),IFERROR(ROUND(AZ34,0),0))</f>
        <v>0</v>
      </c>
      <c r="CO34" s="680"/>
      <c r="CP34" s="680"/>
      <c r="CQ34" s="680"/>
      <c r="CR34" s="680"/>
      <c r="CS34" s="680"/>
      <c r="CT34" s="680"/>
      <c r="CU34" s="681"/>
      <c r="CV34" s="27"/>
      <c r="CZ34" s="251" t="s">
        <v>2875</v>
      </c>
      <c r="DA34" s="245">
        <f t="shared" ref="DA34:DA35" si="6">IFERROR(ROUND(AB34,0),0)</f>
        <v>0</v>
      </c>
      <c r="DB34" s="245">
        <f t="shared" ref="DB34:DB35" si="7">IFERROR(ROUND(AB34,0),0)+IFERROR(ROUND(AJ34,0),0)</f>
        <v>0</v>
      </c>
      <c r="DC34" s="245">
        <f t="shared" ref="DC34:DC35" si="8">IFERROR(ROUND(AB34,0),0)+IFERROR(ROUND(AJ34,0),0)+IFERROR(ROUND(AR34,0),0)</f>
        <v>0</v>
      </c>
      <c r="DD34" s="245">
        <f t="shared" ref="DD34:DD35" si="9">IFERROR(ROUND(AB34,0),0)+IFERROR(ROUND(AJ34,0),0)+IFERROR(ROUND(AR34,0),0)++IFERROR(ROUND(AZ34,0),0)</f>
        <v>0</v>
      </c>
      <c r="DE34" s="245">
        <f t="shared" ref="DE34:DE35" si="10">DD34</f>
        <v>0</v>
      </c>
      <c r="DF34" s="245">
        <f t="shared" ref="DF34:DF35" si="11">DD34</f>
        <v>0</v>
      </c>
      <c r="DG34" s="245">
        <f t="shared" ref="DG34:DG35" si="12">DD34</f>
        <v>0</v>
      </c>
      <c r="DH34" s="245">
        <f t="shared" ref="DH34:DH35" si="13">DD34</f>
        <v>0</v>
      </c>
      <c r="DI34" s="244">
        <f ca="1">OFFSET(CZ34,0,'VETS-701 Tech Perf Report'!outReportQtr)</f>
        <v>0</v>
      </c>
    </row>
    <row r="35" spans="1:113" ht="18" x14ac:dyDescent="0.35">
      <c r="A35" s="62"/>
      <c r="B35" s="63" t="s">
        <v>2645</v>
      </c>
      <c r="C35" s="457" t="s">
        <v>2513</v>
      </c>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459"/>
      <c r="AB35" s="512"/>
      <c r="AC35" s="512"/>
      <c r="AD35" s="512"/>
      <c r="AE35" s="512"/>
      <c r="AF35" s="512"/>
      <c r="AG35" s="512"/>
      <c r="AH35" s="513"/>
      <c r="AI35" s="514"/>
      <c r="AJ35" s="512"/>
      <c r="AK35" s="512"/>
      <c r="AL35" s="512"/>
      <c r="AM35" s="512"/>
      <c r="AN35" s="512"/>
      <c r="AO35" s="512"/>
      <c r="AP35" s="568"/>
      <c r="AQ35" s="569"/>
      <c r="AR35" s="512"/>
      <c r="AS35" s="512"/>
      <c r="AT35" s="512"/>
      <c r="AU35" s="512"/>
      <c r="AV35" s="512"/>
      <c r="AW35" s="512"/>
      <c r="AX35" s="513"/>
      <c r="AY35" s="514"/>
      <c r="AZ35" s="570"/>
      <c r="BA35" s="571"/>
      <c r="BB35" s="571"/>
      <c r="BC35" s="571"/>
      <c r="BD35" s="571"/>
      <c r="BE35" s="571"/>
      <c r="BF35" s="572"/>
      <c r="BG35" s="573"/>
      <c r="BH35" s="468"/>
      <c r="BI35" s="469"/>
      <c r="BJ35" s="469"/>
      <c r="BK35" s="469"/>
      <c r="BL35" s="469"/>
      <c r="BM35" s="469"/>
      <c r="BN35" s="469"/>
      <c r="BO35" s="470"/>
      <c r="BP35" s="471"/>
      <c r="BQ35" s="469"/>
      <c r="BR35" s="469"/>
      <c r="BS35" s="469"/>
      <c r="BT35" s="469"/>
      <c r="BU35" s="469"/>
      <c r="BV35" s="469"/>
      <c r="BW35" s="470"/>
      <c r="BX35" s="472"/>
      <c r="BY35" s="473"/>
      <c r="BZ35" s="473"/>
      <c r="CA35" s="473"/>
      <c r="CB35" s="473"/>
      <c r="CC35" s="473"/>
      <c r="CD35" s="473"/>
      <c r="CE35" s="474"/>
      <c r="CF35" s="471"/>
      <c r="CG35" s="469"/>
      <c r="CH35" s="469"/>
      <c r="CI35" s="469"/>
      <c r="CJ35" s="469"/>
      <c r="CK35" s="469"/>
      <c r="CL35" s="469"/>
      <c r="CM35" s="502"/>
      <c r="CN35" s="679">
        <f>SUM(IFERROR(ROUND(AB35,0),0),IFERROR(ROUND(AJ35,0),0),IFERROR(ROUND(AR35,0),0),IFERROR(ROUND(AZ35,0),0))</f>
        <v>0</v>
      </c>
      <c r="CO35" s="680"/>
      <c r="CP35" s="680"/>
      <c r="CQ35" s="680"/>
      <c r="CR35" s="680"/>
      <c r="CS35" s="680"/>
      <c r="CT35" s="680"/>
      <c r="CU35" s="681"/>
      <c r="CV35" s="27"/>
      <c r="CZ35" s="251" t="s">
        <v>2877</v>
      </c>
      <c r="DA35" s="245">
        <f t="shared" si="6"/>
        <v>0</v>
      </c>
      <c r="DB35" s="245">
        <f t="shared" si="7"/>
        <v>0</v>
      </c>
      <c r="DC35" s="245">
        <f t="shared" si="8"/>
        <v>0</v>
      </c>
      <c r="DD35" s="245">
        <f t="shared" si="9"/>
        <v>0</v>
      </c>
      <c r="DE35" s="245">
        <f t="shared" si="10"/>
        <v>0</v>
      </c>
      <c r="DF35" s="245">
        <f t="shared" si="11"/>
        <v>0</v>
      </c>
      <c r="DG35" s="245">
        <f t="shared" si="12"/>
        <v>0</v>
      </c>
      <c r="DH35" s="245">
        <f t="shared" si="13"/>
        <v>0</v>
      </c>
      <c r="DI35" s="244">
        <f ca="1">OFFSET(CZ35,0,'VETS-701 Tech Perf Report'!outReportQtr)</f>
        <v>0</v>
      </c>
    </row>
    <row r="36" spans="1:113" ht="18" x14ac:dyDescent="0.35">
      <c r="A36" s="62"/>
      <c r="B36" s="68" t="s">
        <v>2646</v>
      </c>
      <c r="C36" s="546" t="s">
        <v>2515</v>
      </c>
      <c r="D36" s="546"/>
      <c r="E36" s="546"/>
      <c r="F36" s="546"/>
      <c r="G36" s="546"/>
      <c r="H36" s="546"/>
      <c r="I36" s="546"/>
      <c r="J36" s="546"/>
      <c r="K36" s="546"/>
      <c r="L36" s="546"/>
      <c r="M36" s="546"/>
      <c r="N36" s="546"/>
      <c r="O36" s="546"/>
      <c r="P36" s="546"/>
      <c r="Q36" s="546"/>
      <c r="R36" s="546"/>
      <c r="S36" s="546"/>
      <c r="T36" s="546"/>
      <c r="U36" s="546"/>
      <c r="V36" s="546"/>
      <c r="W36" s="546"/>
      <c r="X36" s="546"/>
      <c r="Y36" s="546"/>
      <c r="Z36" s="546"/>
      <c r="AA36" s="545"/>
      <c r="AB36" s="527">
        <f>IF(ROUND(AB35,0)&gt;0,ROUND(AB35,0)/ROUND(AB34,0),0)</f>
        <v>0</v>
      </c>
      <c r="AC36" s="527"/>
      <c r="AD36" s="527"/>
      <c r="AE36" s="527"/>
      <c r="AF36" s="527"/>
      <c r="AG36" s="527"/>
      <c r="AH36" s="528"/>
      <c r="AI36" s="529"/>
      <c r="AJ36" s="527">
        <f>IF(ROUND(AJ35,0)&gt;0,ROUND(AJ35,0)/ROUND(AJ34,0),0)</f>
        <v>0</v>
      </c>
      <c r="AK36" s="527"/>
      <c r="AL36" s="527"/>
      <c r="AM36" s="527"/>
      <c r="AN36" s="527"/>
      <c r="AO36" s="527"/>
      <c r="AP36" s="528"/>
      <c r="AQ36" s="529"/>
      <c r="AR36" s="527">
        <f>IF(ROUND(AR35,0)&gt;0,ROUND(AR35,0)/ROUND(AR34,0),0)</f>
        <v>0</v>
      </c>
      <c r="AS36" s="527"/>
      <c r="AT36" s="527"/>
      <c r="AU36" s="527"/>
      <c r="AV36" s="527"/>
      <c r="AW36" s="527"/>
      <c r="AX36" s="528"/>
      <c r="AY36" s="529"/>
      <c r="AZ36" s="527">
        <f>IF(ROUND(AZ35,0)&gt;0,ROUND(AZ35,0)/ROUND(AZ34,0),0)</f>
        <v>0</v>
      </c>
      <c r="BA36" s="527"/>
      <c r="BB36" s="527"/>
      <c r="BC36" s="527"/>
      <c r="BD36" s="527"/>
      <c r="BE36" s="527"/>
      <c r="BF36" s="528"/>
      <c r="BG36" s="529"/>
      <c r="BH36" s="468"/>
      <c r="BI36" s="469"/>
      <c r="BJ36" s="469"/>
      <c r="BK36" s="469"/>
      <c r="BL36" s="469"/>
      <c r="BM36" s="469"/>
      <c r="BN36" s="469"/>
      <c r="BO36" s="470"/>
      <c r="BP36" s="471"/>
      <c r="BQ36" s="469"/>
      <c r="BR36" s="469"/>
      <c r="BS36" s="469"/>
      <c r="BT36" s="469"/>
      <c r="BU36" s="469"/>
      <c r="BV36" s="469"/>
      <c r="BW36" s="470"/>
      <c r="BX36" s="472"/>
      <c r="BY36" s="473"/>
      <c r="BZ36" s="473"/>
      <c r="CA36" s="473"/>
      <c r="CB36" s="473"/>
      <c r="CC36" s="473"/>
      <c r="CD36" s="473"/>
      <c r="CE36" s="474"/>
      <c r="CF36" s="471"/>
      <c r="CG36" s="469"/>
      <c r="CH36" s="469"/>
      <c r="CI36" s="469"/>
      <c r="CJ36" s="469"/>
      <c r="CK36" s="469"/>
      <c r="CL36" s="469"/>
      <c r="CM36" s="502"/>
      <c r="CN36" s="691">
        <f>IF(CN35=0,0,CN35/CN34)</f>
        <v>0</v>
      </c>
      <c r="CO36" s="692"/>
      <c r="CP36" s="692"/>
      <c r="CQ36" s="692"/>
      <c r="CR36" s="692"/>
      <c r="CS36" s="692"/>
      <c r="CT36" s="692"/>
      <c r="CU36" s="693"/>
      <c r="CV36" s="27"/>
      <c r="CZ36" s="251" t="s">
        <v>2876</v>
      </c>
      <c r="DA36" s="255">
        <f>IF(DA34&gt;0,DA35/DA34,0)</f>
        <v>0</v>
      </c>
      <c r="DB36" s="255">
        <f t="shared" ref="DB36:DH36" si="14">IF(DB34&gt;0,DB35/DB34,0)</f>
        <v>0</v>
      </c>
      <c r="DC36" s="255">
        <f t="shared" si="14"/>
        <v>0</v>
      </c>
      <c r="DD36" s="255">
        <f t="shared" si="14"/>
        <v>0</v>
      </c>
      <c r="DE36" s="255">
        <f t="shared" si="14"/>
        <v>0</v>
      </c>
      <c r="DF36" s="255">
        <f t="shared" si="14"/>
        <v>0</v>
      </c>
      <c r="DG36" s="255">
        <f t="shared" si="14"/>
        <v>0</v>
      </c>
      <c r="DH36" s="255">
        <f t="shared" si="14"/>
        <v>0</v>
      </c>
      <c r="DI36" s="255">
        <f ca="1">OFFSET(CZ36,0,'VETS-701 Tech Perf Report'!outReportQtr)</f>
        <v>0</v>
      </c>
    </row>
    <row r="37" spans="1:113" ht="18" x14ac:dyDescent="0.35">
      <c r="A37" s="62"/>
      <c r="B37" s="60" t="s">
        <v>2647</v>
      </c>
      <c r="C37" s="544" t="s">
        <v>2726</v>
      </c>
      <c r="D37" s="544"/>
      <c r="E37" s="544"/>
      <c r="F37" s="544"/>
      <c r="G37" s="544"/>
      <c r="H37" s="544"/>
      <c r="I37" s="544"/>
      <c r="J37" s="544"/>
      <c r="K37" s="544"/>
      <c r="L37" s="544"/>
      <c r="M37" s="544"/>
      <c r="N37" s="544"/>
      <c r="O37" s="544"/>
      <c r="P37" s="544"/>
      <c r="Q37" s="544"/>
      <c r="R37" s="544"/>
      <c r="S37" s="544"/>
      <c r="T37" s="544"/>
      <c r="U37" s="544"/>
      <c r="V37" s="544"/>
      <c r="W37" s="544"/>
      <c r="X37" s="544"/>
      <c r="Y37" s="544"/>
      <c r="Z37" s="544"/>
      <c r="AA37" s="545"/>
      <c r="AB37" s="531"/>
      <c r="AC37" s="507"/>
      <c r="AD37" s="507"/>
      <c r="AE37" s="507"/>
      <c r="AF37" s="507"/>
      <c r="AG37" s="507"/>
      <c r="AH37" s="507"/>
      <c r="AI37" s="508"/>
      <c r="AJ37" s="506"/>
      <c r="AK37" s="507"/>
      <c r="AL37" s="507"/>
      <c r="AM37" s="507"/>
      <c r="AN37" s="507"/>
      <c r="AO37" s="507"/>
      <c r="AP37" s="507"/>
      <c r="AQ37" s="508"/>
      <c r="AR37" s="506"/>
      <c r="AS37" s="507"/>
      <c r="AT37" s="507"/>
      <c r="AU37" s="507"/>
      <c r="AV37" s="507"/>
      <c r="AW37" s="507"/>
      <c r="AX37" s="507"/>
      <c r="AY37" s="508"/>
      <c r="AZ37" s="506"/>
      <c r="BA37" s="507"/>
      <c r="BB37" s="507"/>
      <c r="BC37" s="507"/>
      <c r="BD37" s="507"/>
      <c r="BE37" s="507"/>
      <c r="BF37" s="507"/>
      <c r="BG37" s="508"/>
      <c r="BH37" s="471"/>
      <c r="BI37" s="469"/>
      <c r="BJ37" s="469"/>
      <c r="BK37" s="469"/>
      <c r="BL37" s="469"/>
      <c r="BM37" s="469"/>
      <c r="BN37" s="469"/>
      <c r="BO37" s="470"/>
      <c r="BP37" s="471"/>
      <c r="BQ37" s="469"/>
      <c r="BR37" s="469"/>
      <c r="BS37" s="469"/>
      <c r="BT37" s="469"/>
      <c r="BU37" s="469"/>
      <c r="BV37" s="469"/>
      <c r="BW37" s="470"/>
      <c r="BX37" s="472"/>
      <c r="BY37" s="473"/>
      <c r="BZ37" s="473"/>
      <c r="CA37" s="473"/>
      <c r="CB37" s="473"/>
      <c r="CC37" s="473"/>
      <c r="CD37" s="473"/>
      <c r="CE37" s="474"/>
      <c r="CF37" s="471"/>
      <c r="CG37" s="469"/>
      <c r="CH37" s="469"/>
      <c r="CI37" s="469"/>
      <c r="CJ37" s="469"/>
      <c r="CK37" s="469"/>
      <c r="CL37" s="469"/>
      <c r="CM37" s="502"/>
      <c r="CN37" s="563"/>
      <c r="CO37" s="564"/>
      <c r="CP37" s="564"/>
      <c r="CQ37" s="564"/>
      <c r="CR37" s="564"/>
      <c r="CS37" s="564"/>
      <c r="CT37" s="564"/>
      <c r="CU37" s="565"/>
      <c r="CV37" s="27"/>
      <c r="CZ37" s="251"/>
      <c r="DA37" s="255"/>
      <c r="DB37" s="255"/>
      <c r="DC37" s="255"/>
      <c r="DD37" s="255"/>
      <c r="DE37" s="255"/>
      <c r="DF37" s="255"/>
      <c r="DG37" s="255"/>
      <c r="DH37" s="255"/>
      <c r="DI37" s="255"/>
    </row>
    <row r="38" spans="1:113" ht="18" x14ac:dyDescent="0.35">
      <c r="A38" s="62"/>
      <c r="B38" s="69" t="s">
        <v>2648</v>
      </c>
      <c r="C38" s="544" t="s">
        <v>2727</v>
      </c>
      <c r="D38" s="544"/>
      <c r="E38" s="544"/>
      <c r="F38" s="544"/>
      <c r="G38" s="544"/>
      <c r="H38" s="544"/>
      <c r="I38" s="544"/>
      <c r="J38" s="544"/>
      <c r="K38" s="544"/>
      <c r="L38" s="544"/>
      <c r="M38" s="544"/>
      <c r="N38" s="544"/>
      <c r="O38" s="544"/>
      <c r="P38" s="544"/>
      <c r="Q38" s="544"/>
      <c r="R38" s="544"/>
      <c r="S38" s="544"/>
      <c r="T38" s="544"/>
      <c r="U38" s="544"/>
      <c r="V38" s="544"/>
      <c r="W38" s="544"/>
      <c r="X38" s="544"/>
      <c r="Y38" s="544"/>
      <c r="Z38" s="544"/>
      <c r="AA38" s="545"/>
      <c r="AB38" s="532"/>
      <c r="AC38" s="510"/>
      <c r="AD38" s="510"/>
      <c r="AE38" s="510"/>
      <c r="AF38" s="510"/>
      <c r="AG38" s="510"/>
      <c r="AH38" s="510"/>
      <c r="AI38" s="511"/>
      <c r="AJ38" s="509"/>
      <c r="AK38" s="510"/>
      <c r="AL38" s="510"/>
      <c r="AM38" s="510"/>
      <c r="AN38" s="510"/>
      <c r="AO38" s="510"/>
      <c r="AP38" s="510"/>
      <c r="AQ38" s="511"/>
      <c r="AR38" s="509"/>
      <c r="AS38" s="510"/>
      <c r="AT38" s="510"/>
      <c r="AU38" s="510"/>
      <c r="AV38" s="510"/>
      <c r="AW38" s="510"/>
      <c r="AX38" s="510"/>
      <c r="AY38" s="511"/>
      <c r="AZ38" s="509"/>
      <c r="BA38" s="510"/>
      <c r="BB38" s="510"/>
      <c r="BC38" s="510"/>
      <c r="BD38" s="510"/>
      <c r="BE38" s="510"/>
      <c r="BF38" s="510"/>
      <c r="BG38" s="511"/>
      <c r="BH38" s="471"/>
      <c r="BI38" s="469"/>
      <c r="BJ38" s="469"/>
      <c r="BK38" s="469"/>
      <c r="BL38" s="469"/>
      <c r="BM38" s="469"/>
      <c r="BN38" s="469"/>
      <c r="BO38" s="470"/>
      <c r="BP38" s="471"/>
      <c r="BQ38" s="469"/>
      <c r="BR38" s="469"/>
      <c r="BS38" s="469"/>
      <c r="BT38" s="469"/>
      <c r="BU38" s="469"/>
      <c r="BV38" s="469"/>
      <c r="BW38" s="470"/>
      <c r="BX38" s="472"/>
      <c r="BY38" s="473"/>
      <c r="BZ38" s="473"/>
      <c r="CA38" s="473"/>
      <c r="CB38" s="473"/>
      <c r="CC38" s="473"/>
      <c r="CD38" s="473"/>
      <c r="CE38" s="474"/>
      <c r="CF38" s="471"/>
      <c r="CG38" s="469"/>
      <c r="CH38" s="469"/>
      <c r="CI38" s="469"/>
      <c r="CJ38" s="469"/>
      <c r="CK38" s="469"/>
      <c r="CL38" s="469"/>
      <c r="CM38" s="502"/>
      <c r="CN38" s="563"/>
      <c r="CO38" s="564"/>
      <c r="CP38" s="564"/>
      <c r="CQ38" s="564"/>
      <c r="CR38" s="564"/>
      <c r="CS38" s="564"/>
      <c r="CT38" s="564"/>
      <c r="CU38" s="565"/>
      <c r="CV38" s="27"/>
      <c r="CZ38" s="251"/>
      <c r="DA38" s="255"/>
      <c r="DB38" s="255"/>
      <c r="DC38" s="255"/>
      <c r="DD38" s="255"/>
      <c r="DE38" s="255"/>
      <c r="DF38" s="255"/>
      <c r="DG38" s="255"/>
      <c r="DH38" s="255"/>
      <c r="DI38" s="255"/>
    </row>
    <row r="39" spans="1:113" ht="18" x14ac:dyDescent="0.35">
      <c r="A39" s="62"/>
      <c r="B39" s="69" t="s">
        <v>2649</v>
      </c>
      <c r="C39" s="544" t="s">
        <v>2729</v>
      </c>
      <c r="D39" s="544"/>
      <c r="E39" s="544"/>
      <c r="F39" s="544"/>
      <c r="G39" s="544"/>
      <c r="H39" s="544"/>
      <c r="I39" s="544"/>
      <c r="J39" s="544"/>
      <c r="K39" s="544"/>
      <c r="L39" s="544"/>
      <c r="M39" s="544"/>
      <c r="N39" s="544"/>
      <c r="O39" s="544"/>
      <c r="P39" s="544"/>
      <c r="Q39" s="544"/>
      <c r="R39" s="544"/>
      <c r="S39" s="544"/>
      <c r="T39" s="544"/>
      <c r="U39" s="544"/>
      <c r="V39" s="544"/>
      <c r="W39" s="544"/>
      <c r="X39" s="544"/>
      <c r="Y39" s="544"/>
      <c r="Z39" s="544"/>
      <c r="AA39" s="545"/>
      <c r="AB39" s="532"/>
      <c r="AC39" s="510"/>
      <c r="AD39" s="510"/>
      <c r="AE39" s="510"/>
      <c r="AF39" s="510"/>
      <c r="AG39" s="510"/>
      <c r="AH39" s="510"/>
      <c r="AI39" s="511"/>
      <c r="AJ39" s="509"/>
      <c r="AK39" s="510"/>
      <c r="AL39" s="510"/>
      <c r="AM39" s="510"/>
      <c r="AN39" s="510"/>
      <c r="AO39" s="510"/>
      <c r="AP39" s="510"/>
      <c r="AQ39" s="511"/>
      <c r="AR39" s="509"/>
      <c r="AS39" s="510"/>
      <c r="AT39" s="510"/>
      <c r="AU39" s="510"/>
      <c r="AV39" s="510"/>
      <c r="AW39" s="510"/>
      <c r="AX39" s="510"/>
      <c r="AY39" s="511"/>
      <c r="AZ39" s="509"/>
      <c r="BA39" s="510"/>
      <c r="BB39" s="510"/>
      <c r="BC39" s="510"/>
      <c r="BD39" s="510"/>
      <c r="BE39" s="510"/>
      <c r="BF39" s="510"/>
      <c r="BG39" s="511"/>
      <c r="BH39" s="471"/>
      <c r="BI39" s="469"/>
      <c r="BJ39" s="469"/>
      <c r="BK39" s="469"/>
      <c r="BL39" s="469"/>
      <c r="BM39" s="469"/>
      <c r="BN39" s="469"/>
      <c r="BO39" s="470"/>
      <c r="BP39" s="471"/>
      <c r="BQ39" s="469"/>
      <c r="BR39" s="469"/>
      <c r="BS39" s="469"/>
      <c r="BT39" s="469"/>
      <c r="BU39" s="469"/>
      <c r="BV39" s="469"/>
      <c r="BW39" s="470"/>
      <c r="BX39" s="472"/>
      <c r="BY39" s="473"/>
      <c r="BZ39" s="473"/>
      <c r="CA39" s="473"/>
      <c r="CB39" s="473"/>
      <c r="CC39" s="473"/>
      <c r="CD39" s="473"/>
      <c r="CE39" s="474"/>
      <c r="CF39" s="471"/>
      <c r="CG39" s="469"/>
      <c r="CH39" s="469"/>
      <c r="CI39" s="469"/>
      <c r="CJ39" s="469"/>
      <c r="CK39" s="469"/>
      <c r="CL39" s="469"/>
      <c r="CM39" s="502"/>
      <c r="CN39" s="563"/>
      <c r="CO39" s="564"/>
      <c r="CP39" s="564"/>
      <c r="CQ39" s="564"/>
      <c r="CR39" s="564"/>
      <c r="CS39" s="564"/>
      <c r="CT39" s="564"/>
      <c r="CU39" s="565"/>
      <c r="CV39" s="27"/>
      <c r="CZ39" s="251"/>
      <c r="DA39" s="255"/>
      <c r="DB39" s="255"/>
      <c r="DC39" s="255"/>
      <c r="DD39" s="255"/>
      <c r="DE39" s="255"/>
      <c r="DF39" s="255"/>
      <c r="DG39" s="255"/>
      <c r="DH39" s="255"/>
      <c r="DI39" s="255"/>
    </row>
    <row r="40" spans="1:113" ht="18" x14ac:dyDescent="0.35">
      <c r="A40" s="62"/>
      <c r="B40" s="70" t="s">
        <v>2650</v>
      </c>
      <c r="C40" s="544" t="s">
        <v>2728</v>
      </c>
      <c r="D40" s="544"/>
      <c r="E40" s="544"/>
      <c r="F40" s="544"/>
      <c r="G40" s="544"/>
      <c r="H40" s="544"/>
      <c r="I40" s="544"/>
      <c r="J40" s="544"/>
      <c r="K40" s="544"/>
      <c r="L40" s="544"/>
      <c r="M40" s="544"/>
      <c r="N40" s="544"/>
      <c r="O40" s="544"/>
      <c r="P40" s="544"/>
      <c r="Q40" s="544"/>
      <c r="R40" s="544"/>
      <c r="S40" s="544"/>
      <c r="T40" s="544"/>
      <c r="U40" s="544"/>
      <c r="V40" s="544"/>
      <c r="W40" s="544"/>
      <c r="X40" s="544"/>
      <c r="Y40" s="544"/>
      <c r="Z40" s="544"/>
      <c r="AA40" s="545"/>
      <c r="AB40" s="533"/>
      <c r="AC40" s="517"/>
      <c r="AD40" s="517"/>
      <c r="AE40" s="517"/>
      <c r="AF40" s="517"/>
      <c r="AG40" s="517"/>
      <c r="AH40" s="517"/>
      <c r="AI40" s="518"/>
      <c r="AJ40" s="516"/>
      <c r="AK40" s="517"/>
      <c r="AL40" s="517"/>
      <c r="AM40" s="517"/>
      <c r="AN40" s="517"/>
      <c r="AO40" s="517"/>
      <c r="AP40" s="517"/>
      <c r="AQ40" s="518"/>
      <c r="AR40" s="516"/>
      <c r="AS40" s="517"/>
      <c r="AT40" s="517"/>
      <c r="AU40" s="517"/>
      <c r="AV40" s="517"/>
      <c r="AW40" s="517"/>
      <c r="AX40" s="517"/>
      <c r="AY40" s="518"/>
      <c r="AZ40" s="516"/>
      <c r="BA40" s="517"/>
      <c r="BB40" s="517"/>
      <c r="BC40" s="517"/>
      <c r="BD40" s="517"/>
      <c r="BE40" s="517"/>
      <c r="BF40" s="517"/>
      <c r="BG40" s="518"/>
      <c r="BH40" s="476"/>
      <c r="BI40" s="477"/>
      <c r="BJ40" s="477"/>
      <c r="BK40" s="477"/>
      <c r="BL40" s="477"/>
      <c r="BM40" s="477"/>
      <c r="BN40" s="477"/>
      <c r="BO40" s="483"/>
      <c r="BP40" s="476"/>
      <c r="BQ40" s="477"/>
      <c r="BR40" s="477"/>
      <c r="BS40" s="477"/>
      <c r="BT40" s="477"/>
      <c r="BU40" s="477"/>
      <c r="BV40" s="477"/>
      <c r="BW40" s="483"/>
      <c r="BX40" s="488"/>
      <c r="BY40" s="489"/>
      <c r="BZ40" s="489"/>
      <c r="CA40" s="489"/>
      <c r="CB40" s="489"/>
      <c r="CC40" s="489"/>
      <c r="CD40" s="489"/>
      <c r="CE40" s="490"/>
      <c r="CF40" s="476"/>
      <c r="CG40" s="477"/>
      <c r="CH40" s="477"/>
      <c r="CI40" s="477"/>
      <c r="CJ40" s="477"/>
      <c r="CK40" s="477"/>
      <c r="CL40" s="477"/>
      <c r="CM40" s="515"/>
      <c r="CN40" s="550"/>
      <c r="CO40" s="551"/>
      <c r="CP40" s="551"/>
      <c r="CQ40" s="551"/>
      <c r="CR40" s="551"/>
      <c r="CS40" s="551"/>
      <c r="CT40" s="551"/>
      <c r="CU40" s="552"/>
      <c r="CV40" s="27"/>
      <c r="CZ40" s="251"/>
      <c r="DA40" s="255"/>
      <c r="DB40" s="255"/>
      <c r="DC40" s="255"/>
      <c r="DD40" s="255"/>
      <c r="DE40" s="255"/>
      <c r="DF40" s="255"/>
      <c r="DG40" s="255"/>
      <c r="DH40" s="255"/>
      <c r="DI40" s="255"/>
    </row>
    <row r="41" spans="1:113" ht="9.75" customHeight="1" x14ac:dyDescent="0.35">
      <c r="A41" s="30"/>
      <c r="B41" s="71"/>
      <c r="C41" s="32"/>
      <c r="D41" s="30"/>
      <c r="E41" s="30"/>
      <c r="F41" s="30"/>
      <c r="G41" s="30"/>
      <c r="H41" s="30"/>
      <c r="I41" s="30"/>
      <c r="J41" s="30"/>
      <c r="K41" s="30"/>
      <c r="L41" s="30"/>
      <c r="M41" s="30"/>
      <c r="N41" s="30"/>
      <c r="O41" s="30"/>
      <c r="P41" s="30"/>
      <c r="Q41" s="30"/>
      <c r="R41" s="30"/>
      <c r="S41" s="30"/>
      <c r="T41" s="30"/>
      <c r="U41" s="30"/>
      <c r="V41" s="30"/>
      <c r="W41" s="30"/>
      <c r="X41" s="30"/>
      <c r="Y41" s="30"/>
      <c r="Z41" s="30"/>
      <c r="AA41" s="32"/>
      <c r="AB41" s="43"/>
      <c r="AC41" s="40"/>
      <c r="AD41" s="40"/>
      <c r="AE41" s="40"/>
      <c r="AF41" s="40"/>
      <c r="AG41" s="40"/>
      <c r="AH41" s="30"/>
      <c r="AI41" s="30"/>
      <c r="AJ41" s="54"/>
      <c r="AK41" s="55"/>
      <c r="AL41" s="55"/>
      <c r="AM41" s="55"/>
      <c r="AN41" s="55"/>
      <c r="AO41" s="55"/>
      <c r="AP41" s="30"/>
      <c r="AQ41" s="30"/>
      <c r="AR41" s="43"/>
      <c r="AS41" s="40"/>
      <c r="AT41" s="40"/>
      <c r="AU41" s="40"/>
      <c r="AV41" s="40"/>
      <c r="AW41" s="40"/>
      <c r="AX41" s="30"/>
      <c r="AY41" s="30"/>
      <c r="AZ41" s="43"/>
      <c r="BA41" s="40"/>
      <c r="BB41" s="40"/>
      <c r="BC41" s="40"/>
      <c r="BD41" s="40"/>
      <c r="BE41" s="40"/>
      <c r="BF41" s="30"/>
      <c r="BG41" s="30"/>
      <c r="BH41" s="30"/>
      <c r="BI41" s="32"/>
      <c r="BJ41" s="32"/>
      <c r="BK41" s="30"/>
      <c r="BL41" s="30"/>
      <c r="BM41" s="30"/>
      <c r="BN41" s="30"/>
      <c r="BO41" s="30"/>
      <c r="BP41" s="32"/>
      <c r="BQ41" s="32"/>
      <c r="BR41" s="30"/>
      <c r="BS41" s="30"/>
      <c r="BT41" s="30"/>
      <c r="BU41" s="30"/>
      <c r="BV41" s="30"/>
      <c r="BW41" s="32"/>
      <c r="BX41" s="32"/>
      <c r="BY41" s="30"/>
      <c r="BZ41" s="30"/>
      <c r="CA41" s="30"/>
      <c r="CB41" s="30"/>
      <c r="CC41" s="30"/>
      <c r="CD41" s="35"/>
      <c r="CE41" s="31"/>
      <c r="CF41" s="31"/>
      <c r="CG41" s="31"/>
      <c r="CH41" s="31"/>
      <c r="CI41" s="31"/>
      <c r="CJ41" s="31"/>
      <c r="CK41" s="31"/>
      <c r="CL41" s="31"/>
      <c r="CM41" s="35"/>
      <c r="CN41" s="77"/>
      <c r="CO41" s="78"/>
      <c r="CP41" s="78"/>
      <c r="CQ41" s="78"/>
      <c r="CR41" s="78"/>
      <c r="CS41" s="78"/>
      <c r="CT41" s="78"/>
      <c r="CU41" s="73"/>
      <c r="CV41" s="27"/>
      <c r="CZ41" s="251"/>
      <c r="DA41" s="255"/>
      <c r="DB41" s="255"/>
      <c r="DC41" s="255"/>
      <c r="DD41" s="255"/>
      <c r="DE41" s="255"/>
      <c r="DF41" s="255"/>
      <c r="DG41" s="255"/>
      <c r="DH41" s="255"/>
      <c r="DI41" s="255"/>
    </row>
    <row r="42" spans="1:113" ht="18" x14ac:dyDescent="0.35">
      <c r="A42" s="35"/>
      <c r="B42" s="554" t="s">
        <v>2839</v>
      </c>
      <c r="C42" s="555"/>
      <c r="D42" s="555"/>
      <c r="E42" s="555"/>
      <c r="F42" s="555"/>
      <c r="G42" s="555"/>
      <c r="H42" s="555"/>
      <c r="I42" s="555"/>
      <c r="J42" s="555"/>
      <c r="K42" s="555"/>
      <c r="L42" s="555"/>
      <c r="M42" s="555"/>
      <c r="N42" s="555"/>
      <c r="O42" s="556"/>
      <c r="P42" s="556"/>
      <c r="Q42" s="556"/>
      <c r="R42" s="556"/>
      <c r="S42" s="556"/>
      <c r="T42" s="556"/>
      <c r="U42" s="556"/>
      <c r="V42" s="556"/>
      <c r="W42" s="556"/>
      <c r="X42" s="556"/>
      <c r="Y42" s="556"/>
      <c r="Z42" s="556"/>
      <c r="AA42" s="59"/>
      <c r="AB42" s="560"/>
      <c r="AC42" s="561"/>
      <c r="AD42" s="561"/>
      <c r="AE42" s="561"/>
      <c r="AF42" s="561"/>
      <c r="AG42" s="561"/>
      <c r="AH42" s="561"/>
      <c r="AI42" s="562"/>
      <c r="AJ42" s="492"/>
      <c r="AK42" s="493"/>
      <c r="AL42" s="493"/>
      <c r="AM42" s="493"/>
      <c r="AN42" s="493"/>
      <c r="AO42" s="493"/>
      <c r="AP42" s="493"/>
      <c r="AQ42" s="494"/>
      <c r="AR42" s="560"/>
      <c r="AS42" s="561"/>
      <c r="AT42" s="561"/>
      <c r="AU42" s="561"/>
      <c r="AV42" s="561"/>
      <c r="AW42" s="561"/>
      <c r="AX42" s="561"/>
      <c r="AY42" s="562"/>
      <c r="AZ42" s="492"/>
      <c r="BA42" s="493"/>
      <c r="BB42" s="493"/>
      <c r="BC42" s="493"/>
      <c r="BD42" s="493"/>
      <c r="BE42" s="493"/>
      <c r="BF42" s="493"/>
      <c r="BG42" s="494"/>
      <c r="BH42" s="492"/>
      <c r="BI42" s="493"/>
      <c r="BJ42" s="493"/>
      <c r="BK42" s="493"/>
      <c r="BL42" s="493"/>
      <c r="BM42" s="493"/>
      <c r="BN42" s="493"/>
      <c r="BO42" s="494"/>
      <c r="BP42" s="492"/>
      <c r="BQ42" s="493"/>
      <c r="BR42" s="493"/>
      <c r="BS42" s="493"/>
      <c r="BT42" s="493"/>
      <c r="BU42" s="493"/>
      <c r="BV42" s="493"/>
      <c r="BW42" s="494"/>
      <c r="BX42" s="492"/>
      <c r="BY42" s="493"/>
      <c r="BZ42" s="493"/>
      <c r="CA42" s="493"/>
      <c r="CB42" s="493"/>
      <c r="CC42" s="493"/>
      <c r="CD42" s="493"/>
      <c r="CE42" s="494"/>
      <c r="CF42" s="492"/>
      <c r="CG42" s="493"/>
      <c r="CH42" s="493"/>
      <c r="CI42" s="493"/>
      <c r="CJ42" s="493"/>
      <c r="CK42" s="493"/>
      <c r="CL42" s="493"/>
      <c r="CM42" s="494"/>
      <c r="CN42" s="492"/>
      <c r="CO42" s="493"/>
      <c r="CP42" s="493"/>
      <c r="CQ42" s="493"/>
      <c r="CR42" s="493"/>
      <c r="CS42" s="493"/>
      <c r="CT42" s="493"/>
      <c r="CU42" s="501"/>
      <c r="CV42" s="27"/>
      <c r="CZ42" s="251"/>
      <c r="DA42" s="255"/>
      <c r="DB42" s="255"/>
      <c r="DC42" s="255"/>
      <c r="DD42" s="255"/>
      <c r="DE42" s="255"/>
      <c r="DF42" s="255"/>
      <c r="DG42" s="255"/>
      <c r="DH42" s="255"/>
      <c r="DI42" s="255"/>
    </row>
    <row r="43" spans="1:113" ht="18" x14ac:dyDescent="0.35">
      <c r="A43" s="34"/>
      <c r="B43" s="57" t="s">
        <v>2643</v>
      </c>
      <c r="C43" s="542" t="s">
        <v>2637</v>
      </c>
      <c r="D43" s="542"/>
      <c r="E43" s="542"/>
      <c r="F43" s="542"/>
      <c r="G43" s="542"/>
      <c r="H43" s="542"/>
      <c r="I43" s="542"/>
      <c r="J43" s="542"/>
      <c r="K43" s="542"/>
      <c r="L43" s="542"/>
      <c r="M43" s="542"/>
      <c r="N43" s="542"/>
      <c r="O43" s="542"/>
      <c r="P43" s="542"/>
      <c r="Q43" s="542"/>
      <c r="R43" s="542"/>
      <c r="S43" s="542"/>
      <c r="T43" s="542"/>
      <c r="U43" s="542"/>
      <c r="V43" s="542"/>
      <c r="W43" s="542"/>
      <c r="X43" s="542"/>
      <c r="Y43" s="542"/>
      <c r="Z43" s="542"/>
      <c r="AA43" s="543"/>
      <c r="AB43" s="549"/>
      <c r="AC43" s="496"/>
      <c r="AD43" s="496"/>
      <c r="AE43" s="496"/>
      <c r="AF43" s="496"/>
      <c r="AG43" s="496"/>
      <c r="AH43" s="496"/>
      <c r="AI43" s="497"/>
      <c r="AJ43" s="495"/>
      <c r="AK43" s="496"/>
      <c r="AL43" s="496"/>
      <c r="AM43" s="496"/>
      <c r="AN43" s="496"/>
      <c r="AO43" s="496"/>
      <c r="AP43" s="496"/>
      <c r="AQ43" s="497"/>
      <c r="AR43" s="495"/>
      <c r="AS43" s="496"/>
      <c r="AT43" s="496"/>
      <c r="AU43" s="496"/>
      <c r="AV43" s="496"/>
      <c r="AW43" s="496"/>
      <c r="AX43" s="496"/>
      <c r="AY43" s="497"/>
      <c r="AZ43" s="495"/>
      <c r="BA43" s="496"/>
      <c r="BB43" s="496"/>
      <c r="BC43" s="496"/>
      <c r="BD43" s="496"/>
      <c r="BE43" s="496"/>
      <c r="BF43" s="496"/>
      <c r="BG43" s="497"/>
      <c r="BH43" s="484"/>
      <c r="BI43" s="480"/>
      <c r="BJ43" s="480"/>
      <c r="BK43" s="480"/>
      <c r="BL43" s="480"/>
      <c r="BM43" s="480"/>
      <c r="BN43" s="480"/>
      <c r="BO43" s="481"/>
      <c r="BP43" s="485"/>
      <c r="BQ43" s="486"/>
      <c r="BR43" s="486"/>
      <c r="BS43" s="486"/>
      <c r="BT43" s="486"/>
      <c r="BU43" s="486"/>
      <c r="BV43" s="486"/>
      <c r="BW43" s="487"/>
      <c r="BX43" s="485"/>
      <c r="BY43" s="486"/>
      <c r="BZ43" s="486"/>
      <c r="CA43" s="486"/>
      <c r="CB43" s="486"/>
      <c r="CC43" s="486"/>
      <c r="CD43" s="486"/>
      <c r="CE43" s="487"/>
      <c r="CF43" s="484"/>
      <c r="CG43" s="480"/>
      <c r="CH43" s="480"/>
      <c r="CI43" s="480"/>
      <c r="CJ43" s="480"/>
      <c r="CK43" s="480"/>
      <c r="CL43" s="480"/>
      <c r="CM43" s="491"/>
      <c r="CN43" s="558"/>
      <c r="CO43" s="558"/>
      <c r="CP43" s="558"/>
      <c r="CQ43" s="558"/>
      <c r="CR43" s="558"/>
      <c r="CS43" s="558"/>
      <c r="CT43" s="558"/>
      <c r="CU43" s="559"/>
      <c r="CV43" s="27"/>
      <c r="CZ43" s="251" t="s">
        <v>2919</v>
      </c>
      <c r="DA43" s="245">
        <v>0</v>
      </c>
      <c r="DB43" s="245">
        <v>0</v>
      </c>
      <c r="DC43" s="245">
        <v>0</v>
      </c>
      <c r="DD43" s="245">
        <f t="shared" ref="DD43:DD48" si="15">IFERROR(ROUND(CN43,0),0)</f>
        <v>0</v>
      </c>
      <c r="DE43" s="245">
        <f t="shared" ref="DE43:DE48" si="16">DD43</f>
        <v>0</v>
      </c>
      <c r="DF43" s="245">
        <f t="shared" ref="DF43:DF48" si="17">DD43</f>
        <v>0</v>
      </c>
      <c r="DG43" s="245">
        <f t="shared" ref="DG43:DG48" si="18">DD43</f>
        <v>0</v>
      </c>
      <c r="DH43" s="245">
        <f t="shared" ref="DH43:DH48" si="19">DD43</f>
        <v>0</v>
      </c>
      <c r="DI43" s="245">
        <f ca="1">OFFSET(CZ43,0,'VETS-701 Tech Perf Report'!outReportQtr)</f>
        <v>0</v>
      </c>
    </row>
    <row r="44" spans="1:113" ht="18" x14ac:dyDescent="0.35">
      <c r="A44" s="34"/>
      <c r="B44" s="58" t="s">
        <v>2644</v>
      </c>
      <c r="C44" s="544" t="s">
        <v>2619</v>
      </c>
      <c r="D44" s="544"/>
      <c r="E44" s="544"/>
      <c r="F44" s="544"/>
      <c r="G44" s="544"/>
      <c r="H44" s="544"/>
      <c r="I44" s="544"/>
      <c r="J44" s="544"/>
      <c r="K44" s="544"/>
      <c r="L44" s="544"/>
      <c r="M44" s="544"/>
      <c r="N44" s="544"/>
      <c r="O44" s="544"/>
      <c r="P44" s="544"/>
      <c r="Q44" s="544"/>
      <c r="R44" s="544"/>
      <c r="S44" s="544"/>
      <c r="T44" s="544"/>
      <c r="U44" s="544"/>
      <c r="V44" s="544"/>
      <c r="W44" s="544"/>
      <c r="X44" s="544"/>
      <c r="Y44" s="544"/>
      <c r="Z44" s="544"/>
      <c r="AA44" s="545"/>
      <c r="AB44" s="548"/>
      <c r="AC44" s="499"/>
      <c r="AD44" s="499"/>
      <c r="AE44" s="499"/>
      <c r="AF44" s="499"/>
      <c r="AG44" s="499"/>
      <c r="AH44" s="499"/>
      <c r="AI44" s="500"/>
      <c r="AJ44" s="498"/>
      <c r="AK44" s="499"/>
      <c r="AL44" s="499"/>
      <c r="AM44" s="499"/>
      <c r="AN44" s="499"/>
      <c r="AO44" s="499"/>
      <c r="AP44" s="499"/>
      <c r="AQ44" s="500"/>
      <c r="AR44" s="498"/>
      <c r="AS44" s="499"/>
      <c r="AT44" s="499"/>
      <c r="AU44" s="499"/>
      <c r="AV44" s="499"/>
      <c r="AW44" s="499"/>
      <c r="AX44" s="499"/>
      <c r="AY44" s="500"/>
      <c r="AZ44" s="498"/>
      <c r="BA44" s="499"/>
      <c r="BB44" s="499"/>
      <c r="BC44" s="499"/>
      <c r="BD44" s="499"/>
      <c r="BE44" s="499"/>
      <c r="BF44" s="499"/>
      <c r="BG44" s="500"/>
      <c r="BH44" s="471"/>
      <c r="BI44" s="469"/>
      <c r="BJ44" s="469"/>
      <c r="BK44" s="469"/>
      <c r="BL44" s="469"/>
      <c r="BM44" s="469"/>
      <c r="BN44" s="469"/>
      <c r="BO44" s="470"/>
      <c r="BP44" s="472"/>
      <c r="BQ44" s="473"/>
      <c r="BR44" s="473"/>
      <c r="BS44" s="473"/>
      <c r="BT44" s="473"/>
      <c r="BU44" s="473"/>
      <c r="BV44" s="473"/>
      <c r="BW44" s="474"/>
      <c r="BX44" s="472"/>
      <c r="BY44" s="473"/>
      <c r="BZ44" s="473"/>
      <c r="CA44" s="473"/>
      <c r="CB44" s="473"/>
      <c r="CC44" s="473"/>
      <c r="CD44" s="473"/>
      <c r="CE44" s="474"/>
      <c r="CF44" s="471"/>
      <c r="CG44" s="469"/>
      <c r="CH44" s="469"/>
      <c r="CI44" s="469"/>
      <c r="CJ44" s="469"/>
      <c r="CK44" s="469"/>
      <c r="CL44" s="469"/>
      <c r="CM44" s="475"/>
      <c r="CN44" s="536"/>
      <c r="CO44" s="536"/>
      <c r="CP44" s="536"/>
      <c r="CQ44" s="536"/>
      <c r="CR44" s="536"/>
      <c r="CS44" s="536"/>
      <c r="CT44" s="536"/>
      <c r="CU44" s="537"/>
      <c r="CV44" s="27"/>
      <c r="CZ44" s="251" t="s">
        <v>2909</v>
      </c>
      <c r="DA44" s="245">
        <v>0</v>
      </c>
      <c r="DB44" s="245">
        <v>0</v>
      </c>
      <c r="DC44" s="245">
        <v>0</v>
      </c>
      <c r="DD44" s="245">
        <f t="shared" si="15"/>
        <v>0</v>
      </c>
      <c r="DE44" s="245">
        <f t="shared" si="16"/>
        <v>0</v>
      </c>
      <c r="DF44" s="245">
        <f t="shared" si="17"/>
        <v>0</v>
      </c>
      <c r="DG44" s="245">
        <f t="shared" si="18"/>
        <v>0</v>
      </c>
      <c r="DH44" s="245">
        <f t="shared" si="19"/>
        <v>0</v>
      </c>
      <c r="DI44" s="245">
        <f ca="1">OFFSET(CZ44,0,'VETS-701 Tech Perf Report'!outReportQtr)</f>
        <v>0</v>
      </c>
    </row>
    <row r="45" spans="1:113" ht="18" x14ac:dyDescent="0.35">
      <c r="A45" s="34"/>
      <c r="B45" s="58" t="s">
        <v>2645</v>
      </c>
      <c r="C45" s="553" t="s">
        <v>2724</v>
      </c>
      <c r="D45" s="544"/>
      <c r="E45" s="544"/>
      <c r="F45" s="544"/>
      <c r="G45" s="544"/>
      <c r="H45" s="544"/>
      <c r="I45" s="544"/>
      <c r="J45" s="544"/>
      <c r="K45" s="544"/>
      <c r="L45" s="544"/>
      <c r="M45" s="544"/>
      <c r="N45" s="544"/>
      <c r="O45" s="544"/>
      <c r="P45" s="544"/>
      <c r="Q45" s="544"/>
      <c r="R45" s="544"/>
      <c r="S45" s="544"/>
      <c r="T45" s="544"/>
      <c r="U45" s="544"/>
      <c r="V45" s="544"/>
      <c r="W45" s="544"/>
      <c r="X45" s="544"/>
      <c r="Y45" s="544"/>
      <c r="Z45" s="544"/>
      <c r="AA45" s="545"/>
      <c r="AB45" s="548"/>
      <c r="AC45" s="499"/>
      <c r="AD45" s="499"/>
      <c r="AE45" s="499"/>
      <c r="AF45" s="499"/>
      <c r="AG45" s="499"/>
      <c r="AH45" s="499"/>
      <c r="AI45" s="500"/>
      <c r="AJ45" s="498"/>
      <c r="AK45" s="499"/>
      <c r="AL45" s="499"/>
      <c r="AM45" s="499"/>
      <c r="AN45" s="499"/>
      <c r="AO45" s="499"/>
      <c r="AP45" s="499"/>
      <c r="AQ45" s="500"/>
      <c r="AR45" s="498"/>
      <c r="AS45" s="499"/>
      <c r="AT45" s="499"/>
      <c r="AU45" s="499"/>
      <c r="AV45" s="499"/>
      <c r="AW45" s="499"/>
      <c r="AX45" s="499"/>
      <c r="AY45" s="500"/>
      <c r="AZ45" s="498"/>
      <c r="BA45" s="499"/>
      <c r="BB45" s="499"/>
      <c r="BC45" s="499"/>
      <c r="BD45" s="499"/>
      <c r="BE45" s="499"/>
      <c r="BF45" s="499"/>
      <c r="BG45" s="500"/>
      <c r="BH45" s="471"/>
      <c r="BI45" s="469"/>
      <c r="BJ45" s="469"/>
      <c r="BK45" s="469"/>
      <c r="BL45" s="469"/>
      <c r="BM45" s="469"/>
      <c r="BN45" s="469"/>
      <c r="BO45" s="470"/>
      <c r="BP45" s="472"/>
      <c r="BQ45" s="473"/>
      <c r="BR45" s="473"/>
      <c r="BS45" s="473"/>
      <c r="BT45" s="473"/>
      <c r="BU45" s="473"/>
      <c r="BV45" s="473"/>
      <c r="BW45" s="474"/>
      <c r="BX45" s="472"/>
      <c r="BY45" s="473"/>
      <c r="BZ45" s="473"/>
      <c r="CA45" s="473"/>
      <c r="CB45" s="473"/>
      <c r="CC45" s="473"/>
      <c r="CD45" s="473"/>
      <c r="CE45" s="474"/>
      <c r="CF45" s="471"/>
      <c r="CG45" s="469"/>
      <c r="CH45" s="469"/>
      <c r="CI45" s="469"/>
      <c r="CJ45" s="469"/>
      <c r="CK45" s="469"/>
      <c r="CL45" s="469"/>
      <c r="CM45" s="475"/>
      <c r="CN45" s="536"/>
      <c r="CO45" s="536"/>
      <c r="CP45" s="536"/>
      <c r="CQ45" s="536"/>
      <c r="CR45" s="536"/>
      <c r="CS45" s="536"/>
      <c r="CT45" s="536"/>
      <c r="CU45" s="537"/>
      <c r="CV45" s="27"/>
      <c r="CZ45" s="251" t="s">
        <v>2910</v>
      </c>
      <c r="DA45" s="245">
        <v>0</v>
      </c>
      <c r="DB45" s="245">
        <v>0</v>
      </c>
      <c r="DC45" s="245">
        <v>0</v>
      </c>
      <c r="DD45" s="245">
        <f t="shared" si="15"/>
        <v>0</v>
      </c>
      <c r="DE45" s="245">
        <f t="shared" si="16"/>
        <v>0</v>
      </c>
      <c r="DF45" s="245">
        <f t="shared" si="17"/>
        <v>0</v>
      </c>
      <c r="DG45" s="245">
        <f t="shared" si="18"/>
        <v>0</v>
      </c>
      <c r="DH45" s="245">
        <f t="shared" si="19"/>
        <v>0</v>
      </c>
      <c r="DI45" s="245">
        <f ca="1">OFFSET(CZ45,0,'VETS-701 Tech Perf Report'!outReportQtr)</f>
        <v>0</v>
      </c>
    </row>
    <row r="46" spans="1:113" ht="18" x14ac:dyDescent="0.35">
      <c r="A46" s="34"/>
      <c r="B46" s="58" t="s">
        <v>2646</v>
      </c>
      <c r="C46" s="544" t="s">
        <v>2725</v>
      </c>
      <c r="D46" s="544"/>
      <c r="E46" s="544"/>
      <c r="F46" s="544"/>
      <c r="G46" s="544"/>
      <c r="H46" s="544"/>
      <c r="I46" s="544"/>
      <c r="J46" s="544"/>
      <c r="K46" s="544"/>
      <c r="L46" s="544"/>
      <c r="M46" s="544"/>
      <c r="N46" s="544"/>
      <c r="O46" s="544"/>
      <c r="P46" s="544"/>
      <c r="Q46" s="544"/>
      <c r="R46" s="544"/>
      <c r="S46" s="544"/>
      <c r="T46" s="544"/>
      <c r="U46" s="544"/>
      <c r="V46" s="544"/>
      <c r="W46" s="544"/>
      <c r="X46" s="544"/>
      <c r="Y46" s="544"/>
      <c r="Z46" s="544"/>
      <c r="AA46" s="545"/>
      <c r="AB46" s="548"/>
      <c r="AC46" s="499"/>
      <c r="AD46" s="499"/>
      <c r="AE46" s="499"/>
      <c r="AF46" s="499"/>
      <c r="AG46" s="499"/>
      <c r="AH46" s="499"/>
      <c r="AI46" s="500"/>
      <c r="AJ46" s="498"/>
      <c r="AK46" s="499"/>
      <c r="AL46" s="499"/>
      <c r="AM46" s="499"/>
      <c r="AN46" s="499"/>
      <c r="AO46" s="499"/>
      <c r="AP46" s="499"/>
      <c r="AQ46" s="500"/>
      <c r="AR46" s="498"/>
      <c r="AS46" s="499"/>
      <c r="AT46" s="499"/>
      <c r="AU46" s="499"/>
      <c r="AV46" s="499"/>
      <c r="AW46" s="499"/>
      <c r="AX46" s="499"/>
      <c r="AY46" s="500"/>
      <c r="AZ46" s="498"/>
      <c r="BA46" s="499"/>
      <c r="BB46" s="499"/>
      <c r="BC46" s="499"/>
      <c r="BD46" s="499"/>
      <c r="BE46" s="499"/>
      <c r="BF46" s="499"/>
      <c r="BG46" s="500"/>
      <c r="BH46" s="471"/>
      <c r="BI46" s="469"/>
      <c r="BJ46" s="469"/>
      <c r="BK46" s="469"/>
      <c r="BL46" s="469"/>
      <c r="BM46" s="469"/>
      <c r="BN46" s="469"/>
      <c r="BO46" s="470"/>
      <c r="BP46" s="472"/>
      <c r="BQ46" s="473"/>
      <c r="BR46" s="473"/>
      <c r="BS46" s="473"/>
      <c r="BT46" s="473"/>
      <c r="BU46" s="473"/>
      <c r="BV46" s="473"/>
      <c r="BW46" s="474"/>
      <c r="BX46" s="472"/>
      <c r="BY46" s="473"/>
      <c r="BZ46" s="473"/>
      <c r="CA46" s="473"/>
      <c r="CB46" s="473"/>
      <c r="CC46" s="473"/>
      <c r="CD46" s="473"/>
      <c r="CE46" s="474"/>
      <c r="CF46" s="471"/>
      <c r="CG46" s="469"/>
      <c r="CH46" s="469"/>
      <c r="CI46" s="469"/>
      <c r="CJ46" s="469"/>
      <c r="CK46" s="469"/>
      <c r="CL46" s="469"/>
      <c r="CM46" s="475"/>
      <c r="CN46" s="536"/>
      <c r="CO46" s="536"/>
      <c r="CP46" s="536"/>
      <c r="CQ46" s="536"/>
      <c r="CR46" s="536"/>
      <c r="CS46" s="536"/>
      <c r="CT46" s="536"/>
      <c r="CU46" s="537"/>
      <c r="CV46" s="27"/>
      <c r="CZ46" s="251" t="s">
        <v>2911</v>
      </c>
      <c r="DA46" s="245">
        <v>0</v>
      </c>
      <c r="DB46" s="245">
        <v>0</v>
      </c>
      <c r="DC46" s="245">
        <v>0</v>
      </c>
      <c r="DD46" s="245">
        <f t="shared" si="15"/>
        <v>0</v>
      </c>
      <c r="DE46" s="245">
        <f t="shared" si="16"/>
        <v>0</v>
      </c>
      <c r="DF46" s="245">
        <f t="shared" si="17"/>
        <v>0</v>
      </c>
      <c r="DG46" s="245">
        <f t="shared" si="18"/>
        <v>0</v>
      </c>
      <c r="DH46" s="245">
        <f t="shared" si="19"/>
        <v>0</v>
      </c>
      <c r="DI46" s="245">
        <f ca="1">OFFSET(CZ46,0,'VETS-701 Tech Perf Report'!outReportQtr)</f>
        <v>0</v>
      </c>
    </row>
    <row r="47" spans="1:113" ht="18" x14ac:dyDescent="0.35">
      <c r="A47" s="35"/>
      <c r="B47" s="66" t="s">
        <v>2647</v>
      </c>
      <c r="C47" s="544" t="s">
        <v>2521</v>
      </c>
      <c r="D47" s="544"/>
      <c r="E47" s="544"/>
      <c r="F47" s="544"/>
      <c r="G47" s="544"/>
      <c r="H47" s="544"/>
      <c r="I47" s="544"/>
      <c r="J47" s="544"/>
      <c r="K47" s="544"/>
      <c r="L47" s="544"/>
      <c r="M47" s="544"/>
      <c r="N47" s="544"/>
      <c r="O47" s="544"/>
      <c r="P47" s="544"/>
      <c r="Q47" s="544"/>
      <c r="R47" s="544"/>
      <c r="S47" s="544"/>
      <c r="T47" s="544"/>
      <c r="U47" s="544"/>
      <c r="V47" s="544"/>
      <c r="W47" s="544"/>
      <c r="X47" s="544"/>
      <c r="Y47" s="544"/>
      <c r="Z47" s="544"/>
      <c r="AA47" s="545"/>
      <c r="AB47" s="548"/>
      <c r="AC47" s="499"/>
      <c r="AD47" s="499"/>
      <c r="AE47" s="499"/>
      <c r="AF47" s="499"/>
      <c r="AG47" s="499"/>
      <c r="AH47" s="499"/>
      <c r="AI47" s="500"/>
      <c r="AJ47" s="498"/>
      <c r="AK47" s="499"/>
      <c r="AL47" s="499"/>
      <c r="AM47" s="499"/>
      <c r="AN47" s="499"/>
      <c r="AO47" s="499"/>
      <c r="AP47" s="499"/>
      <c r="AQ47" s="500"/>
      <c r="AR47" s="498"/>
      <c r="AS47" s="499"/>
      <c r="AT47" s="499"/>
      <c r="AU47" s="499"/>
      <c r="AV47" s="499"/>
      <c r="AW47" s="499"/>
      <c r="AX47" s="499"/>
      <c r="AY47" s="500"/>
      <c r="AZ47" s="498"/>
      <c r="BA47" s="499"/>
      <c r="BB47" s="499"/>
      <c r="BC47" s="499"/>
      <c r="BD47" s="499"/>
      <c r="BE47" s="499"/>
      <c r="BF47" s="499"/>
      <c r="BG47" s="500"/>
      <c r="BH47" s="471"/>
      <c r="BI47" s="469"/>
      <c r="BJ47" s="469"/>
      <c r="BK47" s="469"/>
      <c r="BL47" s="469"/>
      <c r="BM47" s="469"/>
      <c r="BN47" s="469"/>
      <c r="BO47" s="470"/>
      <c r="BP47" s="472"/>
      <c r="BQ47" s="473"/>
      <c r="BR47" s="473"/>
      <c r="BS47" s="473"/>
      <c r="BT47" s="473"/>
      <c r="BU47" s="473"/>
      <c r="BV47" s="473"/>
      <c r="BW47" s="474"/>
      <c r="BX47" s="472"/>
      <c r="BY47" s="473"/>
      <c r="BZ47" s="473"/>
      <c r="CA47" s="473"/>
      <c r="CB47" s="473"/>
      <c r="CC47" s="473"/>
      <c r="CD47" s="473"/>
      <c r="CE47" s="474"/>
      <c r="CF47" s="471"/>
      <c r="CG47" s="469"/>
      <c r="CH47" s="469"/>
      <c r="CI47" s="469"/>
      <c r="CJ47" s="469"/>
      <c r="CK47" s="469"/>
      <c r="CL47" s="469"/>
      <c r="CM47" s="475"/>
      <c r="CN47" s="536"/>
      <c r="CO47" s="536"/>
      <c r="CP47" s="536"/>
      <c r="CQ47" s="536"/>
      <c r="CR47" s="536"/>
      <c r="CS47" s="536"/>
      <c r="CT47" s="536"/>
      <c r="CU47" s="537"/>
      <c r="CV47" s="27"/>
      <c r="CZ47" s="251" t="s">
        <v>2918</v>
      </c>
      <c r="DA47" s="245">
        <v>0</v>
      </c>
      <c r="DB47" s="245">
        <v>0</v>
      </c>
      <c r="DC47" s="245">
        <v>0</v>
      </c>
      <c r="DD47" s="245">
        <f t="shared" si="15"/>
        <v>0</v>
      </c>
      <c r="DE47" s="245">
        <f t="shared" si="16"/>
        <v>0</v>
      </c>
      <c r="DF47" s="245">
        <f t="shared" si="17"/>
        <v>0</v>
      </c>
      <c r="DG47" s="245">
        <f t="shared" si="18"/>
        <v>0</v>
      </c>
      <c r="DH47" s="245">
        <f t="shared" si="19"/>
        <v>0</v>
      </c>
      <c r="DI47" s="245">
        <f ca="1">OFFSET(CZ47,0,'VETS-701 Tech Perf Report'!outReportQtr)</f>
        <v>0</v>
      </c>
    </row>
    <row r="48" spans="1:113" ht="18" x14ac:dyDescent="0.35">
      <c r="A48" s="34"/>
      <c r="B48" s="67" t="s">
        <v>2648</v>
      </c>
      <c r="C48" s="544" t="s">
        <v>2514</v>
      </c>
      <c r="D48" s="544"/>
      <c r="E48" s="544"/>
      <c r="F48" s="544"/>
      <c r="G48" s="544"/>
      <c r="H48" s="544"/>
      <c r="I48" s="544"/>
      <c r="J48" s="544"/>
      <c r="K48" s="544"/>
      <c r="L48" s="544"/>
      <c r="M48" s="544"/>
      <c r="N48" s="544"/>
      <c r="O48" s="544"/>
      <c r="P48" s="544"/>
      <c r="Q48" s="544"/>
      <c r="R48" s="544"/>
      <c r="S48" s="544"/>
      <c r="T48" s="544"/>
      <c r="U48" s="544"/>
      <c r="V48" s="544"/>
      <c r="W48" s="544"/>
      <c r="X48" s="544"/>
      <c r="Y48" s="544"/>
      <c r="Z48" s="544"/>
      <c r="AA48" s="545"/>
      <c r="AB48" s="482"/>
      <c r="AC48" s="477"/>
      <c r="AD48" s="477"/>
      <c r="AE48" s="477"/>
      <c r="AF48" s="477"/>
      <c r="AG48" s="477"/>
      <c r="AH48" s="477"/>
      <c r="AI48" s="483"/>
      <c r="AJ48" s="476"/>
      <c r="AK48" s="477"/>
      <c r="AL48" s="477"/>
      <c r="AM48" s="477"/>
      <c r="AN48" s="477"/>
      <c r="AO48" s="477"/>
      <c r="AP48" s="477"/>
      <c r="AQ48" s="483"/>
      <c r="AR48" s="476"/>
      <c r="AS48" s="477"/>
      <c r="AT48" s="477"/>
      <c r="AU48" s="477"/>
      <c r="AV48" s="477"/>
      <c r="AW48" s="477"/>
      <c r="AX48" s="477"/>
      <c r="AY48" s="483"/>
      <c r="AZ48" s="476"/>
      <c r="BA48" s="477"/>
      <c r="BB48" s="477"/>
      <c r="BC48" s="477"/>
      <c r="BD48" s="477"/>
      <c r="BE48" s="477"/>
      <c r="BF48" s="477"/>
      <c r="BG48" s="483"/>
      <c r="BH48" s="476"/>
      <c r="BI48" s="477"/>
      <c r="BJ48" s="477"/>
      <c r="BK48" s="477"/>
      <c r="BL48" s="477"/>
      <c r="BM48" s="477"/>
      <c r="BN48" s="477"/>
      <c r="BO48" s="483"/>
      <c r="BP48" s="488"/>
      <c r="BQ48" s="489"/>
      <c r="BR48" s="489"/>
      <c r="BS48" s="489"/>
      <c r="BT48" s="489"/>
      <c r="BU48" s="489"/>
      <c r="BV48" s="489"/>
      <c r="BW48" s="490"/>
      <c r="BX48" s="488"/>
      <c r="BY48" s="489"/>
      <c r="BZ48" s="489"/>
      <c r="CA48" s="489"/>
      <c r="CB48" s="489"/>
      <c r="CC48" s="489"/>
      <c r="CD48" s="489"/>
      <c r="CE48" s="490"/>
      <c r="CF48" s="476"/>
      <c r="CG48" s="477"/>
      <c r="CH48" s="477"/>
      <c r="CI48" s="477"/>
      <c r="CJ48" s="477"/>
      <c r="CK48" s="477"/>
      <c r="CL48" s="477"/>
      <c r="CM48" s="478"/>
      <c r="CN48" s="557"/>
      <c r="CO48" s="557"/>
      <c r="CP48" s="536"/>
      <c r="CQ48" s="536"/>
      <c r="CR48" s="536"/>
      <c r="CS48" s="536"/>
      <c r="CT48" s="536"/>
      <c r="CU48" s="537"/>
      <c r="CV48" s="27"/>
      <c r="CZ48" s="251" t="s">
        <v>2912</v>
      </c>
      <c r="DA48" s="245">
        <v>0</v>
      </c>
      <c r="DB48" s="245">
        <v>0</v>
      </c>
      <c r="DC48" s="245">
        <v>0</v>
      </c>
      <c r="DD48" s="245">
        <f t="shared" si="15"/>
        <v>0</v>
      </c>
      <c r="DE48" s="245">
        <f t="shared" si="16"/>
        <v>0</v>
      </c>
      <c r="DF48" s="245">
        <f t="shared" si="17"/>
        <v>0</v>
      </c>
      <c r="DG48" s="245">
        <f t="shared" si="18"/>
        <v>0</v>
      </c>
      <c r="DH48" s="245">
        <f t="shared" si="19"/>
        <v>0</v>
      </c>
      <c r="DI48" s="245">
        <f ca="1">OFFSET(CZ48,0,'VETS-701 Tech Perf Report'!outReportQtr)</f>
        <v>0</v>
      </c>
    </row>
    <row r="49" spans="1:113" ht="9" customHeight="1" x14ac:dyDescent="0.35">
      <c r="A49" s="35"/>
      <c r="B49" s="71"/>
      <c r="C49" s="72"/>
      <c r="D49" s="73"/>
      <c r="E49" s="73"/>
      <c r="F49" s="73"/>
      <c r="G49" s="73"/>
      <c r="H49" s="73"/>
      <c r="I49" s="73"/>
      <c r="J49" s="73"/>
      <c r="K49" s="73"/>
      <c r="L49" s="73"/>
      <c r="M49" s="73"/>
      <c r="N49" s="73"/>
      <c r="O49" s="73"/>
      <c r="P49" s="73"/>
      <c r="Q49" s="73"/>
      <c r="R49" s="30"/>
      <c r="S49" s="30"/>
      <c r="T49" s="30"/>
      <c r="U49" s="30"/>
      <c r="V49" s="30"/>
      <c r="W49" s="30"/>
      <c r="X49" s="30"/>
      <c r="Y49" s="30"/>
      <c r="Z49" s="30"/>
      <c r="AA49" s="72"/>
      <c r="AB49" s="73"/>
      <c r="AC49" s="73"/>
      <c r="AD49" s="73"/>
      <c r="AE49" s="73"/>
      <c r="AF49" s="73"/>
      <c r="AG49" s="72"/>
      <c r="AH49" s="72"/>
      <c r="AI49" s="73"/>
      <c r="AJ49" s="73"/>
      <c r="AK49" s="73"/>
      <c r="AL49" s="73"/>
      <c r="AM49" s="73"/>
      <c r="AN49" s="72"/>
      <c r="AO49" s="72"/>
      <c r="AP49" s="73"/>
      <c r="AQ49" s="73"/>
      <c r="AR49" s="73"/>
      <c r="AS49" s="73"/>
      <c r="AT49" s="73"/>
      <c r="AU49" s="72"/>
      <c r="AV49" s="72"/>
      <c r="AW49" s="73"/>
      <c r="AX49" s="73"/>
      <c r="AY49" s="73"/>
      <c r="AZ49" s="73"/>
      <c r="BA49" s="73"/>
      <c r="BB49" s="72"/>
      <c r="BC49" s="72"/>
      <c r="BD49" s="73"/>
      <c r="BE49" s="73"/>
      <c r="BF49" s="73"/>
      <c r="BG49" s="73"/>
      <c r="BH49" s="73"/>
      <c r="BI49" s="72"/>
      <c r="BJ49" s="72"/>
      <c r="BK49" s="73"/>
      <c r="BL49" s="73"/>
      <c r="BM49" s="73"/>
      <c r="BN49" s="73"/>
      <c r="BO49" s="73"/>
      <c r="BP49" s="72"/>
      <c r="BQ49" s="72"/>
      <c r="BR49" s="73"/>
      <c r="BS49" s="73"/>
      <c r="BT49" s="73"/>
      <c r="BU49" s="73"/>
      <c r="BV49" s="73"/>
      <c r="BW49" s="72"/>
      <c r="BX49" s="72"/>
      <c r="BY49" s="73"/>
      <c r="BZ49" s="73"/>
      <c r="CA49" s="73"/>
      <c r="CB49" s="73"/>
      <c r="CC49" s="73"/>
      <c r="CD49" s="74"/>
      <c r="CE49" s="41"/>
      <c r="CF49" s="41"/>
      <c r="CG49" s="41"/>
      <c r="CH49" s="41"/>
      <c r="CI49" s="41"/>
      <c r="CJ49" s="41"/>
      <c r="CK49" s="41"/>
      <c r="CL49" s="41"/>
      <c r="CM49" s="74"/>
      <c r="CN49" s="75"/>
      <c r="CO49" s="76"/>
      <c r="CP49" s="40"/>
      <c r="CQ49" s="40"/>
      <c r="CR49" s="40"/>
      <c r="CS49" s="40"/>
      <c r="CT49" s="40"/>
      <c r="CU49" s="30"/>
      <c r="CV49" s="27"/>
      <c r="CZ49" s="251"/>
      <c r="DA49" s="255"/>
      <c r="DB49" s="255"/>
      <c r="DC49" s="255"/>
      <c r="DD49" s="255"/>
      <c r="DE49" s="255"/>
      <c r="DF49" s="255"/>
      <c r="DG49" s="255"/>
      <c r="DH49" s="255"/>
      <c r="DI49" s="255"/>
    </row>
    <row r="50" spans="1:113" ht="18" x14ac:dyDescent="0.35">
      <c r="A50" s="35"/>
      <c r="B50" s="554" t="s">
        <v>2840</v>
      </c>
      <c r="C50" s="555"/>
      <c r="D50" s="555"/>
      <c r="E50" s="555"/>
      <c r="F50" s="555"/>
      <c r="G50" s="555"/>
      <c r="H50" s="555"/>
      <c r="I50" s="555"/>
      <c r="J50" s="555"/>
      <c r="K50" s="555"/>
      <c r="L50" s="555"/>
      <c r="M50" s="555"/>
      <c r="N50" s="555"/>
      <c r="O50" s="555"/>
      <c r="P50" s="555"/>
      <c r="Q50" s="555"/>
      <c r="R50" s="555"/>
      <c r="S50" s="555"/>
      <c r="T50" s="555"/>
      <c r="U50" s="555"/>
      <c r="V50" s="555"/>
      <c r="W50" s="555"/>
      <c r="X50" s="555"/>
      <c r="Y50" s="555"/>
      <c r="Z50" s="555"/>
      <c r="AA50" s="458"/>
      <c r="AB50" s="492"/>
      <c r="AC50" s="493"/>
      <c r="AD50" s="493"/>
      <c r="AE50" s="493"/>
      <c r="AF50" s="493"/>
      <c r="AG50" s="493"/>
      <c r="AH50" s="493"/>
      <c r="AI50" s="494"/>
      <c r="AJ50" s="492"/>
      <c r="AK50" s="493"/>
      <c r="AL50" s="493"/>
      <c r="AM50" s="493"/>
      <c r="AN50" s="493"/>
      <c r="AO50" s="493"/>
      <c r="AP50" s="493"/>
      <c r="AQ50" s="494"/>
      <c r="AR50" s="492"/>
      <c r="AS50" s="493"/>
      <c r="AT50" s="493"/>
      <c r="AU50" s="493"/>
      <c r="AV50" s="493"/>
      <c r="AW50" s="493"/>
      <c r="AX50" s="493"/>
      <c r="AY50" s="494"/>
      <c r="AZ50" s="492"/>
      <c r="BA50" s="493"/>
      <c r="BB50" s="493"/>
      <c r="BC50" s="493"/>
      <c r="BD50" s="493"/>
      <c r="BE50" s="493"/>
      <c r="BF50" s="493"/>
      <c r="BG50" s="494"/>
      <c r="BH50" s="492"/>
      <c r="BI50" s="493"/>
      <c r="BJ50" s="493"/>
      <c r="BK50" s="493"/>
      <c r="BL50" s="493"/>
      <c r="BM50" s="493"/>
      <c r="BN50" s="493"/>
      <c r="BO50" s="493"/>
      <c r="BP50" s="492"/>
      <c r="BQ50" s="493"/>
      <c r="BR50" s="493"/>
      <c r="BS50" s="493"/>
      <c r="BT50" s="493"/>
      <c r="BU50" s="493"/>
      <c r="BV50" s="493"/>
      <c r="BW50" s="494"/>
      <c r="BX50" s="493"/>
      <c r="BY50" s="493"/>
      <c r="BZ50" s="493"/>
      <c r="CA50" s="493"/>
      <c r="CB50" s="493"/>
      <c r="CC50" s="493"/>
      <c r="CD50" s="493"/>
      <c r="CE50" s="493"/>
      <c r="CF50" s="492"/>
      <c r="CG50" s="493"/>
      <c r="CH50" s="493"/>
      <c r="CI50" s="493"/>
      <c r="CJ50" s="493"/>
      <c r="CK50" s="493"/>
      <c r="CL50" s="493"/>
      <c r="CM50" s="494"/>
      <c r="CN50" s="492"/>
      <c r="CO50" s="493"/>
      <c r="CP50" s="493"/>
      <c r="CQ50" s="493"/>
      <c r="CR50" s="493"/>
      <c r="CS50" s="493"/>
      <c r="CT50" s="493"/>
      <c r="CU50" s="501"/>
      <c r="CV50" s="27"/>
      <c r="CZ50" s="251"/>
      <c r="DA50" s="255"/>
      <c r="DB50" s="255"/>
      <c r="DC50" s="255"/>
      <c r="DD50" s="255"/>
      <c r="DE50" s="255"/>
      <c r="DF50" s="255"/>
      <c r="DG50" s="255"/>
      <c r="DH50" s="255"/>
      <c r="DI50" s="255"/>
    </row>
    <row r="51" spans="1:113" ht="18" x14ac:dyDescent="0.35">
      <c r="A51" s="34"/>
      <c r="B51" s="57" t="s">
        <v>2643</v>
      </c>
      <c r="C51" s="542" t="s">
        <v>2769</v>
      </c>
      <c r="D51" s="542"/>
      <c r="E51" s="542"/>
      <c r="F51" s="542"/>
      <c r="G51" s="542"/>
      <c r="H51" s="542"/>
      <c r="I51" s="542"/>
      <c r="J51" s="542"/>
      <c r="K51" s="542"/>
      <c r="L51" s="542"/>
      <c r="M51" s="542"/>
      <c r="N51" s="542"/>
      <c r="O51" s="542"/>
      <c r="P51" s="542"/>
      <c r="Q51" s="542"/>
      <c r="R51" s="542"/>
      <c r="S51" s="542"/>
      <c r="T51" s="542"/>
      <c r="U51" s="542"/>
      <c r="V51" s="542"/>
      <c r="W51" s="542"/>
      <c r="X51" s="542"/>
      <c r="Y51" s="542"/>
      <c r="Z51" s="542"/>
      <c r="AA51" s="543"/>
      <c r="AB51" s="521"/>
      <c r="AC51" s="521"/>
      <c r="AD51" s="521"/>
      <c r="AE51" s="521"/>
      <c r="AF51" s="521"/>
      <c r="AG51" s="521"/>
      <c r="AH51" s="522"/>
      <c r="AI51" s="523"/>
      <c r="AJ51" s="521"/>
      <c r="AK51" s="521"/>
      <c r="AL51" s="521"/>
      <c r="AM51" s="521"/>
      <c r="AN51" s="521"/>
      <c r="AO51" s="521"/>
      <c r="AP51" s="522"/>
      <c r="AQ51" s="523"/>
      <c r="AR51" s="521"/>
      <c r="AS51" s="521"/>
      <c r="AT51" s="521"/>
      <c r="AU51" s="521"/>
      <c r="AV51" s="521"/>
      <c r="AW51" s="521"/>
      <c r="AX51" s="522"/>
      <c r="AY51" s="523"/>
      <c r="AZ51" s="521"/>
      <c r="BA51" s="521"/>
      <c r="BB51" s="521"/>
      <c r="BC51" s="521"/>
      <c r="BD51" s="521"/>
      <c r="BE51" s="521"/>
      <c r="BF51" s="522"/>
      <c r="BG51" s="523"/>
      <c r="BH51" s="479"/>
      <c r="BI51" s="480"/>
      <c r="BJ51" s="480"/>
      <c r="BK51" s="480"/>
      <c r="BL51" s="480"/>
      <c r="BM51" s="480"/>
      <c r="BN51" s="480"/>
      <c r="BO51" s="481"/>
      <c r="BP51" s="484"/>
      <c r="BQ51" s="480"/>
      <c r="BR51" s="480"/>
      <c r="BS51" s="480"/>
      <c r="BT51" s="480"/>
      <c r="BU51" s="480"/>
      <c r="BV51" s="480"/>
      <c r="BW51" s="481"/>
      <c r="BX51" s="485"/>
      <c r="BY51" s="486"/>
      <c r="BZ51" s="486"/>
      <c r="CA51" s="486"/>
      <c r="CB51" s="486"/>
      <c r="CC51" s="486"/>
      <c r="CD51" s="486"/>
      <c r="CE51" s="487"/>
      <c r="CF51" s="484"/>
      <c r="CG51" s="480"/>
      <c r="CH51" s="480"/>
      <c r="CI51" s="480"/>
      <c r="CJ51" s="480"/>
      <c r="CK51" s="480"/>
      <c r="CL51" s="480"/>
      <c r="CM51" s="491"/>
      <c r="CN51" s="540">
        <f>IFERROR(ROUND(VALUE(AB51),2),0)+IFERROR(ROUND(VALUE(AJ51),2),0)+IFERROR(ROUND(VALUE(AR51),2),0)+IFERROR(ROUND(VALUE(AZ51),2),0)</f>
        <v>0</v>
      </c>
      <c r="CO51" s="540"/>
      <c r="CP51" s="540"/>
      <c r="CQ51" s="540"/>
      <c r="CR51" s="540"/>
      <c r="CS51" s="540"/>
      <c r="CT51" s="540"/>
      <c r="CU51" s="541"/>
      <c r="CV51" s="27"/>
      <c r="CZ51" s="251" t="s">
        <v>2769</v>
      </c>
      <c r="DA51" s="265">
        <f>IFERROR(ROUND(AB51,2),0)</f>
        <v>0</v>
      </c>
      <c r="DB51" s="265">
        <f>IFERROR(ROUND(AB51,2),0)+IFERROR(ROUND(AJ51,2),0)</f>
        <v>0</v>
      </c>
      <c r="DC51" s="265">
        <f>IFERROR(ROUND(AB51,2),0)+IFERROR(ROUND(AJ51,2),0)+IFERROR(ROUND(AR51,2),0)</f>
        <v>0</v>
      </c>
      <c r="DD51" s="265">
        <f>IFERROR(ROUND(AB51,2),0)+IFERROR(ROUND(AJ51,2),0)+IFERROR(ROUND(AR51,2),0)+IFERROR(ROUND(AZ51,2),0)</f>
        <v>0</v>
      </c>
      <c r="DE51" s="265">
        <f>DD51</f>
        <v>0</v>
      </c>
      <c r="DF51" s="265">
        <f>DD51</f>
        <v>0</v>
      </c>
      <c r="DG51" s="265">
        <f>DD51</f>
        <v>0</v>
      </c>
      <c r="DH51" s="265">
        <f>DD51</f>
        <v>0</v>
      </c>
      <c r="DI51" s="265">
        <f ca="1">OFFSET(CZ51,0,'VETS-701 Tech Perf Report'!outReportQtr)</f>
        <v>0</v>
      </c>
    </row>
    <row r="52" spans="1:113" ht="18" x14ac:dyDescent="0.35">
      <c r="A52" s="34"/>
      <c r="B52" s="58" t="s">
        <v>2644</v>
      </c>
      <c r="C52" s="544" t="s">
        <v>2786</v>
      </c>
      <c r="D52" s="544"/>
      <c r="E52" s="544"/>
      <c r="F52" s="544"/>
      <c r="G52" s="544"/>
      <c r="H52" s="544"/>
      <c r="I52" s="544"/>
      <c r="J52" s="544"/>
      <c r="K52" s="544"/>
      <c r="L52" s="544"/>
      <c r="M52" s="544"/>
      <c r="N52" s="544"/>
      <c r="O52" s="544"/>
      <c r="P52" s="544"/>
      <c r="Q52" s="544"/>
      <c r="R52" s="544"/>
      <c r="S52" s="544"/>
      <c r="T52" s="544"/>
      <c r="U52" s="544"/>
      <c r="V52" s="544"/>
      <c r="W52" s="544"/>
      <c r="X52" s="544"/>
      <c r="Y52" s="544"/>
      <c r="Z52" s="544"/>
      <c r="AA52" s="545"/>
      <c r="AB52" s="524"/>
      <c r="AC52" s="524"/>
      <c r="AD52" s="524"/>
      <c r="AE52" s="524"/>
      <c r="AF52" s="524"/>
      <c r="AG52" s="524"/>
      <c r="AH52" s="525"/>
      <c r="AI52" s="526"/>
      <c r="AJ52" s="524"/>
      <c r="AK52" s="524"/>
      <c r="AL52" s="524"/>
      <c r="AM52" s="524"/>
      <c r="AN52" s="524"/>
      <c r="AO52" s="524"/>
      <c r="AP52" s="525"/>
      <c r="AQ52" s="526"/>
      <c r="AR52" s="524"/>
      <c r="AS52" s="524"/>
      <c r="AT52" s="524"/>
      <c r="AU52" s="524"/>
      <c r="AV52" s="524"/>
      <c r="AW52" s="524"/>
      <c r="AX52" s="525"/>
      <c r="AY52" s="526"/>
      <c r="AZ52" s="524"/>
      <c r="BA52" s="524"/>
      <c r="BB52" s="524"/>
      <c r="BC52" s="524"/>
      <c r="BD52" s="524"/>
      <c r="BE52" s="524"/>
      <c r="BF52" s="525"/>
      <c r="BG52" s="526"/>
      <c r="BH52" s="468"/>
      <c r="BI52" s="469"/>
      <c r="BJ52" s="469"/>
      <c r="BK52" s="469"/>
      <c r="BL52" s="469"/>
      <c r="BM52" s="469"/>
      <c r="BN52" s="469"/>
      <c r="BO52" s="470"/>
      <c r="BP52" s="471"/>
      <c r="BQ52" s="469"/>
      <c r="BR52" s="469"/>
      <c r="BS52" s="469"/>
      <c r="BT52" s="469"/>
      <c r="BU52" s="469"/>
      <c r="BV52" s="469"/>
      <c r="BW52" s="470"/>
      <c r="BX52" s="472"/>
      <c r="BY52" s="473"/>
      <c r="BZ52" s="473"/>
      <c r="CA52" s="473"/>
      <c r="CB52" s="473"/>
      <c r="CC52" s="473"/>
      <c r="CD52" s="473"/>
      <c r="CE52" s="474"/>
      <c r="CF52" s="471"/>
      <c r="CG52" s="469"/>
      <c r="CH52" s="469"/>
      <c r="CI52" s="469"/>
      <c r="CJ52" s="469"/>
      <c r="CK52" s="469"/>
      <c r="CL52" s="469"/>
      <c r="CM52" s="475"/>
      <c r="CN52" s="538">
        <f>IFERROR(ROUND(VALUE(AB52),2),0)+IFERROR(ROUND(VALUE(AJ52),2),0)+IFERROR(ROUND(VALUE(AR52),2),0)+IFERROR(ROUND(VALUE(AZ52),2),0)</f>
        <v>0</v>
      </c>
      <c r="CO52" s="538"/>
      <c r="CP52" s="538"/>
      <c r="CQ52" s="538"/>
      <c r="CR52" s="538"/>
      <c r="CS52" s="538"/>
      <c r="CT52" s="538"/>
      <c r="CU52" s="539"/>
      <c r="CV52" s="27"/>
      <c r="CZ52" s="251" t="s">
        <v>2884</v>
      </c>
      <c r="DA52" s="265">
        <f t="shared" ref="DA52:DA55" si="20">IFERROR(ROUND(AB52,2),0)</f>
        <v>0</v>
      </c>
      <c r="DB52" s="265">
        <f t="shared" ref="DB52:DB55" si="21">IFERROR(ROUND(AB52,2),0)+IFERROR(ROUND(AJ52,2),0)</f>
        <v>0</v>
      </c>
      <c r="DC52" s="265">
        <f t="shared" ref="DC52:DC55" si="22">IFERROR(ROUND(AB52,2),0)+IFERROR(ROUND(AJ52,2),0)+IFERROR(ROUND(AR52,2),0)</f>
        <v>0</v>
      </c>
      <c r="DD52" s="265">
        <f t="shared" ref="DD52:DD55" si="23">IFERROR(ROUND(AB52,2),0)+IFERROR(ROUND(AJ52,2),0)+IFERROR(ROUND(AR52,2),0)+IFERROR(ROUND(AZ52,2),0)</f>
        <v>0</v>
      </c>
      <c r="DE52" s="265">
        <f t="shared" ref="DE52:DE55" si="24">DD52</f>
        <v>0</v>
      </c>
      <c r="DF52" s="265">
        <f t="shared" ref="DF52:DF55" si="25">DD52</f>
        <v>0</v>
      </c>
      <c r="DG52" s="265">
        <f t="shared" ref="DG52:DG55" si="26">DD52</f>
        <v>0</v>
      </c>
      <c r="DH52" s="265">
        <f t="shared" ref="DH52:DH55" si="27">DD52</f>
        <v>0</v>
      </c>
      <c r="DI52" s="265">
        <f ca="1">OFFSET(CZ52,0,'VETS-701 Tech Perf Report'!outReportQtr)</f>
        <v>0</v>
      </c>
    </row>
    <row r="53" spans="1:113" ht="18" x14ac:dyDescent="0.35">
      <c r="A53" s="34"/>
      <c r="B53" s="58" t="s">
        <v>2645</v>
      </c>
      <c r="C53" s="457" t="s">
        <v>2787</v>
      </c>
      <c r="D53" s="458"/>
      <c r="E53" s="458"/>
      <c r="F53" s="458"/>
      <c r="G53" s="458"/>
      <c r="H53" s="458"/>
      <c r="I53" s="458"/>
      <c r="J53" s="458"/>
      <c r="K53" s="458"/>
      <c r="L53" s="458"/>
      <c r="M53" s="458"/>
      <c r="N53" s="458"/>
      <c r="O53" s="458"/>
      <c r="P53" s="458"/>
      <c r="Q53" s="458"/>
      <c r="R53" s="458"/>
      <c r="S53" s="458"/>
      <c r="T53" s="458"/>
      <c r="U53" s="458"/>
      <c r="V53" s="458"/>
      <c r="W53" s="458"/>
      <c r="X53" s="458"/>
      <c r="Y53" s="458"/>
      <c r="Z53" s="458"/>
      <c r="AA53" s="459"/>
      <c r="AB53" s="460"/>
      <c r="AC53" s="461"/>
      <c r="AD53" s="461"/>
      <c r="AE53" s="461"/>
      <c r="AF53" s="461"/>
      <c r="AG53" s="461"/>
      <c r="AH53" s="461"/>
      <c r="AI53" s="462"/>
      <c r="AJ53" s="460"/>
      <c r="AK53" s="463"/>
      <c r="AL53" s="463"/>
      <c r="AM53" s="463"/>
      <c r="AN53" s="463"/>
      <c r="AO53" s="463"/>
      <c r="AP53" s="463"/>
      <c r="AQ53" s="464"/>
      <c r="AR53" s="460"/>
      <c r="AS53" s="463"/>
      <c r="AT53" s="463"/>
      <c r="AU53" s="463"/>
      <c r="AV53" s="463"/>
      <c r="AW53" s="463"/>
      <c r="AX53" s="463"/>
      <c r="AY53" s="464"/>
      <c r="AZ53" s="460"/>
      <c r="BA53" s="463"/>
      <c r="BB53" s="463"/>
      <c r="BC53" s="463"/>
      <c r="BD53" s="463"/>
      <c r="BE53" s="463"/>
      <c r="BF53" s="463"/>
      <c r="BG53" s="464"/>
      <c r="BH53" s="468"/>
      <c r="BI53" s="469"/>
      <c r="BJ53" s="469"/>
      <c r="BK53" s="469"/>
      <c r="BL53" s="469"/>
      <c r="BM53" s="469"/>
      <c r="BN53" s="469"/>
      <c r="BO53" s="470"/>
      <c r="BP53" s="471"/>
      <c r="BQ53" s="469"/>
      <c r="BR53" s="469"/>
      <c r="BS53" s="469"/>
      <c r="BT53" s="469"/>
      <c r="BU53" s="469"/>
      <c r="BV53" s="469"/>
      <c r="BW53" s="470"/>
      <c r="BX53" s="472"/>
      <c r="BY53" s="473"/>
      <c r="BZ53" s="473"/>
      <c r="CA53" s="473"/>
      <c r="CB53" s="473"/>
      <c r="CC53" s="473"/>
      <c r="CD53" s="473"/>
      <c r="CE53" s="474"/>
      <c r="CF53" s="471"/>
      <c r="CG53" s="469"/>
      <c r="CH53" s="469"/>
      <c r="CI53" s="469"/>
      <c r="CJ53" s="469"/>
      <c r="CK53" s="469"/>
      <c r="CL53" s="469"/>
      <c r="CM53" s="475"/>
      <c r="CN53" s="465">
        <f>IFERROR(ROUND(VALUE(AB53),2),0)+IFERROR(ROUND(VALUE(AJ53),2),0)+IFERROR(ROUND(VALUE(AR53),2),0)+IFERROR(ROUND(VALUE(AZ53),2),0)</f>
        <v>0</v>
      </c>
      <c r="CO53" s="466"/>
      <c r="CP53" s="466"/>
      <c r="CQ53" s="466"/>
      <c r="CR53" s="466"/>
      <c r="CS53" s="466"/>
      <c r="CT53" s="466"/>
      <c r="CU53" s="467"/>
      <c r="CV53" s="27"/>
      <c r="CZ53" s="251" t="s">
        <v>2886</v>
      </c>
      <c r="DA53" s="265">
        <f t="shared" si="20"/>
        <v>0</v>
      </c>
      <c r="DB53" s="265">
        <f t="shared" si="21"/>
        <v>0</v>
      </c>
      <c r="DC53" s="265">
        <f t="shared" si="22"/>
        <v>0</v>
      </c>
      <c r="DD53" s="265">
        <f t="shared" si="23"/>
        <v>0</v>
      </c>
      <c r="DE53" s="265">
        <f t="shared" si="24"/>
        <v>0</v>
      </c>
      <c r="DF53" s="265">
        <f t="shared" si="25"/>
        <v>0</v>
      </c>
      <c r="DG53" s="265">
        <f t="shared" si="26"/>
        <v>0</v>
      </c>
      <c r="DH53" s="265">
        <f t="shared" si="27"/>
        <v>0</v>
      </c>
      <c r="DI53" s="265">
        <f ca="1">OFFSET(CZ53,0,'VETS-701 Tech Perf Report'!outReportQtr)</f>
        <v>0</v>
      </c>
    </row>
    <row r="54" spans="1:113" ht="18" x14ac:dyDescent="0.35">
      <c r="A54" s="34"/>
      <c r="B54" s="135" t="s">
        <v>2646</v>
      </c>
      <c r="C54" s="546" t="s">
        <v>2788</v>
      </c>
      <c r="D54" s="546"/>
      <c r="E54" s="546"/>
      <c r="F54" s="546"/>
      <c r="G54" s="546"/>
      <c r="H54" s="546"/>
      <c r="I54" s="546"/>
      <c r="J54" s="546"/>
      <c r="K54" s="546"/>
      <c r="L54" s="546"/>
      <c r="M54" s="546"/>
      <c r="N54" s="546"/>
      <c r="O54" s="546"/>
      <c r="P54" s="546"/>
      <c r="Q54" s="546"/>
      <c r="R54" s="546"/>
      <c r="S54" s="546"/>
      <c r="T54" s="546"/>
      <c r="U54" s="546"/>
      <c r="V54" s="546"/>
      <c r="W54" s="546"/>
      <c r="X54" s="546"/>
      <c r="Y54" s="546"/>
      <c r="Z54" s="546"/>
      <c r="AA54" s="547"/>
      <c r="AB54" s="519">
        <f>IFERROR(ROUND(VALUE(AB52),2),0)+IFERROR(ROUND(VALUE(AB53),2),0)</f>
        <v>0</v>
      </c>
      <c r="AC54" s="519"/>
      <c r="AD54" s="519"/>
      <c r="AE54" s="519"/>
      <c r="AF54" s="519"/>
      <c r="AG54" s="519"/>
      <c r="AH54" s="520"/>
      <c r="AI54" s="520"/>
      <c r="AJ54" s="519">
        <f>IFERROR(ROUND(VALUE(AJ52),2),0)+IFERROR(ROUND(VALUE(AJ53),2),0)</f>
        <v>0</v>
      </c>
      <c r="AK54" s="519"/>
      <c r="AL54" s="519"/>
      <c r="AM54" s="519"/>
      <c r="AN54" s="519"/>
      <c r="AO54" s="519"/>
      <c r="AP54" s="520"/>
      <c r="AQ54" s="520"/>
      <c r="AR54" s="519">
        <f>IFERROR(ROUND(VALUE(AR52),2),0)+IFERROR(ROUND(VALUE(AR53),2),0)</f>
        <v>0</v>
      </c>
      <c r="AS54" s="519"/>
      <c r="AT54" s="519"/>
      <c r="AU54" s="519"/>
      <c r="AV54" s="519"/>
      <c r="AW54" s="519"/>
      <c r="AX54" s="520"/>
      <c r="AY54" s="520"/>
      <c r="AZ54" s="519">
        <f>IFERROR(ROUND(VALUE(AZ52),2),0)+IFERROR(ROUND(VALUE(AZ53),2),0)</f>
        <v>0</v>
      </c>
      <c r="BA54" s="519"/>
      <c r="BB54" s="519"/>
      <c r="BC54" s="519"/>
      <c r="BD54" s="519"/>
      <c r="BE54" s="519"/>
      <c r="BF54" s="520"/>
      <c r="BG54" s="520"/>
      <c r="BH54" s="468"/>
      <c r="BI54" s="469"/>
      <c r="BJ54" s="469"/>
      <c r="BK54" s="469"/>
      <c r="BL54" s="469"/>
      <c r="BM54" s="469"/>
      <c r="BN54" s="469"/>
      <c r="BO54" s="470"/>
      <c r="BP54" s="471"/>
      <c r="BQ54" s="469"/>
      <c r="BR54" s="469"/>
      <c r="BS54" s="469"/>
      <c r="BT54" s="469"/>
      <c r="BU54" s="469"/>
      <c r="BV54" s="469"/>
      <c r="BW54" s="470"/>
      <c r="BX54" s="472"/>
      <c r="BY54" s="473"/>
      <c r="BZ54" s="473"/>
      <c r="CA54" s="473"/>
      <c r="CB54" s="473"/>
      <c r="CC54" s="473"/>
      <c r="CD54" s="473"/>
      <c r="CE54" s="474"/>
      <c r="CF54" s="471"/>
      <c r="CG54" s="469"/>
      <c r="CH54" s="469"/>
      <c r="CI54" s="469"/>
      <c r="CJ54" s="469"/>
      <c r="CK54" s="469"/>
      <c r="CL54" s="469"/>
      <c r="CM54" s="475"/>
      <c r="CN54" s="538">
        <f>SUM(AB54,AJ54,AR54,AZ54)</f>
        <v>0</v>
      </c>
      <c r="CO54" s="538"/>
      <c r="CP54" s="538"/>
      <c r="CQ54" s="538"/>
      <c r="CR54" s="538"/>
      <c r="CS54" s="538"/>
      <c r="CT54" s="538"/>
      <c r="CU54" s="539"/>
      <c r="CV54" s="27"/>
      <c r="CZ54" s="251" t="s">
        <v>2885</v>
      </c>
      <c r="DA54" s="265">
        <f t="shared" si="20"/>
        <v>0</v>
      </c>
      <c r="DB54" s="265">
        <f t="shared" si="21"/>
        <v>0</v>
      </c>
      <c r="DC54" s="265">
        <f t="shared" si="22"/>
        <v>0</v>
      </c>
      <c r="DD54" s="265">
        <f t="shared" si="23"/>
        <v>0</v>
      </c>
      <c r="DE54" s="265">
        <f t="shared" si="24"/>
        <v>0</v>
      </c>
      <c r="DF54" s="265">
        <f t="shared" si="25"/>
        <v>0</v>
      </c>
      <c r="DG54" s="265">
        <f t="shared" si="26"/>
        <v>0</v>
      </c>
      <c r="DH54" s="265">
        <f t="shared" si="27"/>
        <v>0</v>
      </c>
      <c r="DI54" s="265">
        <f ca="1">OFFSET(CZ54,0,'VETS-701 Tech Perf Report'!outReportQtr)</f>
        <v>0</v>
      </c>
    </row>
    <row r="55" spans="1:113" ht="18" x14ac:dyDescent="0.35">
      <c r="A55" s="34"/>
      <c r="B55" s="135" t="s">
        <v>2647</v>
      </c>
      <c r="C55" s="546" t="s">
        <v>2638</v>
      </c>
      <c r="D55" s="546"/>
      <c r="E55" s="546"/>
      <c r="F55" s="546"/>
      <c r="G55" s="546"/>
      <c r="H55" s="546"/>
      <c r="I55" s="546"/>
      <c r="J55" s="546"/>
      <c r="K55" s="546"/>
      <c r="L55" s="546"/>
      <c r="M55" s="546"/>
      <c r="N55" s="546"/>
      <c r="O55" s="546"/>
      <c r="P55" s="546"/>
      <c r="Q55" s="546"/>
      <c r="R55" s="546"/>
      <c r="S55" s="546"/>
      <c r="T55" s="546"/>
      <c r="U55" s="546"/>
      <c r="V55" s="546"/>
      <c r="W55" s="546"/>
      <c r="X55" s="546"/>
      <c r="Y55" s="546"/>
      <c r="Z55" s="546"/>
      <c r="AA55" s="547"/>
      <c r="AB55" s="519">
        <f>IFERROR(ROUND(VALUE(AB51),2),0)+AB54</f>
        <v>0</v>
      </c>
      <c r="AC55" s="519"/>
      <c r="AD55" s="519"/>
      <c r="AE55" s="519"/>
      <c r="AF55" s="519"/>
      <c r="AG55" s="519"/>
      <c r="AH55" s="520"/>
      <c r="AI55" s="520"/>
      <c r="AJ55" s="519">
        <f>IFERROR(ROUND(VALUE(AJ51),2),0)+AJ54</f>
        <v>0</v>
      </c>
      <c r="AK55" s="519"/>
      <c r="AL55" s="519"/>
      <c r="AM55" s="519"/>
      <c r="AN55" s="519"/>
      <c r="AO55" s="519"/>
      <c r="AP55" s="520"/>
      <c r="AQ55" s="520"/>
      <c r="AR55" s="519">
        <f>IFERROR(ROUND(VALUE(AR51),2),0)+AR54</f>
        <v>0</v>
      </c>
      <c r="AS55" s="519"/>
      <c r="AT55" s="519"/>
      <c r="AU55" s="519"/>
      <c r="AV55" s="519"/>
      <c r="AW55" s="519"/>
      <c r="AX55" s="520"/>
      <c r="AY55" s="520"/>
      <c r="AZ55" s="519">
        <f>IFERROR(ROUND(VALUE(AZ51),2),0)+AZ54</f>
        <v>0</v>
      </c>
      <c r="BA55" s="519"/>
      <c r="BB55" s="519"/>
      <c r="BC55" s="519"/>
      <c r="BD55" s="519"/>
      <c r="BE55" s="519"/>
      <c r="BF55" s="520"/>
      <c r="BG55" s="520"/>
      <c r="BH55" s="482"/>
      <c r="BI55" s="477"/>
      <c r="BJ55" s="477"/>
      <c r="BK55" s="477"/>
      <c r="BL55" s="477"/>
      <c r="BM55" s="477"/>
      <c r="BN55" s="477"/>
      <c r="BO55" s="483"/>
      <c r="BP55" s="476"/>
      <c r="BQ55" s="477"/>
      <c r="BR55" s="477"/>
      <c r="BS55" s="477"/>
      <c r="BT55" s="477"/>
      <c r="BU55" s="477"/>
      <c r="BV55" s="477"/>
      <c r="BW55" s="483"/>
      <c r="BX55" s="488"/>
      <c r="BY55" s="489"/>
      <c r="BZ55" s="489"/>
      <c r="CA55" s="489"/>
      <c r="CB55" s="489"/>
      <c r="CC55" s="489"/>
      <c r="CD55" s="489"/>
      <c r="CE55" s="490"/>
      <c r="CF55" s="476"/>
      <c r="CG55" s="477"/>
      <c r="CH55" s="477"/>
      <c r="CI55" s="477"/>
      <c r="CJ55" s="477"/>
      <c r="CK55" s="477"/>
      <c r="CL55" s="477"/>
      <c r="CM55" s="478"/>
      <c r="CN55" s="538">
        <f>SUM(AB55,AJ55,AR55,AZ55)</f>
        <v>0</v>
      </c>
      <c r="CO55" s="538"/>
      <c r="CP55" s="538"/>
      <c r="CQ55" s="538"/>
      <c r="CR55" s="538"/>
      <c r="CS55" s="538"/>
      <c r="CT55" s="538"/>
      <c r="CU55" s="539"/>
      <c r="CV55" s="27"/>
      <c r="CZ55" s="251" t="s">
        <v>2887</v>
      </c>
      <c r="DA55" s="265">
        <f t="shared" si="20"/>
        <v>0</v>
      </c>
      <c r="DB55" s="265">
        <f t="shared" si="21"/>
        <v>0</v>
      </c>
      <c r="DC55" s="265">
        <f t="shared" si="22"/>
        <v>0</v>
      </c>
      <c r="DD55" s="265">
        <f t="shared" si="23"/>
        <v>0</v>
      </c>
      <c r="DE55" s="265">
        <f t="shared" si="24"/>
        <v>0</v>
      </c>
      <c r="DF55" s="265">
        <f t="shared" si="25"/>
        <v>0</v>
      </c>
      <c r="DG55" s="265">
        <f t="shared" si="26"/>
        <v>0</v>
      </c>
      <c r="DH55" s="265">
        <f t="shared" si="27"/>
        <v>0</v>
      </c>
      <c r="DI55" s="265">
        <f ca="1">OFFSET(CZ55,0,'VETS-701 Tech Perf Report'!outReportQtr)</f>
        <v>0</v>
      </c>
    </row>
    <row r="56" spans="1:113" ht="9.75" customHeight="1" x14ac:dyDescent="0.3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65"/>
      <c r="AJ56" s="27"/>
      <c r="AK56" s="27"/>
      <c r="AL56" s="27"/>
      <c r="AM56" s="27"/>
      <c r="AN56" s="27"/>
      <c r="AO56" s="27"/>
      <c r="AP56" s="27"/>
      <c r="AQ56" s="27"/>
      <c r="AR56" s="27"/>
      <c r="AS56" s="27"/>
      <c r="AT56" s="27"/>
      <c r="AU56" s="27"/>
      <c r="AV56" s="27"/>
      <c r="AW56" s="27"/>
      <c r="AX56" s="27"/>
      <c r="AY56" s="65"/>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Z56" s="251"/>
      <c r="DA56" s="255"/>
      <c r="DB56" s="255"/>
      <c r="DC56" s="255"/>
      <c r="DD56" s="255"/>
      <c r="DE56" s="255"/>
      <c r="DF56" s="255"/>
      <c r="DG56" s="255"/>
      <c r="DH56" s="255"/>
      <c r="DI56" s="255"/>
    </row>
    <row r="57" spans="1:113" x14ac:dyDescent="0.3">
      <c r="A57" s="27"/>
      <c r="B57" s="534" t="s">
        <v>2730</v>
      </c>
      <c r="C57" s="535"/>
      <c r="D57" s="535"/>
      <c r="E57" s="535"/>
      <c r="F57" s="535"/>
      <c r="G57" s="535"/>
      <c r="H57" s="535"/>
      <c r="I57" s="535"/>
      <c r="J57" s="535"/>
      <c r="K57" s="535"/>
      <c r="L57" s="535"/>
      <c r="M57" s="535"/>
      <c r="N57" s="535"/>
      <c r="O57" s="535"/>
      <c r="P57" s="535"/>
      <c r="Q57" s="535"/>
      <c r="R57" s="535"/>
      <c r="S57" s="535"/>
      <c r="T57" s="535"/>
      <c r="U57" s="535"/>
      <c r="V57" s="535"/>
      <c r="W57" s="535"/>
      <c r="X57" s="535"/>
      <c r="Y57" s="535"/>
      <c r="Z57" s="535"/>
      <c r="AA57" s="535"/>
      <c r="AB57" s="535"/>
      <c r="AC57" s="535"/>
      <c r="AD57" s="535"/>
      <c r="AE57" s="535"/>
      <c r="AF57" s="535"/>
      <c r="AG57" s="535"/>
      <c r="AH57" s="535"/>
      <c r="AI57" s="535"/>
      <c r="AJ57" s="535"/>
      <c r="AK57" s="535"/>
      <c r="AL57" s="535"/>
      <c r="AM57" s="535"/>
      <c r="AN57" s="535"/>
      <c r="AO57" s="535"/>
      <c r="AP57" s="535"/>
      <c r="AQ57" s="535"/>
      <c r="AR57" s="535"/>
      <c r="AS57" s="535"/>
      <c r="AT57" s="535"/>
      <c r="AU57" s="535"/>
      <c r="AV57" s="535"/>
      <c r="AW57" s="535"/>
      <c r="AX57" s="535"/>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5"/>
      <c r="BZ57" s="535"/>
      <c r="CA57" s="535"/>
      <c r="CB57" s="535"/>
      <c r="CC57" s="535"/>
      <c r="CD57" s="535"/>
      <c r="CE57" s="535"/>
      <c r="CF57" s="535"/>
      <c r="CG57" s="535"/>
      <c r="CH57" s="535"/>
      <c r="CI57" s="535"/>
      <c r="CJ57" s="535"/>
      <c r="CK57" s="535"/>
      <c r="CL57" s="535"/>
      <c r="CM57" s="535"/>
      <c r="CN57" s="535"/>
      <c r="CO57" s="535"/>
      <c r="CP57" s="535"/>
      <c r="CQ57" s="535"/>
      <c r="CR57" s="535"/>
      <c r="CS57" s="535"/>
      <c r="CT57" s="535"/>
      <c r="CU57" s="535"/>
      <c r="CV57" s="27"/>
    </row>
    <row r="58" spans="1:113" x14ac:dyDescent="0.3">
      <c r="A58" s="37"/>
      <c r="B58" s="535"/>
      <c r="C58" s="535"/>
      <c r="D58" s="535"/>
      <c r="E58" s="535"/>
      <c r="F58" s="535"/>
      <c r="G58" s="535"/>
      <c r="H58" s="535"/>
      <c r="I58" s="535"/>
      <c r="J58" s="535"/>
      <c r="K58" s="535"/>
      <c r="L58" s="535"/>
      <c r="M58" s="535"/>
      <c r="N58" s="535"/>
      <c r="O58" s="535"/>
      <c r="P58" s="535"/>
      <c r="Q58" s="535"/>
      <c r="R58" s="535"/>
      <c r="S58" s="535"/>
      <c r="T58" s="535"/>
      <c r="U58" s="535"/>
      <c r="V58" s="535"/>
      <c r="W58" s="535"/>
      <c r="X58" s="535"/>
      <c r="Y58" s="535"/>
      <c r="Z58" s="535"/>
      <c r="AA58" s="535"/>
      <c r="AB58" s="535"/>
      <c r="AC58" s="535"/>
      <c r="AD58" s="535"/>
      <c r="AE58" s="535"/>
      <c r="AF58" s="535"/>
      <c r="AG58" s="535"/>
      <c r="AH58" s="535"/>
      <c r="AI58" s="535"/>
      <c r="AJ58" s="535"/>
      <c r="AK58" s="535"/>
      <c r="AL58" s="535"/>
      <c r="AM58" s="535"/>
      <c r="AN58" s="535"/>
      <c r="AO58" s="535"/>
      <c r="AP58" s="535"/>
      <c r="AQ58" s="535"/>
      <c r="AR58" s="535"/>
      <c r="AS58" s="535"/>
      <c r="AT58" s="535"/>
      <c r="AU58" s="535"/>
      <c r="AV58" s="535"/>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5"/>
      <c r="BU58" s="535"/>
      <c r="BV58" s="535"/>
      <c r="BW58" s="535"/>
      <c r="BX58" s="535"/>
      <c r="BY58" s="535"/>
      <c r="BZ58" s="535"/>
      <c r="CA58" s="535"/>
      <c r="CB58" s="535"/>
      <c r="CC58" s="535"/>
      <c r="CD58" s="535"/>
      <c r="CE58" s="535"/>
      <c r="CF58" s="535"/>
      <c r="CG58" s="535"/>
      <c r="CH58" s="535"/>
      <c r="CI58" s="535"/>
      <c r="CJ58" s="535"/>
      <c r="CK58" s="535"/>
      <c r="CL58" s="535"/>
      <c r="CM58" s="535"/>
      <c r="CN58" s="535"/>
      <c r="CO58" s="535"/>
      <c r="CP58" s="535"/>
      <c r="CQ58" s="535"/>
      <c r="CR58" s="535"/>
      <c r="CS58" s="535"/>
      <c r="CT58" s="535"/>
      <c r="CU58" s="535"/>
      <c r="CV58" s="27"/>
    </row>
    <row r="59" spans="1:113" x14ac:dyDescent="0.3">
      <c r="A59" s="37"/>
      <c r="B59" s="535"/>
      <c r="C59" s="535"/>
      <c r="D59" s="535"/>
      <c r="E59" s="535"/>
      <c r="F59" s="535"/>
      <c r="G59" s="535"/>
      <c r="H59" s="535"/>
      <c r="I59" s="535"/>
      <c r="J59" s="535"/>
      <c r="K59" s="535"/>
      <c r="L59" s="535"/>
      <c r="M59" s="535"/>
      <c r="N59" s="535"/>
      <c r="O59" s="535"/>
      <c r="P59" s="535"/>
      <c r="Q59" s="535"/>
      <c r="R59" s="535"/>
      <c r="S59" s="535"/>
      <c r="T59" s="535"/>
      <c r="U59" s="535"/>
      <c r="V59" s="535"/>
      <c r="W59" s="535"/>
      <c r="X59" s="535"/>
      <c r="Y59" s="535"/>
      <c r="Z59" s="535"/>
      <c r="AA59" s="535"/>
      <c r="AB59" s="535"/>
      <c r="AC59" s="535"/>
      <c r="AD59" s="535"/>
      <c r="AE59" s="535"/>
      <c r="AF59" s="535"/>
      <c r="AG59" s="535"/>
      <c r="AH59" s="535"/>
      <c r="AI59" s="535"/>
      <c r="AJ59" s="535"/>
      <c r="AK59" s="535"/>
      <c r="AL59" s="535"/>
      <c r="AM59" s="535"/>
      <c r="AN59" s="535"/>
      <c r="AO59" s="535"/>
      <c r="AP59" s="535"/>
      <c r="AQ59" s="535"/>
      <c r="AR59" s="535"/>
      <c r="AS59" s="535"/>
      <c r="AT59" s="535"/>
      <c r="AU59" s="535"/>
      <c r="AV59" s="535"/>
      <c r="AW59" s="535"/>
      <c r="AX59" s="535"/>
      <c r="AY59" s="535"/>
      <c r="AZ59" s="535"/>
      <c r="BA59" s="535"/>
      <c r="BB59" s="535"/>
      <c r="BC59" s="535"/>
      <c r="BD59" s="535"/>
      <c r="BE59" s="535"/>
      <c r="BF59" s="535"/>
      <c r="BG59" s="535"/>
      <c r="BH59" s="535"/>
      <c r="BI59" s="535"/>
      <c r="BJ59" s="535"/>
      <c r="BK59" s="535"/>
      <c r="BL59" s="535"/>
      <c r="BM59" s="535"/>
      <c r="BN59" s="535"/>
      <c r="BO59" s="535"/>
      <c r="BP59" s="535"/>
      <c r="BQ59" s="535"/>
      <c r="BR59" s="535"/>
      <c r="BS59" s="535"/>
      <c r="BT59" s="535"/>
      <c r="BU59" s="535"/>
      <c r="BV59" s="535"/>
      <c r="BW59" s="535"/>
      <c r="BX59" s="535"/>
      <c r="BY59" s="535"/>
      <c r="BZ59" s="535"/>
      <c r="CA59" s="535"/>
      <c r="CB59" s="535"/>
      <c r="CC59" s="535"/>
      <c r="CD59" s="535"/>
      <c r="CE59" s="535"/>
      <c r="CF59" s="535"/>
      <c r="CG59" s="535"/>
      <c r="CH59" s="535"/>
      <c r="CI59" s="535"/>
      <c r="CJ59" s="535"/>
      <c r="CK59" s="535"/>
      <c r="CL59" s="535"/>
      <c r="CM59" s="535"/>
      <c r="CN59" s="535"/>
      <c r="CO59" s="535"/>
      <c r="CP59" s="535"/>
      <c r="CQ59" s="535"/>
      <c r="CR59" s="535"/>
      <c r="CS59" s="535"/>
      <c r="CT59" s="535"/>
      <c r="CU59" s="535"/>
      <c r="CV59" s="27"/>
    </row>
    <row r="60" spans="1:113" ht="15.6" x14ac:dyDescent="0.3">
      <c r="A60" s="31"/>
      <c r="B60" s="34"/>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row>
  </sheetData>
  <sheetProtection algorithmName="SHA-512" hashValue="VPUdBubvx/Cz4/5ZrYRdTu4PFex6WiHcJDmxjzx542YGsWWXJG4IiIawhTq4P9ZLgF3gIzZk8V07AXU7WrxPsQ==" saltValue="5+DKCafJB20sSISzjUFkYA==" spinCount="100000" sheet="1" objects="1" scenarios="1"/>
  <mergeCells count="375">
    <mergeCell ref="AJ28:AQ28"/>
    <mergeCell ref="AR26:AY26"/>
    <mergeCell ref="BH24:BO24"/>
    <mergeCell ref="BH25:BO25"/>
    <mergeCell ref="BH26:BO26"/>
    <mergeCell ref="BP24:BW24"/>
    <mergeCell ref="AB28:AI28"/>
    <mergeCell ref="AZ21:BG21"/>
    <mergeCell ref="C29:AA29"/>
    <mergeCell ref="AB26:AI26"/>
    <mergeCell ref="AJ26:AQ26"/>
    <mergeCell ref="AB29:AI29"/>
    <mergeCell ref="AJ29:AQ29"/>
    <mergeCell ref="C30:AA30"/>
    <mergeCell ref="C31:AA31"/>
    <mergeCell ref="C27:AA27"/>
    <mergeCell ref="C28:AA28"/>
    <mergeCell ref="B20:AA20"/>
    <mergeCell ref="C21:AA21"/>
    <mergeCell ref="C22:AA22"/>
    <mergeCell ref="C23:AA23"/>
    <mergeCell ref="C24:AA24"/>
    <mergeCell ref="C25:AA25"/>
    <mergeCell ref="C26:AA26"/>
    <mergeCell ref="BX36:CE36"/>
    <mergeCell ref="BX22:CE22"/>
    <mergeCell ref="BX23:CE23"/>
    <mergeCell ref="BP22:BW22"/>
    <mergeCell ref="CF22:CM22"/>
    <mergeCell ref="CF23:CM23"/>
    <mergeCell ref="BH22:BO22"/>
    <mergeCell ref="BH23:BO23"/>
    <mergeCell ref="BX20:CE20"/>
    <mergeCell ref="CF20:CM20"/>
    <mergeCell ref="BH21:BO21"/>
    <mergeCell ref="BX21:CE21"/>
    <mergeCell ref="BP21:BW21"/>
    <mergeCell ref="BP29:BW29"/>
    <mergeCell ref="BP30:BW30"/>
    <mergeCell ref="CF33:CM33"/>
    <mergeCell ref="BX34:CE34"/>
    <mergeCell ref="CF34:CM34"/>
    <mergeCell ref="CF36:CM36"/>
    <mergeCell ref="BP33:BW33"/>
    <mergeCell ref="BH34:BO34"/>
    <mergeCell ref="BP34:BW34"/>
    <mergeCell ref="BP32:BW32"/>
    <mergeCell ref="BH32:BO32"/>
    <mergeCell ref="CN36:CU36"/>
    <mergeCell ref="CN33:CU33"/>
    <mergeCell ref="CN34:CU34"/>
    <mergeCell ref="AB27:AI27"/>
    <mergeCell ref="AZ25:BG25"/>
    <mergeCell ref="AZ26:BG26"/>
    <mergeCell ref="AZ27:BG27"/>
    <mergeCell ref="AZ28:BG28"/>
    <mergeCell ref="CF27:CM27"/>
    <mergeCell ref="CF26:CM26"/>
    <mergeCell ref="CF25:CM25"/>
    <mergeCell ref="BX27:CE27"/>
    <mergeCell ref="BX28:CE28"/>
    <mergeCell ref="AB35:AI35"/>
    <mergeCell ref="BX30:CE30"/>
    <mergeCell ref="BX31:CE31"/>
    <mergeCell ref="CF30:CM30"/>
    <mergeCell ref="CF31:CM31"/>
    <mergeCell ref="CF29:CM29"/>
    <mergeCell ref="CF28:CM28"/>
    <mergeCell ref="CF35:CM35"/>
    <mergeCell ref="BX26:CE26"/>
    <mergeCell ref="AJ27:AQ27"/>
    <mergeCell ref="CN29:CU29"/>
    <mergeCell ref="CN27:CU27"/>
    <mergeCell ref="CN26:CU26"/>
    <mergeCell ref="BH27:BO27"/>
    <mergeCell ref="BP27:BW27"/>
    <mergeCell ref="CN35:CU35"/>
    <mergeCell ref="AZ22:BG22"/>
    <mergeCell ref="AZ23:BG23"/>
    <mergeCell ref="AZ24:BG24"/>
    <mergeCell ref="BH31:BO31"/>
    <mergeCell ref="BP31:BW31"/>
    <mergeCell ref="AZ29:BG29"/>
    <mergeCell ref="AZ30:BG30"/>
    <mergeCell ref="BP26:BW26"/>
    <mergeCell ref="BH28:BO28"/>
    <mergeCell ref="BP28:BW28"/>
    <mergeCell ref="CN28:CU28"/>
    <mergeCell ref="BX29:CE29"/>
    <mergeCell ref="BX35:CE35"/>
    <mergeCell ref="BX33:CE33"/>
    <mergeCell ref="CN31:CU31"/>
    <mergeCell ref="CN30:CU30"/>
    <mergeCell ref="CF24:CM24"/>
    <mergeCell ref="BH29:BO29"/>
    <mergeCell ref="BH30:BO30"/>
    <mergeCell ref="CN24:CU24"/>
    <mergeCell ref="CN22:CU22"/>
    <mergeCell ref="BX24:CE24"/>
    <mergeCell ref="BX25:CE25"/>
    <mergeCell ref="B18:AA19"/>
    <mergeCell ref="AB21:AI21"/>
    <mergeCell ref="CN23:CU23"/>
    <mergeCell ref="CN25:CU25"/>
    <mergeCell ref="CN20:CU20"/>
    <mergeCell ref="BP23:BW23"/>
    <mergeCell ref="AB22:AI22"/>
    <mergeCell ref="AB23:AI23"/>
    <mergeCell ref="AB24:AI24"/>
    <mergeCell ref="AB25:AI25"/>
    <mergeCell ref="AR22:AY22"/>
    <mergeCell ref="AR23:AY23"/>
    <mergeCell ref="AJ22:AQ22"/>
    <mergeCell ref="AJ23:AQ23"/>
    <mergeCell ref="AR24:AY24"/>
    <mergeCell ref="AR25:AY25"/>
    <mergeCell ref="AJ24:AQ24"/>
    <mergeCell ref="AJ25:AQ25"/>
    <mergeCell ref="BP25:BW25"/>
    <mergeCell ref="B6:J7"/>
    <mergeCell ref="L6:W7"/>
    <mergeCell ref="L9:AZ11"/>
    <mergeCell ref="B9:J11"/>
    <mergeCell ref="BK6:CT6"/>
    <mergeCell ref="L13:AZ15"/>
    <mergeCell ref="B13:J15"/>
    <mergeCell ref="BB10:BP10"/>
    <mergeCell ref="CF21:CM21"/>
    <mergeCell ref="AA7:AG7"/>
    <mergeCell ref="AB17:BG17"/>
    <mergeCell ref="BH17:CM17"/>
    <mergeCell ref="AB20:AI20"/>
    <mergeCell ref="AJ20:AQ20"/>
    <mergeCell ref="AR20:AY20"/>
    <mergeCell ref="AJ21:AQ21"/>
    <mergeCell ref="AR21:AY21"/>
    <mergeCell ref="AZ20:BG20"/>
    <mergeCell ref="BH20:BO20"/>
    <mergeCell ref="BP20:BW20"/>
    <mergeCell ref="CN21:CU21"/>
    <mergeCell ref="T2:CA2"/>
    <mergeCell ref="CB2:CV2"/>
    <mergeCell ref="BB6:BI6"/>
    <mergeCell ref="BB11:CU15"/>
    <mergeCell ref="CN18:CU19"/>
    <mergeCell ref="BB8:BI8"/>
    <mergeCell ref="BK8:BM8"/>
    <mergeCell ref="BO8:CO8"/>
    <mergeCell ref="AB18:AI19"/>
    <mergeCell ref="AJ18:AQ19"/>
    <mergeCell ref="AR18:AY19"/>
    <mergeCell ref="AZ18:BG19"/>
    <mergeCell ref="BH18:BO19"/>
    <mergeCell ref="BP18:BW19"/>
    <mergeCell ref="BX18:CE19"/>
    <mergeCell ref="CF18:CM19"/>
    <mergeCell ref="AI6:AS6"/>
    <mergeCell ref="AI7:AS7"/>
    <mergeCell ref="AA6:AG6"/>
    <mergeCell ref="AI3:AP3"/>
    <mergeCell ref="AQ3:AY3"/>
    <mergeCell ref="AZ3:BG3"/>
    <mergeCell ref="C39:AA39"/>
    <mergeCell ref="CN37:CU37"/>
    <mergeCell ref="CN38:CU38"/>
    <mergeCell ref="B32:Z32"/>
    <mergeCell ref="AJ33:AQ33"/>
    <mergeCell ref="AJ34:AQ34"/>
    <mergeCell ref="AJ35:AQ35"/>
    <mergeCell ref="AJ36:AQ36"/>
    <mergeCell ref="AR33:AY33"/>
    <mergeCell ref="AR34:AY34"/>
    <mergeCell ref="AR35:AY35"/>
    <mergeCell ref="AR36:AY36"/>
    <mergeCell ref="AZ33:BG33"/>
    <mergeCell ref="AZ34:BG34"/>
    <mergeCell ref="AZ35:BG35"/>
    <mergeCell ref="AZ36:BG36"/>
    <mergeCell ref="CN39:CU39"/>
    <mergeCell ref="C33:AA33"/>
    <mergeCell ref="C34:AA34"/>
    <mergeCell ref="C35:AA35"/>
    <mergeCell ref="C36:AA36"/>
    <mergeCell ref="BH35:BO35"/>
    <mergeCell ref="C37:AA37"/>
    <mergeCell ref="C38:AA38"/>
    <mergeCell ref="AB50:AI50"/>
    <mergeCell ref="AJ50:AQ50"/>
    <mergeCell ref="CN40:CU40"/>
    <mergeCell ref="C44:AA44"/>
    <mergeCell ref="C45:AA45"/>
    <mergeCell ref="C46:AA46"/>
    <mergeCell ref="C47:AA47"/>
    <mergeCell ref="C48:AA48"/>
    <mergeCell ref="B50:AA50"/>
    <mergeCell ref="B42:Z42"/>
    <mergeCell ref="CN44:CU44"/>
    <mergeCell ref="CN46:CU46"/>
    <mergeCell ref="CN45:CU45"/>
    <mergeCell ref="CN48:CU48"/>
    <mergeCell ref="CN43:CU43"/>
    <mergeCell ref="AB42:AI42"/>
    <mergeCell ref="AJ42:AQ42"/>
    <mergeCell ref="AR42:AY42"/>
    <mergeCell ref="AZ42:BG42"/>
    <mergeCell ref="BH42:BO42"/>
    <mergeCell ref="BP42:BW42"/>
    <mergeCell ref="BX42:CE42"/>
    <mergeCell ref="CF42:CM42"/>
    <mergeCell ref="CN42:CU42"/>
    <mergeCell ref="C43:AA43"/>
    <mergeCell ref="AB48:AI48"/>
    <mergeCell ref="AJ48:AQ48"/>
    <mergeCell ref="AB47:AI47"/>
    <mergeCell ref="AB46:AI46"/>
    <mergeCell ref="AB45:AI45"/>
    <mergeCell ref="AB44:AI44"/>
    <mergeCell ref="AJ43:AQ43"/>
    <mergeCell ref="AJ44:AQ44"/>
    <mergeCell ref="AJ45:AQ45"/>
    <mergeCell ref="AJ46:AQ46"/>
    <mergeCell ref="AJ47:AQ47"/>
    <mergeCell ref="AB43:AI43"/>
    <mergeCell ref="CF40:CM40"/>
    <mergeCell ref="CF44:CM44"/>
    <mergeCell ref="CF45:CM45"/>
    <mergeCell ref="AR48:AY48"/>
    <mergeCell ref="AR47:AY47"/>
    <mergeCell ref="AR46:AY46"/>
    <mergeCell ref="AR45:AY45"/>
    <mergeCell ref="B57:CU59"/>
    <mergeCell ref="CN47:CU47"/>
    <mergeCell ref="CN54:CU54"/>
    <mergeCell ref="CN51:CU51"/>
    <mergeCell ref="CN52:CU52"/>
    <mergeCell ref="C51:AA51"/>
    <mergeCell ref="AZ51:BG51"/>
    <mergeCell ref="AZ52:BG52"/>
    <mergeCell ref="AZ54:BG54"/>
    <mergeCell ref="AZ55:BG55"/>
    <mergeCell ref="C52:AA52"/>
    <mergeCell ref="C54:AA54"/>
    <mergeCell ref="C55:AA55"/>
    <mergeCell ref="CN55:CU55"/>
    <mergeCell ref="AR54:AY54"/>
    <mergeCell ref="AR55:AY55"/>
    <mergeCell ref="C40:AA40"/>
    <mergeCell ref="AB55:AI55"/>
    <mergeCell ref="AJ55:AQ55"/>
    <mergeCell ref="AB51:AI51"/>
    <mergeCell ref="AB52:AI52"/>
    <mergeCell ref="AB54:AI54"/>
    <mergeCell ref="AJ54:AQ54"/>
    <mergeCell ref="AJ52:AQ52"/>
    <mergeCell ref="AJ51:AQ51"/>
    <mergeCell ref="AR27:AY27"/>
    <mergeCell ref="AR28:AY28"/>
    <mergeCell ref="AR29:AY29"/>
    <mergeCell ref="AB36:AI36"/>
    <mergeCell ref="AB37:AI37"/>
    <mergeCell ref="AB38:AI38"/>
    <mergeCell ref="AB39:AI39"/>
    <mergeCell ref="AB40:AI40"/>
    <mergeCell ref="AJ37:AQ37"/>
    <mergeCell ref="AJ38:AQ38"/>
    <mergeCell ref="AJ39:AQ39"/>
    <mergeCell ref="AJ40:AQ40"/>
    <mergeCell ref="AR39:AY39"/>
    <mergeCell ref="AR40:AY40"/>
    <mergeCell ref="AR51:AY51"/>
    <mergeCell ref="AR52:AY52"/>
    <mergeCell ref="AZ39:BG39"/>
    <mergeCell ref="AR44:AY44"/>
    <mergeCell ref="AR43:AY43"/>
    <mergeCell ref="BH38:BO38"/>
    <mergeCell ref="BP37:BW37"/>
    <mergeCell ref="AR38:AY38"/>
    <mergeCell ref="BP35:BW35"/>
    <mergeCell ref="BP38:BW38"/>
    <mergeCell ref="BH36:BO36"/>
    <mergeCell ref="BP36:BW36"/>
    <mergeCell ref="BH37:BO37"/>
    <mergeCell ref="AR37:AY37"/>
    <mergeCell ref="AZ40:BG40"/>
    <mergeCell ref="BP39:BW39"/>
    <mergeCell ref="BP40:BW40"/>
    <mergeCell ref="BH39:BO39"/>
    <mergeCell ref="BH40:BO40"/>
    <mergeCell ref="BP43:BW43"/>
    <mergeCell ref="BP44:BW44"/>
    <mergeCell ref="BH43:BO43"/>
    <mergeCell ref="BH44:BO44"/>
    <mergeCell ref="AB30:AI30"/>
    <mergeCell ref="AJ30:AQ30"/>
    <mergeCell ref="AB31:AI31"/>
    <mergeCell ref="AJ31:AQ31"/>
    <mergeCell ref="AB33:AI33"/>
    <mergeCell ref="AZ37:BG37"/>
    <mergeCell ref="AZ38:BG38"/>
    <mergeCell ref="AB34:AI34"/>
    <mergeCell ref="AJ32:AQ32"/>
    <mergeCell ref="AB32:AI32"/>
    <mergeCell ref="AR30:AY30"/>
    <mergeCell ref="AZ32:BG32"/>
    <mergeCell ref="AR32:AY32"/>
    <mergeCell ref="AR31:AY31"/>
    <mergeCell ref="AZ31:BG31"/>
    <mergeCell ref="BH33:BO33"/>
    <mergeCell ref="CN50:CU50"/>
    <mergeCell ref="BH50:BO50"/>
    <mergeCell ref="BP50:BW50"/>
    <mergeCell ref="BX50:CE50"/>
    <mergeCell ref="CF47:CM47"/>
    <mergeCell ref="CF48:CM48"/>
    <mergeCell ref="CN32:CU32"/>
    <mergeCell ref="CF32:CM32"/>
    <mergeCell ref="BX32:CE32"/>
    <mergeCell ref="BX43:CE43"/>
    <mergeCell ref="BX44:CE44"/>
    <mergeCell ref="BX45:CE45"/>
    <mergeCell ref="BX46:CE46"/>
    <mergeCell ref="BX47:CE47"/>
    <mergeCell ref="BX48:CE48"/>
    <mergeCell ref="BX37:CE37"/>
    <mergeCell ref="BX38:CE38"/>
    <mergeCell ref="BX39:CE39"/>
    <mergeCell ref="BX40:CE40"/>
    <mergeCell ref="CF37:CM37"/>
    <mergeCell ref="CF38:CM38"/>
    <mergeCell ref="CF39:CM39"/>
    <mergeCell ref="CF43:CM43"/>
    <mergeCell ref="CF46:CM46"/>
    <mergeCell ref="AZ50:BG50"/>
    <mergeCell ref="BP48:BW48"/>
    <mergeCell ref="BH48:BO48"/>
    <mergeCell ref="BH46:BO46"/>
    <mergeCell ref="AR50:AY50"/>
    <mergeCell ref="CF50:CM50"/>
    <mergeCell ref="AZ43:BG43"/>
    <mergeCell ref="AZ44:BG44"/>
    <mergeCell ref="AZ45:BG45"/>
    <mergeCell ref="AZ46:BG46"/>
    <mergeCell ref="AZ47:BG47"/>
    <mergeCell ref="AZ48:BG48"/>
    <mergeCell ref="BP45:BW45"/>
    <mergeCell ref="BP46:BW46"/>
    <mergeCell ref="BP47:BW47"/>
    <mergeCell ref="BH45:BO45"/>
    <mergeCell ref="BH47:BO47"/>
    <mergeCell ref="CF54:CM54"/>
    <mergeCell ref="CF55:CM55"/>
    <mergeCell ref="BH51:BO51"/>
    <mergeCell ref="BH52:BO52"/>
    <mergeCell ref="BH54:BO54"/>
    <mergeCell ref="BH55:BO55"/>
    <mergeCell ref="BP51:BW51"/>
    <mergeCell ref="BP52:BW52"/>
    <mergeCell ref="BP54:BW54"/>
    <mergeCell ref="BP55:BW55"/>
    <mergeCell ref="BX51:CE51"/>
    <mergeCell ref="BX52:CE52"/>
    <mergeCell ref="BX54:CE54"/>
    <mergeCell ref="BX55:CE55"/>
    <mergeCell ref="CF51:CM51"/>
    <mergeCell ref="CF52:CM52"/>
    <mergeCell ref="C53:AA53"/>
    <mergeCell ref="AB53:AI53"/>
    <mergeCell ref="AJ53:AQ53"/>
    <mergeCell ref="AR53:AY53"/>
    <mergeCell ref="AZ53:BG53"/>
    <mergeCell ref="CN53:CU53"/>
    <mergeCell ref="BH53:BO53"/>
    <mergeCell ref="BP53:BW53"/>
    <mergeCell ref="BX53:CE53"/>
    <mergeCell ref="CF53:CM53"/>
  </mergeCells>
  <conditionalFormatting sqref="AB21:BG24">
    <cfRule type="expression" dxfId="388" priority="88">
      <formula>NOT(ISNUMBER(AB21:BG24))</formula>
    </cfRule>
  </conditionalFormatting>
  <conditionalFormatting sqref="AB26:BG26 AR29:BU29">
    <cfRule type="expression" dxfId="387" priority="87">
      <formula>NOT(ISNUMBER(AB26:BG26))</formula>
    </cfRule>
  </conditionalFormatting>
  <conditionalFormatting sqref="AR27:BW27">
    <cfRule type="expression" dxfId="386" priority="86">
      <formula>NOT(ISNUMBER(AR27:BW27))</formula>
    </cfRule>
  </conditionalFormatting>
  <conditionalFormatting sqref="BH30:CM30">
    <cfRule type="expression" dxfId="385" priority="84">
      <formula>NOT(ISNUMBER(BH30:CM30))</formula>
    </cfRule>
  </conditionalFormatting>
  <conditionalFormatting sqref="AB33:BG35">
    <cfRule type="expression" dxfId="384" priority="83">
      <formula>NOT(ISNUMBER(AB33:BG35))</formula>
    </cfRule>
  </conditionalFormatting>
  <conditionalFormatting sqref="CN37:CU40">
    <cfRule type="expression" dxfId="383" priority="2">
      <formula>OR(ISBLANK(CN37),NOT(ISNUMBER(CN37)))</formula>
    </cfRule>
    <cfRule type="cellIs" dxfId="382" priority="59" operator="greaterThan">
      <formula>1</formula>
    </cfRule>
  </conditionalFormatting>
  <conditionalFormatting sqref="CN43:CU48">
    <cfRule type="cellIs" dxfId="381" priority="46" operator="greaterThan">
      <formula>$CN$21</formula>
    </cfRule>
    <cfRule type="expression" dxfId="380" priority="81">
      <formula>NOT(ISNUMBER(CN43:CU48))</formula>
    </cfRule>
  </conditionalFormatting>
  <conditionalFormatting sqref="AB51:BG53">
    <cfRule type="expression" dxfId="379" priority="80">
      <formula>NOT(ISNUMBER(AB51:BG53))</formula>
    </cfRule>
  </conditionalFormatting>
  <conditionalFormatting sqref="CN29:CU29">
    <cfRule type="cellIs" dxfId="378" priority="1" operator="lessThan">
      <formula>1</formula>
    </cfRule>
    <cfRule type="expression" dxfId="377" priority="3">
      <formula>OR(NOT(ISNUMBER($CN$29)),ISBLANK($CN$29))</formula>
    </cfRule>
  </conditionalFormatting>
  <conditionalFormatting sqref="BV29:BW29">
    <cfRule type="expression" dxfId="376" priority="133">
      <formula>NOT(ISNUMBER(BV29:DC29))</formula>
    </cfRule>
  </conditionalFormatting>
  <conditionalFormatting sqref="AI6:AI7">
    <cfRule type="expression" dxfId="375" priority="75">
      <formula>IF(AND(ISNUMBER($AI$6),ISNUMBER($AI$6)),IF($AI$6&gt;=$AI$7,TRUE,FALSE),FALSE)</formula>
    </cfRule>
  </conditionalFormatting>
  <conditionalFormatting sqref="AI6:AS7">
    <cfRule type="expression" dxfId="374" priority="73">
      <formula>NOT(ISNUMBER(AI6))</formula>
    </cfRule>
  </conditionalFormatting>
  <conditionalFormatting sqref="AB26:AI26">
    <cfRule type="cellIs" dxfId="373" priority="72" operator="greaterThan">
      <formula>$AB$21</formula>
    </cfRule>
  </conditionalFormatting>
  <conditionalFormatting sqref="AJ26:AQ26">
    <cfRule type="expression" dxfId="372" priority="71">
      <formula>$AJ$26&gt;SUM($AB$21,$AJ$21)-$AB$26</formula>
    </cfRule>
  </conditionalFormatting>
  <conditionalFormatting sqref="AR26:AY26">
    <cfRule type="expression" dxfId="371" priority="70">
      <formula>$AR$26&gt;SUM($AB$21,$AJ$21,$AR$21)-SUM($AB$26,$AJ$26)</formula>
    </cfRule>
  </conditionalFormatting>
  <conditionalFormatting sqref="AZ26:BG26">
    <cfRule type="expression" dxfId="370" priority="69">
      <formula>$AZ$26&gt;SUM($AB$21,$AJ$21,$AR$21,$AZ$21)-SUM($AB$26,$AJ$26,$AR$26)</formula>
    </cfRule>
  </conditionalFormatting>
  <conditionalFormatting sqref="AB33:AI33">
    <cfRule type="expression" dxfId="369" priority="68">
      <formula>$AB$33&gt;SUM($AB$21)</formula>
    </cfRule>
  </conditionalFormatting>
  <conditionalFormatting sqref="AJ33:AQ33">
    <cfRule type="expression" dxfId="368" priority="67">
      <formula>$AJ$33&gt;SUM($AB$21,$AJ$21)-SUM($AB$33)</formula>
    </cfRule>
  </conditionalFormatting>
  <conditionalFormatting sqref="AR33:AY33">
    <cfRule type="expression" dxfId="367" priority="66">
      <formula>$AR$33&gt;SUM($AB$21,$AJ$21,$AR$21)-SUM($AB$33,$AJ$33)</formula>
    </cfRule>
  </conditionalFormatting>
  <conditionalFormatting sqref="AZ33:BG33">
    <cfRule type="expression" dxfId="366" priority="65">
      <formula>$AZ$33&gt;SUM($AB$21,$AJ$21,$AR$21,$AZ$21)-SUM($AB$33,$AJ$33,$AR$33)</formula>
    </cfRule>
  </conditionalFormatting>
  <conditionalFormatting sqref="AB23:AI23">
    <cfRule type="expression" dxfId="365" priority="51">
      <formula>$AB$23&gt;SUM($AB$21)</formula>
    </cfRule>
    <cfRule type="expression" dxfId="364" priority="64">
      <formula>$AB$23&gt;$AB$26</formula>
    </cfRule>
  </conditionalFormatting>
  <conditionalFormatting sqref="AJ23:AQ23">
    <cfRule type="expression" dxfId="363" priority="50">
      <formula>$AJ$23&gt;SUM($AB$21,$AJ$21)-SUM($AB$26)</formula>
    </cfRule>
    <cfRule type="expression" dxfId="362" priority="63">
      <formula>$AJ$23&gt;$AJ$26</formula>
    </cfRule>
  </conditionalFormatting>
  <conditionalFormatting sqref="AR23:AY23">
    <cfRule type="expression" dxfId="361" priority="49">
      <formula>$AR$23&gt;SUM($AB$21,$AJ$21,$AR$21)-SUM($AB$26,$AJ$26)</formula>
    </cfRule>
    <cfRule type="expression" dxfId="360" priority="62">
      <formula>$AR$23&gt;$AR$26</formula>
    </cfRule>
  </conditionalFormatting>
  <conditionalFormatting sqref="AZ23:BG23">
    <cfRule type="expression" dxfId="359" priority="48">
      <formula>$AZ$23&gt;SUM($AB$21,$AJ$21,$AR$21,$AZ$21)-SUM($AB$26,$AJ$26,$AR$26)</formula>
    </cfRule>
    <cfRule type="expression" dxfId="358" priority="61">
      <formula>$AZ$23&gt;$AZ$26</formula>
    </cfRule>
  </conditionalFormatting>
  <conditionalFormatting sqref="AB24:BG24">
    <cfRule type="cellIs" dxfId="357" priority="60" operator="greaterThan">
      <formula>200</formula>
    </cfRule>
  </conditionalFormatting>
  <conditionalFormatting sqref="CN55:CU55">
    <cfRule type="cellIs" dxfId="356" priority="58" operator="notEqual">
      <formula>ROUND($L$6,2)</formula>
    </cfRule>
  </conditionalFormatting>
  <conditionalFormatting sqref="L6:W7">
    <cfRule type="expression" dxfId="355" priority="57">
      <formula>NOT(ISNUMBER($L$6))</formula>
    </cfRule>
  </conditionalFormatting>
  <conditionalFormatting sqref="AB22:AI22">
    <cfRule type="cellIs" dxfId="354" priority="55" operator="greaterThan">
      <formula>$AB$21</formula>
    </cfRule>
  </conditionalFormatting>
  <conditionalFormatting sqref="AJ22:AQ22">
    <cfRule type="expression" dxfId="353" priority="54">
      <formula>$AJ$22&gt;SUM($AB$21,$AJ$21)-SUM($AB$26)</formula>
    </cfRule>
  </conditionalFormatting>
  <conditionalFormatting sqref="AR22:AY22">
    <cfRule type="expression" dxfId="352" priority="53">
      <formula>$AR$22&gt;SUM($AB$21,$AJ$21,$AR$21)-SUM($AB$26,$AJ$26)</formula>
    </cfRule>
  </conditionalFormatting>
  <conditionalFormatting sqref="AZ22:BG22">
    <cfRule type="expression" dxfId="351" priority="52">
      <formula>$AZ$22&gt;SUM($AB$21,$AJ$21,$AR$21,$AZ$21)-SUM($AB$26,$AJ$26,$AR$26)</formula>
    </cfRule>
  </conditionalFormatting>
  <conditionalFormatting sqref="CN22:CU23">
    <cfRule type="expression" dxfId="350" priority="47">
      <formula>CN22&gt;$CN$21</formula>
    </cfRule>
  </conditionalFormatting>
  <conditionalFormatting sqref="AR27:AY27">
    <cfRule type="cellIs" dxfId="349" priority="25" operator="greaterThan">
      <formula>$AB$23</formula>
    </cfRule>
    <cfRule type="cellIs" dxfId="348" priority="37" operator="greaterThan">
      <formula>$AB$21</formula>
    </cfRule>
    <cfRule type="expression" dxfId="347" priority="38">
      <formula>$AR$27&gt;SUM($AB$23)</formula>
    </cfRule>
    <cfRule type="cellIs" dxfId="346" priority="45" operator="greaterThan">
      <formula>$AB$26</formula>
    </cfRule>
  </conditionalFormatting>
  <conditionalFormatting sqref="AZ27:BG27">
    <cfRule type="expression" dxfId="345" priority="34">
      <formula>$AZ$27&gt;SUM($AB$23,$AJ$23)-SUM($AR$27)</formula>
    </cfRule>
    <cfRule type="expression" dxfId="344" priority="35">
      <formula>$AZ$27&gt;SUM($AB$21,$AJ$21)-SUM($AR$27)</formula>
    </cfRule>
    <cfRule type="expression" dxfId="343" priority="44">
      <formula>$AZ$27&gt;SUM($AB$26,$AJ$26)-SUM($AR$27)</formula>
    </cfRule>
  </conditionalFormatting>
  <conditionalFormatting sqref="BH27:BO27">
    <cfRule type="expression" dxfId="342" priority="31">
      <formula>$BH$27&gt;SUM($AB$21,$AJ$21,$AR$21)-SUM($AR$27,$AZ$27)</formula>
    </cfRule>
    <cfRule type="expression" dxfId="341" priority="33">
      <formula>$BH$27&gt;SUM($AB$23,$AJ$23,$AR$23)-SUM($AR$27,$AZ$27)</formula>
    </cfRule>
    <cfRule type="expression" dxfId="340" priority="43">
      <formula>$BH$27&gt;SUM($AB$26,$AJ$26,$AR$26)-SUM($AR$27,$AZ$27)</formula>
    </cfRule>
  </conditionalFormatting>
  <conditionalFormatting sqref="BP27:BW27">
    <cfRule type="expression" dxfId="339" priority="29">
      <formula>$BP$27&gt;SUM($AB$21,$AJ$21,$AR$21,$AZ$21)-SUM($AR$27,$AZ$27,$BH$27)</formula>
    </cfRule>
    <cfRule type="expression" dxfId="338" priority="30">
      <formula>$BP$27&gt;SUM($AB$23,$AJ$23,$AR$23,$AZ$23)-SUM($AR$27,$AZ$27,$BH$27)</formula>
    </cfRule>
    <cfRule type="expression" dxfId="337" priority="42">
      <formula>$BP$27&gt;SUM($AB$26,$AJ$26,$AR$26,$AZ$26)-SUM($AR$27,$AZ$27,$BH$27)</formula>
    </cfRule>
  </conditionalFormatting>
  <conditionalFormatting sqref="CN26:CU27">
    <cfRule type="cellIs" dxfId="336" priority="41" operator="greaterThan">
      <formula>$CN$21</formula>
    </cfRule>
  </conditionalFormatting>
  <conditionalFormatting sqref="CN30:CU30">
    <cfRule type="cellIs" dxfId="335" priority="40" operator="greaterThan">
      <formula>$CN$21</formula>
    </cfRule>
  </conditionalFormatting>
  <conditionalFormatting sqref="CN33:CU35">
    <cfRule type="cellIs" dxfId="334" priority="36" operator="greaterThan">
      <formula>$CN$21</formula>
    </cfRule>
  </conditionalFormatting>
  <conditionalFormatting sqref="BH30:BO30">
    <cfRule type="cellIs" dxfId="333" priority="26" operator="greaterThan">
      <formula>$AB$23</formula>
    </cfRule>
    <cfRule type="cellIs" dxfId="332" priority="27" operator="greaterThan">
      <formula>$AB$21</formula>
    </cfRule>
    <cfRule type="cellIs" dxfId="331" priority="28" operator="greaterThan">
      <formula>$AB$26</formula>
    </cfRule>
  </conditionalFormatting>
  <conditionalFormatting sqref="BP30:BW30">
    <cfRule type="expression" dxfId="330" priority="22">
      <formula>$BP$30&gt;SUM($AB$26,$AJ$26)-SUM($BH$30)</formula>
    </cfRule>
    <cfRule type="expression" dxfId="329" priority="23">
      <formula>$BP$30&gt;SUM($AB$23,$AJ$23)-SUM($BH$30)</formula>
    </cfRule>
    <cfRule type="expression" dxfId="328" priority="24">
      <formula>$BP$30&gt;SUM($AB$21,$AJ$21)-SUM($BH$30)</formula>
    </cfRule>
  </conditionalFormatting>
  <conditionalFormatting sqref="BX30:CE30">
    <cfRule type="expression" dxfId="327" priority="19">
      <formula>$BX$30&gt;SUM($AB$26,$AJ$26,$AR$26)-SUM($BH$30,$BP$30)</formula>
    </cfRule>
    <cfRule type="expression" dxfId="326" priority="20">
      <formula>$BX$30&gt;SUM($AB$23,$AJ$23,$AR$23)-SUM($BH$30,$BP$30)</formula>
    </cfRule>
    <cfRule type="expression" dxfId="325" priority="21">
      <formula>$BX$30&gt;SUM($AB$21,$AJ$21,$AR$21)-SUM($BH$30,$BP$30)</formula>
    </cfRule>
  </conditionalFormatting>
  <conditionalFormatting sqref="CF30:CM30">
    <cfRule type="expression" dxfId="324" priority="16">
      <formula>$CF$30&gt;SUM($AB$26,$AJ$26,$AR$26,$AZ$26)-SUM($BH$30,$BP$30,$BX$30)</formula>
    </cfRule>
    <cfRule type="expression" dxfId="323" priority="17">
      <formula>$CF$30&gt;SUM($AB$23,$AJ$23,$AR$23,$AZ$23)-SUM($BH$30,$BP$30,$BX$30)</formula>
    </cfRule>
    <cfRule type="expression" dxfId="322" priority="18">
      <formula>$CF$30&gt;SUM($AB$21,$AJ$21,$AR$21,$AZ$21)-SUM($BH$30,$BP$30,$BX$30)</formula>
    </cfRule>
  </conditionalFormatting>
  <conditionalFormatting sqref="AB34:AI34">
    <cfRule type="expression" dxfId="321" priority="15">
      <formula>$AB$34&gt;SUM($AB$33)</formula>
    </cfRule>
  </conditionalFormatting>
  <conditionalFormatting sqref="AJ34:AQ34">
    <cfRule type="expression" dxfId="320" priority="14">
      <formula>$AJ$34&gt;SUM($AB$33,$AJ$33)-SUM($AB$34)</formula>
    </cfRule>
  </conditionalFormatting>
  <conditionalFormatting sqref="AR34:AY34">
    <cfRule type="expression" dxfId="319" priority="13">
      <formula>$AR$34&gt;SUM($AB$33,$AJ$33,$AR$33)-SUM($AB$34,$AJ$34)</formula>
    </cfRule>
  </conditionalFormatting>
  <conditionalFormatting sqref="AZ34:BG34">
    <cfRule type="expression" dxfId="318" priority="12">
      <formula>$AZ$34&gt;SUM($AB$33,$AJ$33,$AR$33,$AZ$33)-SUM($AB$34,$AJ$34,$AR$34)</formula>
    </cfRule>
  </conditionalFormatting>
  <conditionalFormatting sqref="AB35:AI35">
    <cfRule type="expression" dxfId="317" priority="10">
      <formula>$AB$35&gt;SUM($AB$33)</formula>
    </cfRule>
    <cfRule type="expression" dxfId="316" priority="11">
      <formula>$AB$35&gt;SUM($AB$34)</formula>
    </cfRule>
  </conditionalFormatting>
  <conditionalFormatting sqref="AJ35:AQ35">
    <cfRule type="expression" dxfId="315" priority="8">
      <formula>$AJ$35&gt;SUM($AB$33,$AJ$33)-SUM($AB$34)</formula>
    </cfRule>
    <cfRule type="expression" dxfId="314" priority="9">
      <formula>$AJ$35&gt;SUM($AB$33,$AJ$33)-SUM($AB$35)</formula>
    </cfRule>
  </conditionalFormatting>
  <conditionalFormatting sqref="AR35:AY35">
    <cfRule type="expression" dxfId="313" priority="6">
      <formula>$AR$35&gt;SUM($AB$33,$AJ$33,$AR$33)-SUM($AB$35,$AJ$35)</formula>
    </cfRule>
    <cfRule type="expression" dxfId="312" priority="7">
      <formula>$AR$35&gt;SUM($AB$33,$AJ$33,$AR$33)-SUM($AB$34,$AJ$34)</formula>
    </cfRule>
  </conditionalFormatting>
  <conditionalFormatting sqref="AZ35:BG35">
    <cfRule type="expression" dxfId="311" priority="4">
      <formula>$AZ$35&gt;SUM($AB$33,$AJ$33,$AR$33,$AZ$33)-SUM($AB$35,$AJ$35,$AR$35)</formula>
    </cfRule>
    <cfRule type="expression" dxfId="310" priority="5">
      <formula>$AZ$35&gt;SUM($AB$33,$AJ$33,$AR$33,$AZ$33)-SUM($AB$34,$AJ$34,$AR$34)</formula>
    </cfRule>
  </conditionalFormatting>
  <dataValidations count="2">
    <dataValidation type="list" allowBlank="1" showInputMessage="1" showErrorMessage="1" sqref="BK8:BM8">
      <formula1>INDIRECT("tblFipsStateCodes[StateAbbr]")</formula1>
    </dataValidation>
    <dataValidation type="decimal" allowBlank="1" showInputMessage="1" showErrorMessage="1" errorTitle="Percentage Error" error="Cannot be &gt; 100%." sqref="CN37:CU40">
      <formula1>0</formula1>
      <formula2>1</formula2>
    </dataValidation>
  </dataValidations>
  <pageMargins left="0.2" right="0.2" top="0.25" bottom="0.25" header="0.5" footer="0.3"/>
  <pageSetup scale="48"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ksTpr">
    <tabColor rgb="FF4BACC6"/>
    <pageSetUpPr fitToPage="1"/>
  </sheetPr>
  <dimension ref="A1:DJ81"/>
  <sheetViews>
    <sheetView showGridLines="0" tabSelected="1" zoomScale="90" zoomScaleNormal="90" workbookViewId="0">
      <selection sqref="A1:XFD1"/>
    </sheetView>
  </sheetViews>
  <sheetFormatPr defaultColWidth="9.109375" defaultRowHeight="14.4" x14ac:dyDescent="0.3"/>
  <cols>
    <col min="1" max="1" width="1.88671875" customWidth="1"/>
    <col min="2" max="2" width="0.88671875" customWidth="1"/>
    <col min="3" max="3" width="3.5546875" customWidth="1"/>
    <col min="4" max="26" width="2.6640625" customWidth="1"/>
    <col min="27" max="27" width="5.44140625" customWidth="1"/>
    <col min="28" max="28" width="8.5546875" customWidth="1"/>
    <col min="29" max="35" width="2.6640625" customWidth="1"/>
    <col min="36" max="36" width="1.44140625" customWidth="1"/>
    <col min="37" max="43" width="2.6640625" customWidth="1"/>
    <col min="44" max="44" width="1.44140625" customWidth="1"/>
    <col min="45" max="51" width="2.6640625" customWidth="1"/>
    <col min="52" max="52" width="1.44140625" customWidth="1"/>
    <col min="53" max="59" width="2.6640625" customWidth="1"/>
    <col min="60" max="60" width="1.44140625" customWidth="1"/>
    <col min="61" max="67" width="2.6640625" customWidth="1"/>
    <col min="68" max="68" width="1.44140625" customWidth="1"/>
    <col min="69" max="75" width="2.6640625" customWidth="1"/>
    <col min="76" max="76" width="1.44140625" customWidth="1"/>
    <col min="77" max="83" width="2.6640625" customWidth="1"/>
    <col min="84" max="84" width="1.44140625" customWidth="1"/>
    <col min="85" max="91" width="2.6640625" customWidth="1"/>
    <col min="92" max="92" width="1.44140625" customWidth="1"/>
    <col min="93" max="101" width="2.6640625" customWidth="1"/>
    <col min="102" max="102" width="4.109375" customWidth="1"/>
    <col min="103" max="103" width="5.88671875" customWidth="1"/>
    <col min="105" max="105" width="22.44140625" customWidth="1"/>
    <col min="106" max="106" width="21.5546875" customWidth="1"/>
    <col min="107" max="107" width="21" customWidth="1"/>
    <col min="108" max="108" width="20" customWidth="1"/>
    <col min="109" max="109" width="19.88671875" customWidth="1"/>
    <col min="110" max="110" width="22.44140625" customWidth="1"/>
    <col min="111" max="111" width="21.109375" customWidth="1"/>
    <col min="112" max="112" width="19.5546875" customWidth="1"/>
    <col min="113" max="113" width="21.33203125" customWidth="1"/>
    <col min="114" max="114" width="20.5546875" customWidth="1"/>
  </cols>
  <sheetData>
    <row r="1" spans="1:114" x14ac:dyDescent="0.3">
      <c r="A1" s="28">
        <v>1</v>
      </c>
      <c r="B1" s="28">
        <v>1</v>
      </c>
      <c r="C1" s="28">
        <v>1</v>
      </c>
      <c r="D1" s="28">
        <v>1</v>
      </c>
      <c r="E1" s="28">
        <v>1</v>
      </c>
      <c r="F1" s="28">
        <v>1</v>
      </c>
      <c r="G1" s="28">
        <v>1</v>
      </c>
      <c r="H1" s="28">
        <v>1</v>
      </c>
      <c r="I1" s="28">
        <v>1</v>
      </c>
      <c r="J1" s="28">
        <v>1</v>
      </c>
      <c r="K1" s="28">
        <v>1</v>
      </c>
      <c r="L1" s="28">
        <v>1</v>
      </c>
      <c r="M1" s="28">
        <v>1</v>
      </c>
      <c r="N1" s="28">
        <v>1</v>
      </c>
      <c r="O1" s="28">
        <v>1</v>
      </c>
      <c r="P1" s="28">
        <v>1</v>
      </c>
      <c r="Q1" s="28">
        <v>1</v>
      </c>
      <c r="R1" s="28">
        <v>1</v>
      </c>
      <c r="S1" s="28">
        <v>1</v>
      </c>
      <c r="T1" s="28">
        <v>1</v>
      </c>
      <c r="U1" s="28">
        <v>1</v>
      </c>
      <c r="V1" s="28">
        <v>1</v>
      </c>
      <c r="W1" s="28">
        <v>1</v>
      </c>
      <c r="X1" s="28">
        <v>1</v>
      </c>
      <c r="Y1" s="28">
        <v>1</v>
      </c>
      <c r="Z1" s="28">
        <v>1</v>
      </c>
      <c r="AA1" s="28">
        <v>1</v>
      </c>
      <c r="AB1" s="28">
        <v>1</v>
      </c>
      <c r="AC1" s="28">
        <v>1</v>
      </c>
      <c r="AD1" s="28">
        <v>1</v>
      </c>
      <c r="AE1" s="28">
        <v>1</v>
      </c>
      <c r="AF1" s="28">
        <v>1</v>
      </c>
      <c r="AG1" s="28">
        <v>1</v>
      </c>
      <c r="AH1" s="28">
        <v>1</v>
      </c>
      <c r="AI1" s="28">
        <v>1</v>
      </c>
      <c r="AJ1" s="28">
        <v>0.5</v>
      </c>
      <c r="AK1" s="28">
        <v>1</v>
      </c>
      <c r="AL1" s="28">
        <v>1</v>
      </c>
      <c r="AM1" s="28">
        <v>1</v>
      </c>
      <c r="AN1" s="28">
        <v>1</v>
      </c>
      <c r="AO1" s="28">
        <v>1</v>
      </c>
      <c r="AP1" s="28">
        <v>1</v>
      </c>
      <c r="AQ1" s="28">
        <v>1</v>
      </c>
      <c r="AR1" s="28">
        <v>0.5</v>
      </c>
      <c r="AS1" s="28">
        <v>1</v>
      </c>
      <c r="AT1" s="28">
        <v>1</v>
      </c>
      <c r="AU1" s="28">
        <v>1</v>
      </c>
      <c r="AV1" s="28">
        <v>1</v>
      </c>
      <c r="AW1" s="28">
        <v>1</v>
      </c>
      <c r="AX1" s="28">
        <v>1</v>
      </c>
      <c r="AY1" s="28">
        <v>1</v>
      </c>
      <c r="AZ1" s="28">
        <v>0.5</v>
      </c>
      <c r="BA1" s="28">
        <v>1</v>
      </c>
      <c r="BB1" s="28">
        <v>1</v>
      </c>
      <c r="BC1" s="28">
        <v>1</v>
      </c>
      <c r="BD1" s="28">
        <v>1</v>
      </c>
      <c r="BE1" s="28">
        <v>1</v>
      </c>
      <c r="BF1" s="28">
        <v>1</v>
      </c>
      <c r="BG1" s="28">
        <v>1</v>
      </c>
      <c r="BH1" s="28">
        <v>0.5</v>
      </c>
      <c r="BI1" s="28">
        <v>1</v>
      </c>
      <c r="BJ1" s="28">
        <v>1</v>
      </c>
      <c r="BK1" s="28">
        <v>1</v>
      </c>
      <c r="BL1" s="28">
        <v>1</v>
      </c>
      <c r="BM1" s="28">
        <v>1</v>
      </c>
      <c r="BN1" s="28">
        <v>1</v>
      </c>
      <c r="BO1" s="28">
        <v>1</v>
      </c>
      <c r="BP1" s="28">
        <v>0.5</v>
      </c>
      <c r="BQ1" s="28">
        <v>1</v>
      </c>
      <c r="BR1" s="28">
        <v>1</v>
      </c>
      <c r="BS1" s="28">
        <v>1</v>
      </c>
      <c r="BT1" s="28">
        <v>1</v>
      </c>
      <c r="BU1" s="28">
        <v>1</v>
      </c>
      <c r="BV1" s="28">
        <v>1</v>
      </c>
      <c r="BW1" s="28">
        <v>1</v>
      </c>
      <c r="BX1" s="28">
        <v>0.5</v>
      </c>
      <c r="BY1" s="28">
        <v>1</v>
      </c>
      <c r="BZ1" s="28">
        <v>1</v>
      </c>
      <c r="CA1" s="28">
        <v>1</v>
      </c>
      <c r="CB1" s="28">
        <v>1</v>
      </c>
      <c r="CC1" s="28">
        <v>1</v>
      </c>
      <c r="CD1" s="28">
        <v>1</v>
      </c>
      <c r="CE1" s="28">
        <v>1</v>
      </c>
      <c r="CF1" s="28">
        <v>0.5</v>
      </c>
      <c r="CG1" s="28">
        <v>1</v>
      </c>
      <c r="CH1" s="28">
        <v>1</v>
      </c>
      <c r="CI1" s="28">
        <v>1</v>
      </c>
      <c r="CJ1" s="28">
        <v>1</v>
      </c>
      <c r="CK1" s="28">
        <v>1</v>
      </c>
      <c r="CL1" s="28">
        <v>1</v>
      </c>
      <c r="CM1" s="28">
        <v>1</v>
      </c>
      <c r="CN1" s="28">
        <v>1</v>
      </c>
      <c r="CO1" s="28">
        <v>1</v>
      </c>
      <c r="CP1" s="28">
        <v>1</v>
      </c>
      <c r="CQ1" s="28">
        <v>1</v>
      </c>
      <c r="CR1" s="28">
        <v>1</v>
      </c>
      <c r="CS1" s="28">
        <v>1</v>
      </c>
      <c r="CT1" s="28">
        <v>1</v>
      </c>
      <c r="CU1" s="28">
        <v>1</v>
      </c>
      <c r="CV1" s="28">
        <v>1</v>
      </c>
      <c r="CW1" s="28">
        <v>1</v>
      </c>
    </row>
    <row r="2" spans="1:114" ht="88.5" customHeight="1" x14ac:dyDescent="0.3">
      <c r="A2" s="127"/>
      <c r="B2" s="128"/>
      <c r="C2" s="128"/>
      <c r="D2" s="128"/>
      <c r="E2" s="110"/>
      <c r="F2" s="110"/>
      <c r="G2" s="110"/>
      <c r="H2" s="110"/>
      <c r="I2" s="110"/>
      <c r="J2" s="110"/>
      <c r="K2" s="110"/>
      <c r="L2" s="110"/>
      <c r="M2" s="110"/>
      <c r="N2" s="110"/>
      <c r="O2" s="110"/>
      <c r="P2" s="110"/>
      <c r="Q2" s="110"/>
      <c r="R2" s="110"/>
      <c r="S2" s="110"/>
      <c r="T2" s="110"/>
      <c r="U2" s="1121" t="s">
        <v>2814</v>
      </c>
      <c r="V2" s="1122"/>
      <c r="W2" s="1122"/>
      <c r="X2" s="1122"/>
      <c r="Y2" s="1122"/>
      <c r="Z2" s="1122"/>
      <c r="AA2" s="1122"/>
      <c r="AB2" s="1122"/>
      <c r="AC2" s="1122"/>
      <c r="AD2" s="1122"/>
      <c r="AE2" s="1122"/>
      <c r="AF2" s="1122"/>
      <c r="AG2" s="1122"/>
      <c r="AH2" s="1122"/>
      <c r="AI2" s="1122"/>
      <c r="AJ2" s="1122"/>
      <c r="AK2" s="1122"/>
      <c r="AL2" s="1122"/>
      <c r="AM2" s="1122"/>
      <c r="AN2" s="1122"/>
      <c r="AO2" s="1122"/>
      <c r="AP2" s="1122"/>
      <c r="AQ2" s="1122"/>
      <c r="AR2" s="1122"/>
      <c r="AS2" s="1122"/>
      <c r="AT2" s="1122"/>
      <c r="AU2" s="1122"/>
      <c r="AV2" s="1122"/>
      <c r="AW2" s="1122"/>
      <c r="AX2" s="1122"/>
      <c r="AY2" s="1122"/>
      <c r="AZ2" s="1122"/>
      <c r="BA2" s="1122"/>
      <c r="BB2" s="1122"/>
      <c r="BC2" s="1122"/>
      <c r="BD2" s="1122"/>
      <c r="BE2" s="1122"/>
      <c r="BF2" s="1122"/>
      <c r="BG2" s="1122"/>
      <c r="BH2" s="1122"/>
      <c r="BI2" s="1122"/>
      <c r="BJ2" s="1122"/>
      <c r="BK2" s="1122"/>
      <c r="BL2" s="1122"/>
      <c r="BM2" s="1122"/>
      <c r="BN2" s="1122"/>
      <c r="BO2" s="1122"/>
      <c r="BP2" s="1122"/>
      <c r="BQ2" s="1122"/>
      <c r="BR2" s="1122"/>
      <c r="BS2" s="1122"/>
      <c r="BT2" s="1122"/>
      <c r="BU2" s="1122"/>
      <c r="BV2" s="1122"/>
      <c r="BW2" s="1122"/>
      <c r="BX2" s="1122"/>
      <c r="BY2" s="1122"/>
      <c r="BZ2" s="1122"/>
      <c r="CA2" s="1122"/>
      <c r="CB2" s="1122"/>
      <c r="CC2" s="1087" t="s">
        <v>3169</v>
      </c>
      <c r="CD2" s="1088"/>
      <c r="CE2" s="1088"/>
      <c r="CF2" s="1088"/>
      <c r="CG2" s="1088"/>
      <c r="CH2" s="1088"/>
      <c r="CI2" s="1088"/>
      <c r="CJ2" s="1088"/>
      <c r="CK2" s="1088"/>
      <c r="CL2" s="1088"/>
      <c r="CM2" s="1088"/>
      <c r="CN2" s="1088"/>
      <c r="CO2" s="1088"/>
      <c r="CP2" s="1088"/>
      <c r="CQ2" s="1088"/>
      <c r="CR2" s="1088"/>
      <c r="CS2" s="1088"/>
      <c r="CT2" s="1088"/>
      <c r="CU2" s="1088"/>
      <c r="CV2" s="1088"/>
      <c r="CW2" s="1089"/>
    </row>
    <row r="3" spans="1:114" ht="12" customHeight="1" x14ac:dyDescent="0.3">
      <c r="A3" s="27"/>
      <c r="B3" s="27"/>
      <c r="C3" s="28"/>
      <c r="D3" s="28"/>
      <c r="E3" s="28"/>
      <c r="F3" s="28"/>
      <c r="G3" s="28"/>
      <c r="H3" s="28"/>
      <c r="I3" s="28"/>
      <c r="J3" s="28"/>
      <c r="K3" s="27"/>
      <c r="L3" s="27"/>
      <c r="M3" s="27"/>
      <c r="N3" s="27"/>
      <c r="O3" s="27"/>
      <c r="P3" s="27"/>
      <c r="Q3" s="27"/>
      <c r="R3" s="27"/>
      <c r="S3" s="27"/>
      <c r="T3" s="27"/>
      <c r="U3" s="27"/>
      <c r="V3" s="27"/>
      <c r="W3" s="27"/>
      <c r="X3" s="31"/>
      <c r="Y3" s="31"/>
      <c r="Z3" s="31"/>
      <c r="AA3" s="31"/>
      <c r="AB3" s="31"/>
      <c r="AC3" s="31"/>
      <c r="AD3" s="31"/>
      <c r="AE3" s="31"/>
      <c r="AF3" s="28"/>
      <c r="AG3" s="28"/>
      <c r="AH3" s="28"/>
      <c r="AI3" s="28"/>
      <c r="AJ3" s="28"/>
      <c r="AK3" s="28"/>
      <c r="AL3" s="28"/>
      <c r="AM3" s="28"/>
      <c r="AN3" s="31"/>
      <c r="AO3" s="31"/>
      <c r="AP3" s="31"/>
      <c r="AQ3" s="31"/>
      <c r="AR3" s="31"/>
      <c r="AS3" s="31"/>
      <c r="AT3" s="27"/>
      <c r="AU3" s="27"/>
      <c r="AV3" s="27"/>
      <c r="AW3" s="27"/>
      <c r="AX3" s="27"/>
      <c r="AY3" s="27"/>
      <c r="AZ3" s="27"/>
      <c r="BA3" s="27"/>
      <c r="BB3" s="221"/>
      <c r="BC3" s="221"/>
      <c r="BD3" s="221"/>
      <c r="BE3" s="221"/>
      <c r="BF3" s="221"/>
      <c r="BG3" s="221"/>
      <c r="BH3" s="221"/>
      <c r="BI3" s="221"/>
      <c r="BJ3" s="31"/>
      <c r="BK3" s="27"/>
      <c r="BL3" s="27"/>
      <c r="BM3" s="27"/>
      <c r="BN3" s="27"/>
      <c r="BO3" s="27"/>
      <c r="BP3" s="27"/>
      <c r="BQ3" s="27"/>
      <c r="BR3" s="221"/>
      <c r="BS3" s="221"/>
      <c r="BT3" s="221"/>
      <c r="BU3" s="221"/>
      <c r="BV3" s="221"/>
      <c r="BW3" s="221"/>
      <c r="BX3" s="221"/>
      <c r="BY3" s="221"/>
      <c r="BZ3" s="31"/>
      <c r="CA3" s="31"/>
      <c r="CB3" s="31"/>
      <c r="CC3" s="31"/>
      <c r="CD3" s="31"/>
      <c r="CE3" s="27"/>
      <c r="CF3" s="27"/>
      <c r="CG3" s="27"/>
      <c r="CH3" s="27"/>
      <c r="CI3" s="27"/>
      <c r="CJ3" s="27"/>
      <c r="CK3" s="27"/>
      <c r="CL3" s="27"/>
      <c r="CM3" s="27"/>
      <c r="CN3" s="27"/>
      <c r="CO3" s="27"/>
      <c r="CP3" s="27"/>
      <c r="CQ3" s="27"/>
      <c r="CR3" s="27"/>
      <c r="CS3" s="27"/>
      <c r="CT3" s="27"/>
      <c r="CU3" s="27"/>
      <c r="CV3" s="27"/>
      <c r="CW3" s="27"/>
    </row>
    <row r="4" spans="1:114" ht="10.5" customHeight="1" x14ac:dyDescent="0.3">
      <c r="A4" s="27"/>
      <c r="B4" s="29"/>
      <c r="C4" s="715" t="s">
        <v>2639</v>
      </c>
      <c r="D4" s="716"/>
      <c r="E4" s="716"/>
      <c r="F4" s="716"/>
      <c r="G4" s="716"/>
      <c r="H4" s="716"/>
      <c r="I4" s="716"/>
      <c r="J4" s="717"/>
      <c r="K4" s="27"/>
      <c r="L4" s="728"/>
      <c r="M4" s="728"/>
      <c r="N4" s="728"/>
      <c r="O4" s="728"/>
      <c r="P4" s="728"/>
      <c r="Q4" s="728"/>
      <c r="R4" s="728"/>
      <c r="S4" s="728"/>
      <c r="T4" s="728"/>
      <c r="U4" s="728"/>
      <c r="V4" s="728"/>
      <c r="W4" s="728"/>
      <c r="X4" s="728"/>
      <c r="Y4" s="728"/>
      <c r="Z4" s="728"/>
      <c r="AA4" s="728"/>
      <c r="AB4" s="728"/>
      <c r="AC4" s="728"/>
      <c r="AD4" s="728"/>
      <c r="AE4" s="29"/>
      <c r="AF4" s="715" t="s">
        <v>2641</v>
      </c>
      <c r="AG4" s="716"/>
      <c r="AH4" s="716"/>
      <c r="AI4" s="716"/>
      <c r="AJ4" s="716"/>
      <c r="AK4" s="716"/>
      <c r="AL4" s="716"/>
      <c r="AM4" s="717"/>
      <c r="AN4" s="31"/>
      <c r="AO4" s="727">
        <f>'VETS-700 Planned Goals'!L6</f>
        <v>0</v>
      </c>
      <c r="AP4" s="727"/>
      <c r="AQ4" s="727"/>
      <c r="AR4" s="727"/>
      <c r="AS4" s="727"/>
      <c r="AT4" s="727"/>
      <c r="AU4" s="727"/>
      <c r="AV4" s="727"/>
      <c r="AW4" s="727"/>
      <c r="AX4" s="727"/>
      <c r="AY4" s="727"/>
      <c r="AZ4" s="727"/>
      <c r="BA4" s="29"/>
      <c r="BB4" s="715" t="s">
        <v>2642</v>
      </c>
      <c r="BC4" s="716"/>
      <c r="BD4" s="716"/>
      <c r="BE4" s="716"/>
      <c r="BF4" s="716"/>
      <c r="BG4" s="716"/>
      <c r="BH4" s="716"/>
      <c r="BI4" s="717"/>
      <c r="BJ4" s="55"/>
      <c r="BK4" s="721" t="s">
        <v>3166</v>
      </c>
      <c r="BL4" s="722"/>
      <c r="BM4" s="722"/>
      <c r="BN4" s="722"/>
      <c r="BO4" s="722"/>
      <c r="BP4" s="723"/>
      <c r="BQ4" s="235"/>
      <c r="BR4" s="715" t="s">
        <v>2640</v>
      </c>
      <c r="BS4" s="716"/>
      <c r="BT4" s="716"/>
      <c r="BU4" s="716"/>
      <c r="BV4" s="716"/>
      <c r="BW4" s="716"/>
      <c r="BX4" s="716"/>
      <c r="BY4" s="717"/>
      <c r="BZ4" s="55"/>
      <c r="CA4" s="714" t="s">
        <v>2663</v>
      </c>
      <c r="CB4" s="714"/>
      <c r="CC4" s="714"/>
      <c r="CD4" s="714"/>
      <c r="CE4" s="714"/>
      <c r="CF4" s="714"/>
      <c r="CG4" s="714"/>
      <c r="CH4" s="714"/>
      <c r="CI4" s="714"/>
      <c r="CJ4" s="714"/>
      <c r="CK4" s="714"/>
      <c r="CL4" s="714"/>
      <c r="CM4" s="714"/>
      <c r="CN4" s="714"/>
      <c r="CO4" s="714"/>
      <c r="CP4" s="714"/>
      <c r="CQ4" s="714"/>
      <c r="CR4" s="714"/>
      <c r="CS4" s="714"/>
      <c r="CT4" s="713"/>
      <c r="CU4" s="55"/>
      <c r="CV4" s="55"/>
      <c r="CW4" s="27"/>
    </row>
    <row r="5" spans="1:114" ht="10.5" customHeight="1" x14ac:dyDescent="0.3">
      <c r="A5" s="27"/>
      <c r="B5" s="29"/>
      <c r="C5" s="718"/>
      <c r="D5" s="719"/>
      <c r="E5" s="719"/>
      <c r="F5" s="719"/>
      <c r="G5" s="719"/>
      <c r="H5" s="719"/>
      <c r="I5" s="719"/>
      <c r="J5" s="720"/>
      <c r="K5" s="27"/>
      <c r="L5" s="728"/>
      <c r="M5" s="728"/>
      <c r="N5" s="728"/>
      <c r="O5" s="728"/>
      <c r="P5" s="728"/>
      <c r="Q5" s="728"/>
      <c r="R5" s="728"/>
      <c r="S5" s="728"/>
      <c r="T5" s="728"/>
      <c r="U5" s="728"/>
      <c r="V5" s="728"/>
      <c r="W5" s="728"/>
      <c r="X5" s="728"/>
      <c r="Y5" s="728"/>
      <c r="Z5" s="728"/>
      <c r="AA5" s="728"/>
      <c r="AB5" s="728"/>
      <c r="AC5" s="728"/>
      <c r="AD5" s="728"/>
      <c r="AE5" s="29"/>
      <c r="AF5" s="718"/>
      <c r="AG5" s="719"/>
      <c r="AH5" s="719"/>
      <c r="AI5" s="719"/>
      <c r="AJ5" s="719"/>
      <c r="AK5" s="719"/>
      <c r="AL5" s="719"/>
      <c r="AM5" s="720"/>
      <c r="AN5" s="31"/>
      <c r="AO5" s="727"/>
      <c r="AP5" s="727"/>
      <c r="AQ5" s="727"/>
      <c r="AR5" s="727"/>
      <c r="AS5" s="727"/>
      <c r="AT5" s="727"/>
      <c r="AU5" s="727"/>
      <c r="AV5" s="727"/>
      <c r="AW5" s="727"/>
      <c r="AX5" s="727"/>
      <c r="AY5" s="727"/>
      <c r="AZ5" s="727"/>
      <c r="BA5" s="29"/>
      <c r="BB5" s="718"/>
      <c r="BC5" s="719"/>
      <c r="BD5" s="719"/>
      <c r="BE5" s="719"/>
      <c r="BF5" s="719"/>
      <c r="BG5" s="719"/>
      <c r="BH5" s="719"/>
      <c r="BI5" s="720"/>
      <c r="BJ5" s="55"/>
      <c r="BK5" s="724"/>
      <c r="BL5" s="725"/>
      <c r="BM5" s="725"/>
      <c r="BN5" s="725"/>
      <c r="BO5" s="725"/>
      <c r="BP5" s="726"/>
      <c r="BQ5" s="235"/>
      <c r="BR5" s="718"/>
      <c r="BS5" s="719"/>
      <c r="BT5" s="719"/>
      <c r="BU5" s="719"/>
      <c r="BV5" s="719"/>
      <c r="BW5" s="719"/>
      <c r="BX5" s="719"/>
      <c r="BY5" s="720"/>
      <c r="BZ5" s="55"/>
      <c r="CA5" s="714"/>
      <c r="CB5" s="714"/>
      <c r="CC5" s="714"/>
      <c r="CD5" s="714"/>
      <c r="CE5" s="714"/>
      <c r="CF5" s="714"/>
      <c r="CG5" s="714"/>
      <c r="CH5" s="714"/>
      <c r="CI5" s="714"/>
      <c r="CJ5" s="714"/>
      <c r="CK5" s="714"/>
      <c r="CL5" s="714"/>
      <c r="CM5" s="714"/>
      <c r="CN5" s="714"/>
      <c r="CO5" s="714"/>
      <c r="CP5" s="714"/>
      <c r="CQ5" s="714"/>
      <c r="CR5" s="714"/>
      <c r="CS5" s="714"/>
      <c r="CT5" s="713"/>
      <c r="CU5" s="55"/>
      <c r="CV5" s="55"/>
      <c r="CW5" s="27"/>
      <c r="DA5" s="281" t="s">
        <v>2846</v>
      </c>
      <c r="DB5" s="282">
        <f>IF(NOT(ISERROR(VALUE(MID(TRIM(inpReportQtr),2,1)))),IF(AND(VALUE(MID(TRIM(inpReportQtr),2,1))&gt;=1,VALUE(MID(TRIM(inpReportQtr),2,1))&lt;=8),VALUE(MID(TRIM(inpReportQtr),2,1)),-1),-1)</f>
        <v>1</v>
      </c>
      <c r="DC5" s="281" t="s">
        <v>2642</v>
      </c>
      <c r="DD5" s="282">
        <f>IF(OR(inpOptYear="",inpOptYear="Select Year"),0,IF(inpOptYear="Initial",0,IF(inpOptYear="First",1,IF(inpOptYear="Second",2,IF(inpOptYear="Third",3,0)))))</f>
        <v>0</v>
      </c>
    </row>
    <row r="6" spans="1:114" ht="10.5" customHeight="1" x14ac:dyDescent="0.3">
      <c r="A6" s="27"/>
      <c r="B6" s="27"/>
      <c r="C6" s="39"/>
      <c r="D6" s="39"/>
      <c r="E6" s="39"/>
      <c r="F6" s="39"/>
      <c r="G6" s="39"/>
      <c r="H6" s="39"/>
      <c r="I6" s="39"/>
      <c r="J6" s="39"/>
      <c r="K6" s="27"/>
      <c r="L6" s="27"/>
      <c r="M6" s="27"/>
      <c r="N6" s="27"/>
      <c r="O6" s="27"/>
      <c r="P6" s="27"/>
      <c r="Q6" s="27"/>
      <c r="R6" s="27"/>
      <c r="S6" s="27"/>
      <c r="T6" s="27"/>
      <c r="U6" s="27"/>
      <c r="V6" s="27"/>
      <c r="W6" s="27"/>
      <c r="X6" s="31"/>
      <c r="Y6" s="31"/>
      <c r="Z6" s="31"/>
      <c r="AA6" s="31"/>
      <c r="AB6" s="31"/>
      <c r="AC6" s="31"/>
      <c r="AD6" s="31"/>
      <c r="AE6" s="31"/>
      <c r="AF6" s="31"/>
      <c r="AG6" s="27"/>
      <c r="AH6" s="27"/>
      <c r="AI6" s="27"/>
      <c r="AJ6" s="27"/>
      <c r="AK6" s="27"/>
      <c r="AL6" s="27"/>
      <c r="AM6" s="27"/>
      <c r="AN6" s="31"/>
      <c r="AO6" s="31"/>
      <c r="AP6" s="31"/>
      <c r="AQ6" s="31"/>
      <c r="AR6" s="31"/>
      <c r="AS6" s="31"/>
      <c r="AT6" s="27"/>
      <c r="AU6" s="27"/>
      <c r="AV6" s="27"/>
      <c r="AW6" s="27"/>
      <c r="AX6" s="27"/>
      <c r="AY6" s="27"/>
      <c r="AZ6" s="27"/>
      <c r="BA6" s="27"/>
      <c r="BB6" s="39"/>
      <c r="BC6" s="39"/>
      <c r="BD6" s="39"/>
      <c r="BE6" s="39"/>
      <c r="BF6" s="39"/>
      <c r="BG6" s="39"/>
      <c r="BH6" s="39"/>
      <c r="BI6" s="39"/>
      <c r="BJ6" s="31"/>
      <c r="BK6" s="27"/>
      <c r="BL6" s="27"/>
      <c r="BM6" s="27"/>
      <c r="BN6" s="27"/>
      <c r="BO6" s="27"/>
      <c r="BP6" s="27"/>
      <c r="BQ6" s="27"/>
      <c r="BR6" s="31"/>
      <c r="BS6" s="31"/>
      <c r="BT6" s="31"/>
      <c r="BU6" s="31"/>
      <c r="BV6" s="31"/>
      <c r="BW6" s="31"/>
      <c r="BX6" s="31"/>
      <c r="BY6" s="31"/>
      <c r="BZ6" s="31"/>
      <c r="CA6" s="31"/>
      <c r="CB6" s="31"/>
      <c r="CC6" s="31"/>
      <c r="CD6" s="31"/>
      <c r="CE6" s="27"/>
      <c r="CF6" s="27"/>
      <c r="CG6" s="27"/>
      <c r="CH6" s="27"/>
      <c r="CI6" s="27"/>
      <c r="CJ6" s="27"/>
      <c r="CK6" s="27"/>
      <c r="CL6" s="27"/>
      <c r="CM6" s="27"/>
      <c r="CN6" s="27"/>
      <c r="CO6" s="27"/>
      <c r="CP6" s="27"/>
      <c r="CQ6" s="27"/>
      <c r="CR6" s="27"/>
      <c r="CS6" s="27"/>
      <c r="CT6" s="31"/>
      <c r="CU6" s="31"/>
      <c r="CV6" s="31"/>
      <c r="CW6" s="27"/>
    </row>
    <row r="7" spans="1:114" ht="17.25" customHeight="1" x14ac:dyDescent="0.3">
      <c r="A7" s="27"/>
      <c r="B7" s="29"/>
      <c r="C7" s="716" t="s">
        <v>2616</v>
      </c>
      <c r="D7" s="716"/>
      <c r="E7" s="716"/>
      <c r="F7" s="716"/>
      <c r="G7" s="716"/>
      <c r="H7" s="716"/>
      <c r="I7" s="716"/>
      <c r="J7" s="717"/>
      <c r="K7" s="27"/>
      <c r="L7" s="735">
        <f>'VETS-700 Planned Goals'!L9</f>
        <v>0</v>
      </c>
      <c r="M7" s="736"/>
      <c r="N7" s="736"/>
      <c r="O7" s="736"/>
      <c r="P7" s="736"/>
      <c r="Q7" s="736"/>
      <c r="R7" s="736"/>
      <c r="S7" s="736"/>
      <c r="T7" s="736"/>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c r="AT7" s="736"/>
      <c r="AU7" s="736"/>
      <c r="AV7" s="736"/>
      <c r="AW7" s="736"/>
      <c r="AX7" s="736"/>
      <c r="AY7" s="736"/>
      <c r="AZ7" s="737"/>
      <c r="BA7" s="95"/>
      <c r="BB7" s="716" t="s">
        <v>2620</v>
      </c>
      <c r="BC7" s="716"/>
      <c r="BD7" s="716"/>
      <c r="BE7" s="716"/>
      <c r="BF7" s="716"/>
      <c r="BG7" s="716"/>
      <c r="BH7" s="716"/>
      <c r="BI7" s="717"/>
      <c r="BJ7" s="44"/>
      <c r="BK7" s="729">
        <f>'VETS-700 Planned Goals'!inpStateName</f>
        <v>0</v>
      </c>
      <c r="BL7" s="730"/>
      <c r="BM7" s="730"/>
      <c r="BN7" s="730"/>
      <c r="BO7" s="730"/>
      <c r="BP7" s="730"/>
      <c r="BQ7" s="730"/>
      <c r="BR7" s="730"/>
      <c r="BS7" s="730"/>
      <c r="BT7" s="730"/>
      <c r="BU7" s="730"/>
      <c r="BV7" s="730"/>
      <c r="BW7" s="730"/>
      <c r="BX7" s="730"/>
      <c r="BY7" s="730"/>
      <c r="BZ7" s="730"/>
      <c r="CA7" s="730"/>
      <c r="CB7" s="730"/>
      <c r="CC7" s="730"/>
      <c r="CD7" s="730"/>
      <c r="CE7" s="730"/>
      <c r="CF7" s="730"/>
      <c r="CG7" s="730"/>
      <c r="CH7" s="730"/>
      <c r="CI7" s="730"/>
      <c r="CJ7" s="730"/>
      <c r="CK7" s="731"/>
      <c r="CL7" s="220"/>
      <c r="CM7" s="220"/>
      <c r="CN7" s="220"/>
      <c r="CO7" s="220"/>
      <c r="CP7" s="220"/>
      <c r="CQ7" s="220"/>
      <c r="CR7" s="220"/>
      <c r="CS7" s="220"/>
      <c r="CT7" s="31"/>
      <c r="CU7" s="27"/>
      <c r="CV7" s="27"/>
      <c r="CW7" s="27"/>
    </row>
    <row r="8" spans="1:114" ht="15" customHeight="1" x14ac:dyDescent="0.3">
      <c r="A8" s="27"/>
      <c r="B8" s="29"/>
      <c r="C8" s="719"/>
      <c r="D8" s="719"/>
      <c r="E8" s="719"/>
      <c r="F8" s="719"/>
      <c r="G8" s="719"/>
      <c r="H8" s="719"/>
      <c r="I8" s="719"/>
      <c r="J8" s="720"/>
      <c r="K8" s="27"/>
      <c r="L8" s="738"/>
      <c r="M8" s="739"/>
      <c r="N8" s="739"/>
      <c r="O8" s="739"/>
      <c r="P8" s="739"/>
      <c r="Q8" s="739"/>
      <c r="R8" s="739"/>
      <c r="S8" s="739"/>
      <c r="T8" s="739"/>
      <c r="U8" s="739"/>
      <c r="V8" s="739"/>
      <c r="W8" s="739"/>
      <c r="X8" s="739"/>
      <c r="Y8" s="739"/>
      <c r="Z8" s="739"/>
      <c r="AA8" s="739"/>
      <c r="AB8" s="739"/>
      <c r="AC8" s="739"/>
      <c r="AD8" s="739"/>
      <c r="AE8" s="739"/>
      <c r="AF8" s="739"/>
      <c r="AG8" s="739"/>
      <c r="AH8" s="739"/>
      <c r="AI8" s="739"/>
      <c r="AJ8" s="739"/>
      <c r="AK8" s="739"/>
      <c r="AL8" s="739"/>
      <c r="AM8" s="739"/>
      <c r="AN8" s="739"/>
      <c r="AO8" s="739"/>
      <c r="AP8" s="739"/>
      <c r="AQ8" s="739"/>
      <c r="AR8" s="739"/>
      <c r="AS8" s="739"/>
      <c r="AT8" s="739"/>
      <c r="AU8" s="739"/>
      <c r="AV8" s="739"/>
      <c r="AW8" s="739"/>
      <c r="AX8" s="739"/>
      <c r="AY8" s="739"/>
      <c r="AZ8" s="740"/>
      <c r="BA8" s="95"/>
      <c r="BB8" s="719"/>
      <c r="BC8" s="719"/>
      <c r="BD8" s="719"/>
      <c r="BE8" s="719"/>
      <c r="BF8" s="719"/>
      <c r="BG8" s="719"/>
      <c r="BH8" s="719"/>
      <c r="BI8" s="720"/>
      <c r="BJ8" s="27"/>
      <c r="BK8" s="732"/>
      <c r="BL8" s="733"/>
      <c r="BM8" s="733"/>
      <c r="BN8" s="733"/>
      <c r="BO8" s="733"/>
      <c r="BP8" s="733"/>
      <c r="BQ8" s="733"/>
      <c r="BR8" s="733"/>
      <c r="BS8" s="733"/>
      <c r="BT8" s="733"/>
      <c r="BU8" s="733"/>
      <c r="BV8" s="733"/>
      <c r="BW8" s="733"/>
      <c r="BX8" s="733"/>
      <c r="BY8" s="733"/>
      <c r="BZ8" s="733"/>
      <c r="CA8" s="733"/>
      <c r="CB8" s="733"/>
      <c r="CC8" s="733"/>
      <c r="CD8" s="733"/>
      <c r="CE8" s="733"/>
      <c r="CF8" s="733"/>
      <c r="CG8" s="733"/>
      <c r="CH8" s="733"/>
      <c r="CI8" s="733"/>
      <c r="CJ8" s="733"/>
      <c r="CK8" s="734"/>
      <c r="CL8" s="31"/>
      <c r="CM8" s="31"/>
      <c r="CN8" s="31"/>
      <c r="CO8" s="31"/>
      <c r="CP8" s="31"/>
      <c r="CQ8" s="31"/>
      <c r="CR8" s="31"/>
      <c r="CS8" s="31"/>
      <c r="CT8" s="31"/>
      <c r="CU8" s="27"/>
      <c r="CV8" s="27"/>
      <c r="CW8" s="27"/>
    </row>
    <row r="9" spans="1:114" ht="12" customHeight="1" x14ac:dyDescent="0.3">
      <c r="A9" s="27"/>
      <c r="B9" s="31"/>
      <c r="C9" s="30"/>
      <c r="D9" s="30"/>
      <c r="E9" s="30"/>
      <c r="F9" s="30"/>
      <c r="G9" s="30"/>
      <c r="H9" s="30"/>
      <c r="I9" s="30"/>
      <c r="J9" s="30"/>
      <c r="K9" s="31"/>
      <c r="L9" s="30"/>
      <c r="M9" s="30"/>
      <c r="N9" s="30"/>
      <c r="O9" s="30"/>
      <c r="P9" s="30"/>
      <c r="Q9" s="30"/>
      <c r="R9" s="30"/>
      <c r="S9" s="30"/>
      <c r="T9" s="30"/>
      <c r="U9" s="30"/>
      <c r="V9" s="30"/>
      <c r="W9" s="30"/>
      <c r="X9" s="30"/>
      <c r="Y9" s="30"/>
      <c r="Z9" s="30"/>
      <c r="AA9" s="30"/>
      <c r="AB9" s="30"/>
      <c r="AC9" s="38"/>
      <c r="AD9" s="38"/>
      <c r="AE9" s="38"/>
      <c r="AF9" s="38"/>
      <c r="AG9" s="38"/>
      <c r="AH9" s="38"/>
      <c r="AI9" s="38"/>
      <c r="AJ9" s="38"/>
      <c r="AK9" s="38"/>
      <c r="AL9" s="38"/>
      <c r="AM9" s="38"/>
      <c r="AN9" s="38"/>
      <c r="AO9" s="38"/>
      <c r="AP9" s="38"/>
      <c r="AQ9" s="38"/>
      <c r="AR9" s="38"/>
      <c r="AS9" s="38"/>
      <c r="AT9" s="38"/>
      <c r="AU9" s="38"/>
      <c r="AV9" s="38"/>
      <c r="AW9" s="38"/>
      <c r="AX9" s="38"/>
      <c r="AY9" s="38"/>
      <c r="AZ9" s="38"/>
      <c r="BA9" s="28"/>
      <c r="BB9" s="28"/>
      <c r="BC9" s="38"/>
      <c r="BD9" s="38"/>
      <c r="BE9" s="38"/>
      <c r="BF9" s="38"/>
      <c r="BG9" s="38"/>
      <c r="BH9" s="38"/>
      <c r="BI9" s="38"/>
      <c r="BJ9" s="28"/>
      <c r="BK9" s="28"/>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5"/>
      <c r="CM9" s="225"/>
      <c r="CN9" s="225"/>
      <c r="CO9" s="94"/>
      <c r="CP9" s="94"/>
      <c r="CQ9" s="94"/>
      <c r="CR9" s="94"/>
      <c r="CS9" s="94"/>
      <c r="CT9" s="94"/>
      <c r="CU9" s="94"/>
      <c r="CV9" s="94"/>
      <c r="CW9" s="27"/>
    </row>
    <row r="10" spans="1:114" ht="20.25" customHeight="1" x14ac:dyDescent="0.3">
      <c r="A10" s="27"/>
      <c r="B10" s="31"/>
      <c r="C10" s="28"/>
      <c r="D10" s="28"/>
      <c r="E10" s="28"/>
      <c r="F10" s="28"/>
      <c r="G10" s="28"/>
      <c r="H10" s="28"/>
      <c r="I10" s="28"/>
      <c r="J10" s="28"/>
      <c r="K10" s="28"/>
      <c r="L10" s="28"/>
      <c r="M10" s="28"/>
      <c r="N10" s="28"/>
      <c r="O10" s="28"/>
      <c r="P10" s="38"/>
      <c r="Q10" s="38"/>
      <c r="R10" s="38"/>
      <c r="S10" s="38"/>
      <c r="T10" s="38"/>
      <c r="U10" s="38"/>
      <c r="V10" s="28"/>
      <c r="W10" s="28"/>
      <c r="X10" s="28"/>
      <c r="Y10" s="28"/>
      <c r="Z10" s="28"/>
      <c r="AA10" s="28"/>
      <c r="AB10" s="29"/>
      <c r="AC10" s="905" t="s">
        <v>2665</v>
      </c>
      <c r="AD10" s="906"/>
      <c r="AE10" s="906"/>
      <c r="AF10" s="906"/>
      <c r="AG10" s="906"/>
      <c r="AH10" s="906"/>
      <c r="AI10" s="906"/>
      <c r="AJ10" s="906"/>
      <c r="AK10" s="906"/>
      <c r="AL10" s="906"/>
      <c r="AM10" s="906"/>
      <c r="AN10" s="906"/>
      <c r="AO10" s="906"/>
      <c r="AP10" s="906"/>
      <c r="AQ10" s="906"/>
      <c r="AR10" s="906"/>
      <c r="AS10" s="906"/>
      <c r="AT10" s="906"/>
      <c r="AU10" s="906"/>
      <c r="AV10" s="906"/>
      <c r="AW10" s="906"/>
      <c r="AX10" s="906"/>
      <c r="AY10" s="906"/>
      <c r="AZ10" s="906"/>
      <c r="BA10" s="906"/>
      <c r="BB10" s="906"/>
      <c r="BC10" s="906"/>
      <c r="BD10" s="907"/>
      <c r="BE10" s="907"/>
      <c r="BF10" s="907"/>
      <c r="BG10" s="907"/>
      <c r="BH10" s="908"/>
      <c r="BI10" s="909" t="s">
        <v>2664</v>
      </c>
      <c r="BJ10" s="907"/>
      <c r="BK10" s="907"/>
      <c r="BL10" s="907"/>
      <c r="BM10" s="907"/>
      <c r="BN10" s="907"/>
      <c r="BO10" s="907"/>
      <c r="BP10" s="907"/>
      <c r="BQ10" s="907"/>
      <c r="BR10" s="907"/>
      <c r="BS10" s="907"/>
      <c r="BT10" s="907"/>
      <c r="BU10" s="907"/>
      <c r="BV10" s="907"/>
      <c r="BW10" s="907"/>
      <c r="BX10" s="907"/>
      <c r="BY10" s="907"/>
      <c r="BZ10" s="907"/>
      <c r="CA10" s="907"/>
      <c r="CB10" s="907"/>
      <c r="CC10" s="907"/>
      <c r="CD10" s="907"/>
      <c r="CE10" s="907"/>
      <c r="CF10" s="907"/>
      <c r="CG10" s="907"/>
      <c r="CH10" s="907"/>
      <c r="CI10" s="907"/>
      <c r="CJ10" s="907"/>
      <c r="CK10" s="907"/>
      <c r="CL10" s="907"/>
      <c r="CM10" s="907"/>
      <c r="CN10" s="908"/>
      <c r="CO10" s="97"/>
      <c r="CP10" s="28"/>
      <c r="CQ10" s="28"/>
      <c r="CR10" s="28"/>
      <c r="CS10" s="28"/>
      <c r="CT10" s="28"/>
      <c r="CU10" s="28"/>
      <c r="CV10" s="28"/>
      <c r="CW10" s="27"/>
    </row>
    <row r="11" spans="1:114" ht="15.6" x14ac:dyDescent="0.3">
      <c r="A11" s="27"/>
      <c r="B11" s="42"/>
      <c r="C11" s="1099" t="s">
        <v>2815</v>
      </c>
      <c r="D11" s="1100"/>
      <c r="E11" s="1100"/>
      <c r="F11" s="1100"/>
      <c r="G11" s="1100"/>
      <c r="H11" s="1100"/>
      <c r="I11" s="1100"/>
      <c r="J11" s="1100"/>
      <c r="K11" s="1100"/>
      <c r="L11" s="1100"/>
      <c r="M11" s="1100"/>
      <c r="N11" s="1100"/>
      <c r="O11" s="1100"/>
      <c r="P11" s="1100"/>
      <c r="Q11" s="1100"/>
      <c r="R11" s="1100"/>
      <c r="S11" s="1100"/>
      <c r="T11" s="1100"/>
      <c r="U11" s="1100"/>
      <c r="V11" s="1100"/>
      <c r="W11" s="1100"/>
      <c r="X11" s="1100"/>
      <c r="Y11" s="1100"/>
      <c r="Z11" s="1100"/>
      <c r="AA11" s="1101"/>
      <c r="AB11" s="95"/>
      <c r="AC11" s="927" t="s">
        <v>2816</v>
      </c>
      <c r="AD11" s="928"/>
      <c r="AE11" s="928"/>
      <c r="AF11" s="928"/>
      <c r="AG11" s="928"/>
      <c r="AH11" s="928"/>
      <c r="AI11" s="928"/>
      <c r="AJ11" s="928"/>
      <c r="AK11" s="930" t="s">
        <v>2817</v>
      </c>
      <c r="AL11" s="928"/>
      <c r="AM11" s="928"/>
      <c r="AN11" s="928"/>
      <c r="AO11" s="928"/>
      <c r="AP11" s="928"/>
      <c r="AQ11" s="928"/>
      <c r="AR11" s="928"/>
      <c r="AS11" s="930" t="s">
        <v>2818</v>
      </c>
      <c r="AT11" s="928"/>
      <c r="AU11" s="928"/>
      <c r="AV11" s="928"/>
      <c r="AW11" s="928"/>
      <c r="AX11" s="928"/>
      <c r="AY11" s="928"/>
      <c r="AZ11" s="928"/>
      <c r="BA11" s="930" t="s">
        <v>2819</v>
      </c>
      <c r="BB11" s="928"/>
      <c r="BC11" s="928"/>
      <c r="BD11" s="928"/>
      <c r="BE11" s="928"/>
      <c r="BF11" s="928"/>
      <c r="BG11" s="928"/>
      <c r="BH11" s="928"/>
      <c r="BI11" s="930" t="s">
        <v>2820</v>
      </c>
      <c r="BJ11" s="931"/>
      <c r="BK11" s="931"/>
      <c r="BL11" s="931"/>
      <c r="BM11" s="931"/>
      <c r="BN11" s="931"/>
      <c r="BO11" s="928"/>
      <c r="BP11" s="928"/>
      <c r="BQ11" s="930" t="s">
        <v>2821</v>
      </c>
      <c r="BR11" s="931"/>
      <c r="BS11" s="931"/>
      <c r="BT11" s="931"/>
      <c r="BU11" s="931"/>
      <c r="BV11" s="931"/>
      <c r="BW11" s="928"/>
      <c r="BX11" s="928"/>
      <c r="BY11" s="932" t="s">
        <v>2822</v>
      </c>
      <c r="BZ11" s="933"/>
      <c r="CA11" s="933"/>
      <c r="CB11" s="933"/>
      <c r="CC11" s="933"/>
      <c r="CD11" s="933"/>
      <c r="CE11" s="934"/>
      <c r="CF11" s="928"/>
      <c r="CG11" s="930" t="s">
        <v>2823</v>
      </c>
      <c r="CH11" s="931"/>
      <c r="CI11" s="931"/>
      <c r="CJ11" s="931"/>
      <c r="CK11" s="931"/>
      <c r="CL11" s="931"/>
      <c r="CM11" s="928"/>
      <c r="CN11" s="928"/>
      <c r="CO11" s="1042" t="s">
        <v>2824</v>
      </c>
      <c r="CP11" s="1043"/>
      <c r="CQ11" s="1043"/>
      <c r="CR11" s="1043"/>
      <c r="CS11" s="1043"/>
      <c r="CT11" s="1043"/>
      <c r="CU11" s="1043"/>
      <c r="CV11" s="1044"/>
      <c r="CW11" s="27"/>
    </row>
    <row r="12" spans="1:114" ht="15.6" x14ac:dyDescent="0.3">
      <c r="A12" s="27"/>
      <c r="B12" s="42"/>
      <c r="C12" s="1100"/>
      <c r="D12" s="1100"/>
      <c r="E12" s="1100"/>
      <c r="F12" s="1100"/>
      <c r="G12" s="1100"/>
      <c r="H12" s="1100"/>
      <c r="I12" s="1100"/>
      <c r="J12" s="1100"/>
      <c r="K12" s="1100"/>
      <c r="L12" s="1100"/>
      <c r="M12" s="1100"/>
      <c r="N12" s="1100"/>
      <c r="O12" s="1100"/>
      <c r="P12" s="1100"/>
      <c r="Q12" s="1100"/>
      <c r="R12" s="1100"/>
      <c r="S12" s="1100"/>
      <c r="T12" s="1100"/>
      <c r="U12" s="1100"/>
      <c r="V12" s="1100"/>
      <c r="W12" s="1100"/>
      <c r="X12" s="1100"/>
      <c r="Y12" s="1100"/>
      <c r="Z12" s="1100"/>
      <c r="AA12" s="1101"/>
      <c r="AB12" s="53"/>
      <c r="AC12" s="929"/>
      <c r="AD12" s="928"/>
      <c r="AE12" s="928"/>
      <c r="AF12" s="928"/>
      <c r="AG12" s="928"/>
      <c r="AH12" s="928"/>
      <c r="AI12" s="928"/>
      <c r="AJ12" s="928"/>
      <c r="AK12" s="928"/>
      <c r="AL12" s="928"/>
      <c r="AM12" s="928"/>
      <c r="AN12" s="928"/>
      <c r="AO12" s="928"/>
      <c r="AP12" s="928"/>
      <c r="AQ12" s="928"/>
      <c r="AR12" s="928"/>
      <c r="AS12" s="928"/>
      <c r="AT12" s="928"/>
      <c r="AU12" s="928"/>
      <c r="AV12" s="928"/>
      <c r="AW12" s="928"/>
      <c r="AX12" s="928"/>
      <c r="AY12" s="928"/>
      <c r="AZ12" s="928"/>
      <c r="BA12" s="928"/>
      <c r="BB12" s="928"/>
      <c r="BC12" s="928"/>
      <c r="BD12" s="928"/>
      <c r="BE12" s="928"/>
      <c r="BF12" s="928"/>
      <c r="BG12" s="928"/>
      <c r="BH12" s="928"/>
      <c r="BI12" s="931"/>
      <c r="BJ12" s="931"/>
      <c r="BK12" s="931"/>
      <c r="BL12" s="931"/>
      <c r="BM12" s="931"/>
      <c r="BN12" s="931"/>
      <c r="BO12" s="928"/>
      <c r="BP12" s="928"/>
      <c r="BQ12" s="931"/>
      <c r="BR12" s="931"/>
      <c r="BS12" s="931"/>
      <c r="BT12" s="931"/>
      <c r="BU12" s="931"/>
      <c r="BV12" s="931"/>
      <c r="BW12" s="928"/>
      <c r="BX12" s="928"/>
      <c r="BY12" s="933"/>
      <c r="BZ12" s="933"/>
      <c r="CA12" s="933"/>
      <c r="CB12" s="933"/>
      <c r="CC12" s="933"/>
      <c r="CD12" s="933"/>
      <c r="CE12" s="934"/>
      <c r="CF12" s="928"/>
      <c r="CG12" s="931"/>
      <c r="CH12" s="931"/>
      <c r="CI12" s="931"/>
      <c r="CJ12" s="931"/>
      <c r="CK12" s="931"/>
      <c r="CL12" s="931"/>
      <c r="CM12" s="928"/>
      <c r="CN12" s="928"/>
      <c r="CO12" s="1045"/>
      <c r="CP12" s="1045"/>
      <c r="CQ12" s="1045"/>
      <c r="CR12" s="1045"/>
      <c r="CS12" s="1045"/>
      <c r="CT12" s="1045"/>
      <c r="CU12" s="1045"/>
      <c r="CV12" s="928"/>
      <c r="CW12" s="27"/>
    </row>
    <row r="13" spans="1:114" ht="15.6" x14ac:dyDescent="0.3">
      <c r="A13" s="27"/>
      <c r="B13" s="42"/>
      <c r="C13" s="1136" t="s">
        <v>2837</v>
      </c>
      <c r="D13" s="1137"/>
      <c r="E13" s="1137"/>
      <c r="F13" s="1137"/>
      <c r="G13" s="1137"/>
      <c r="H13" s="1137"/>
      <c r="I13" s="1137"/>
      <c r="J13" s="1137"/>
      <c r="K13" s="1137"/>
      <c r="L13" s="1137"/>
      <c r="M13" s="1137"/>
      <c r="N13" s="1137"/>
      <c r="O13" s="1137"/>
      <c r="P13" s="1137"/>
      <c r="Q13" s="1137"/>
      <c r="R13" s="1137"/>
      <c r="S13" s="1137"/>
      <c r="T13" s="458"/>
      <c r="U13" s="458"/>
      <c r="V13" s="458"/>
      <c r="W13" s="458"/>
      <c r="X13" s="458"/>
      <c r="Y13" s="458"/>
      <c r="Z13" s="458"/>
      <c r="AA13" s="709"/>
      <c r="AB13" s="132"/>
      <c r="AC13" s="560"/>
      <c r="AD13" s="561"/>
      <c r="AE13" s="561"/>
      <c r="AF13" s="561"/>
      <c r="AG13" s="561"/>
      <c r="AH13" s="561"/>
      <c r="AI13" s="561"/>
      <c r="AJ13" s="562"/>
      <c r="AK13" s="560"/>
      <c r="AL13" s="561"/>
      <c r="AM13" s="561"/>
      <c r="AN13" s="561"/>
      <c r="AO13" s="561"/>
      <c r="AP13" s="561"/>
      <c r="AQ13" s="561"/>
      <c r="AR13" s="562"/>
      <c r="AS13" s="560"/>
      <c r="AT13" s="561"/>
      <c r="AU13" s="561"/>
      <c r="AV13" s="561"/>
      <c r="AW13" s="561"/>
      <c r="AX13" s="561"/>
      <c r="AY13" s="561"/>
      <c r="AZ13" s="562"/>
      <c r="BA13" s="560"/>
      <c r="BB13" s="561"/>
      <c r="BC13" s="561"/>
      <c r="BD13" s="561"/>
      <c r="BE13" s="561"/>
      <c r="BF13" s="561"/>
      <c r="BG13" s="561"/>
      <c r="BH13" s="562"/>
      <c r="BI13" s="656"/>
      <c r="BJ13" s="657"/>
      <c r="BK13" s="657"/>
      <c r="BL13" s="657"/>
      <c r="BM13" s="657"/>
      <c r="BN13" s="657"/>
      <c r="BO13" s="657"/>
      <c r="BP13" s="658"/>
      <c r="BQ13" s="1117"/>
      <c r="BR13" s="1118"/>
      <c r="BS13" s="1118"/>
      <c r="BT13" s="1118"/>
      <c r="BU13" s="1118"/>
      <c r="BV13" s="1118"/>
      <c r="BW13" s="1118"/>
      <c r="BX13" s="1119"/>
      <c r="BY13" s="1114"/>
      <c r="BZ13" s="1115"/>
      <c r="CA13" s="1115"/>
      <c r="CB13" s="1115"/>
      <c r="CC13" s="1115"/>
      <c r="CD13" s="1115"/>
      <c r="CE13" s="1115"/>
      <c r="CF13" s="1116"/>
      <c r="CG13" s="1117"/>
      <c r="CH13" s="1118"/>
      <c r="CI13" s="1118"/>
      <c r="CJ13" s="1118"/>
      <c r="CK13" s="1118"/>
      <c r="CL13" s="1118"/>
      <c r="CM13" s="1118"/>
      <c r="CN13" s="1119"/>
      <c r="CO13" s="1090"/>
      <c r="CP13" s="1091"/>
      <c r="CQ13" s="1091"/>
      <c r="CR13" s="1091"/>
      <c r="CS13" s="1091"/>
      <c r="CT13" s="1091"/>
      <c r="CU13" s="1091"/>
      <c r="CV13" s="1092"/>
      <c r="CW13" s="27"/>
      <c r="DA13" s="238" t="s">
        <v>2860</v>
      </c>
      <c r="DB13" s="239" t="s">
        <v>2851</v>
      </c>
      <c r="DC13" s="239" t="s">
        <v>2852</v>
      </c>
      <c r="DD13" s="239" t="s">
        <v>2853</v>
      </c>
      <c r="DE13" s="239" t="s">
        <v>2854</v>
      </c>
      <c r="DF13" s="239" t="s">
        <v>2855</v>
      </c>
      <c r="DG13" s="239" t="s">
        <v>2856</v>
      </c>
      <c r="DH13" s="239" t="s">
        <v>2857</v>
      </c>
      <c r="DI13" s="239" t="s">
        <v>2858</v>
      </c>
      <c r="DJ13" s="249" t="str">
        <f>CONCATENATE("BySelectedRptQtr(",outReportQtr,")")</f>
        <v>BySelectedRptQtr(1)</v>
      </c>
    </row>
    <row r="14" spans="1:114" ht="15.75" customHeight="1" x14ac:dyDescent="0.3">
      <c r="A14" s="27"/>
      <c r="B14" s="35"/>
      <c r="C14" s="99" t="s">
        <v>2643</v>
      </c>
      <c r="D14" s="1102" t="s">
        <v>2762</v>
      </c>
      <c r="E14" s="1103"/>
      <c r="F14" s="1103"/>
      <c r="G14" s="1103"/>
      <c r="H14" s="1103"/>
      <c r="I14" s="1103"/>
      <c r="J14" s="1103"/>
      <c r="K14" s="1103"/>
      <c r="L14" s="1103"/>
      <c r="M14" s="1103"/>
      <c r="N14" s="1103"/>
      <c r="O14" s="1103"/>
      <c r="P14" s="1103"/>
      <c r="Q14" s="1103"/>
      <c r="R14" s="1103"/>
      <c r="S14" s="1103"/>
      <c r="T14" s="1103"/>
      <c r="U14" s="1103"/>
      <c r="V14" s="1103"/>
      <c r="W14" s="1103"/>
      <c r="X14" s="1103"/>
      <c r="Y14" s="1103"/>
      <c r="Z14" s="1103"/>
      <c r="AA14" s="1104"/>
      <c r="AB14" s="88"/>
      <c r="AC14" s="1109"/>
      <c r="AD14" s="1047"/>
      <c r="AE14" s="1047"/>
      <c r="AF14" s="1047"/>
      <c r="AG14" s="1047"/>
      <c r="AH14" s="1047"/>
      <c r="AI14" s="1048"/>
      <c r="AJ14" s="1093"/>
      <c r="AK14" s="1046"/>
      <c r="AL14" s="1047"/>
      <c r="AM14" s="1047"/>
      <c r="AN14" s="1047"/>
      <c r="AO14" s="1047"/>
      <c r="AP14" s="1047"/>
      <c r="AQ14" s="1048"/>
      <c r="AR14" s="1093"/>
      <c r="AS14" s="1046"/>
      <c r="AT14" s="1047"/>
      <c r="AU14" s="1047"/>
      <c r="AV14" s="1047"/>
      <c r="AW14" s="1047"/>
      <c r="AX14" s="1047"/>
      <c r="AY14" s="1048"/>
      <c r="AZ14" s="1048"/>
      <c r="BA14" s="1110"/>
      <c r="BB14" s="1111"/>
      <c r="BC14" s="1111"/>
      <c r="BD14" s="1111"/>
      <c r="BE14" s="1111"/>
      <c r="BF14" s="1111"/>
      <c r="BG14" s="1112"/>
      <c r="BH14" s="1113"/>
      <c r="BI14" s="872"/>
      <c r="BJ14" s="797"/>
      <c r="BK14" s="797"/>
      <c r="BL14" s="797"/>
      <c r="BM14" s="797"/>
      <c r="BN14" s="797"/>
      <c r="BO14" s="797"/>
      <c r="BP14" s="798"/>
      <c r="BQ14" s="1074" t="str">
        <f>IF(outReportQtr=4,"End of Grant Summary - CPI:","(Q4 Summary)")</f>
        <v>(Q4 Summary)</v>
      </c>
      <c r="BR14" s="1074"/>
      <c r="BS14" s="1074"/>
      <c r="BT14" s="1074"/>
      <c r="BU14" s="1074"/>
      <c r="BV14" s="1074"/>
      <c r="BW14" s="1074"/>
      <c r="BX14" s="1074"/>
      <c r="BY14" s="1074"/>
      <c r="BZ14" s="1074"/>
      <c r="CA14" s="1074"/>
      <c r="CB14" s="1074"/>
      <c r="CC14" s="1074"/>
      <c r="CD14" s="1074"/>
      <c r="CE14" s="1074"/>
      <c r="CF14" s="1074"/>
      <c r="CG14" s="1068"/>
      <c r="CH14" s="1069"/>
      <c r="CI14" s="1069"/>
      <c r="CJ14" s="1069"/>
      <c r="CK14" s="1069"/>
      <c r="CL14" s="1069"/>
      <c r="CM14" s="1069"/>
      <c r="CN14" s="1070"/>
      <c r="CO14" s="916">
        <f>IF(outReportQtr=1,IFERROR(ROUND(AC14,0),0),IF(outReportQtr=2,IFERROR(ROUND(AC14,0),0)+IFERROR(ROUND(AK14,0),0),IF(outReportQtr=3,IFERROR(ROUND(AC14,0),0)+IFERROR(ROUND(AK14,0),0)+IFERROR(ROUND(AS14,0),0),IFERROR(ROUND(AC14,0),0)+IFERROR(ROUND(AK14,0),0)+IFERROR(ROUND(AS14,0),0)+IFERROR(ROUND(BA14,0),0))))</f>
        <v>0</v>
      </c>
      <c r="CP14" s="833"/>
      <c r="CQ14" s="833"/>
      <c r="CR14" s="833"/>
      <c r="CS14" s="833"/>
      <c r="CT14" s="833"/>
      <c r="CU14" s="833"/>
      <c r="CV14" s="834"/>
      <c r="CW14" s="27"/>
      <c r="DA14" s="236" t="s">
        <v>2863</v>
      </c>
      <c r="DB14" s="237">
        <f>IFERROR(ROUND(AC14,0),0)</f>
        <v>0</v>
      </c>
      <c r="DC14" s="240">
        <f>IFERROR(ROUND(AC14,0),0)+IFERROR(ROUND(AK14,0),0)</f>
        <v>0</v>
      </c>
      <c r="DD14" s="240">
        <f>IFERROR(ROUND(AC14,0),0)+IFERROR(ROUND(AK14,0),0)+IFERROR(ROUND(AS14,0),0)</f>
        <v>0</v>
      </c>
      <c r="DE14" s="240">
        <f>IFERROR(ROUND(AC14,0),0)+IFERROR(ROUND(AK14,0),0)+IFERROR(ROUND(AS14,0),0)+IFERROR(ROUND(BA14,0),0)</f>
        <v>0</v>
      </c>
      <c r="DF14" s="240">
        <f>DE14</f>
        <v>0</v>
      </c>
      <c r="DG14" s="240">
        <f>DE14</f>
        <v>0</v>
      </c>
      <c r="DH14" s="240">
        <f>DE14</f>
        <v>0</v>
      </c>
      <c r="DI14" s="240">
        <f>DE14</f>
        <v>0</v>
      </c>
      <c r="DJ14" s="240">
        <f ca="1">OFFSET(DA14,0,outReportQtr)</f>
        <v>0</v>
      </c>
    </row>
    <row r="15" spans="1:114" ht="15.75" customHeight="1" x14ac:dyDescent="0.3">
      <c r="A15" s="27"/>
      <c r="B15" s="34"/>
      <c r="C15" s="91" t="s">
        <v>2644</v>
      </c>
      <c r="D15" s="1105" t="s">
        <v>2763</v>
      </c>
      <c r="E15" s="1106"/>
      <c r="F15" s="1106"/>
      <c r="G15" s="1106"/>
      <c r="H15" s="1106"/>
      <c r="I15" s="1106"/>
      <c r="J15" s="1106"/>
      <c r="K15" s="1106"/>
      <c r="L15" s="1106"/>
      <c r="M15" s="1106"/>
      <c r="N15" s="1106"/>
      <c r="O15" s="1106"/>
      <c r="P15" s="1106"/>
      <c r="Q15" s="1106"/>
      <c r="R15" s="1106"/>
      <c r="S15" s="1106"/>
      <c r="T15" s="1106"/>
      <c r="U15" s="1106"/>
      <c r="V15" s="1106"/>
      <c r="W15" s="1106"/>
      <c r="X15" s="1106"/>
      <c r="Y15" s="1106"/>
      <c r="Z15" s="1106"/>
      <c r="AA15" s="1106"/>
      <c r="AB15" s="252">
        <f ca="1">IF(CO15&gt;='VETS-700 Planned Goals'!DI21,1,IF(AND(outReportQtr&gt;=1,outReportQtr&lt;=3,'VETS-700 Planned Goals'!DI21*0.85&gt;CO15),-1,0))</f>
        <v>1</v>
      </c>
      <c r="AC15" s="917">
        <f>COUNTIFS(tblParticipants[ParticipantID],"&lt;&gt;",tblParticipants[ParticipantName],"&lt;&gt;",tblParticipants[EnrollQtr],1)</f>
        <v>0</v>
      </c>
      <c r="AD15" s="918"/>
      <c r="AE15" s="918"/>
      <c r="AF15" s="918"/>
      <c r="AG15" s="918"/>
      <c r="AH15" s="918"/>
      <c r="AI15" s="919"/>
      <c r="AJ15" s="920"/>
      <c r="AK15" s="858">
        <f>COUNTIFS(tblParticipants[ParticipantID],"&lt;&gt;",tblParticipants[ParticipantName],"&lt;&gt;",tblParticipants[EnrollQtr],2)</f>
        <v>0</v>
      </c>
      <c r="AL15" s="859"/>
      <c r="AM15" s="859"/>
      <c r="AN15" s="859"/>
      <c r="AO15" s="859"/>
      <c r="AP15" s="859"/>
      <c r="AQ15" s="852"/>
      <c r="AR15" s="853"/>
      <c r="AS15" s="858">
        <f>COUNTIFS(tblParticipants[ParticipantID],"&lt;&gt;",tblParticipants[ParticipantName],"&lt;&gt;",tblParticipants[EnrollQtr],3)</f>
        <v>0</v>
      </c>
      <c r="AT15" s="859"/>
      <c r="AU15" s="859"/>
      <c r="AV15" s="859"/>
      <c r="AW15" s="859"/>
      <c r="AX15" s="859"/>
      <c r="AY15" s="852"/>
      <c r="AZ15" s="853"/>
      <c r="BA15" s="858">
        <f>COUNTIFS(tblParticipants[ParticipantID],"&lt;&gt;",tblParticipants[ParticipantName],"&lt;&gt;",tblParticipants[EnrollQtr],4)</f>
        <v>0</v>
      </c>
      <c r="BB15" s="859"/>
      <c r="BC15" s="859"/>
      <c r="BD15" s="859"/>
      <c r="BE15" s="859"/>
      <c r="BF15" s="859"/>
      <c r="BG15" s="852"/>
      <c r="BH15" s="853"/>
      <c r="BI15" s="762"/>
      <c r="BJ15" s="760"/>
      <c r="BK15" s="760"/>
      <c r="BL15" s="760"/>
      <c r="BM15" s="760"/>
      <c r="BN15" s="760"/>
      <c r="BO15" s="760"/>
      <c r="BP15" s="761"/>
      <c r="BQ15" s="1075" t="s">
        <v>2848</v>
      </c>
      <c r="BR15" s="1075"/>
      <c r="BS15" s="1075"/>
      <c r="BT15" s="1075"/>
      <c r="BU15" s="1075"/>
      <c r="BV15" s="1075"/>
      <c r="BW15" s="1075"/>
      <c r="BX15" s="1075"/>
      <c r="BY15" s="1075" t="str">
        <f>IF(outReportQtr=4,IF((DJ15/'VETS-700 Planned Goals'!DI21)&gt;=0.85,"Met","Failed"),"-----")</f>
        <v>-----</v>
      </c>
      <c r="BZ15" s="1075"/>
      <c r="CA15" s="1075"/>
      <c r="CB15" s="1075"/>
      <c r="CC15" s="1075"/>
      <c r="CD15" s="1075"/>
      <c r="CE15" s="1075"/>
      <c r="CF15" s="1075"/>
      <c r="CG15" s="1071"/>
      <c r="CH15" s="1072"/>
      <c r="CI15" s="1072"/>
      <c r="CJ15" s="1072"/>
      <c r="CK15" s="1072"/>
      <c r="CL15" s="1072"/>
      <c r="CM15" s="1072"/>
      <c r="CN15" s="1073"/>
      <c r="CO15" s="916">
        <f>IF(outReportQtr=1,AC15,IF(outReportQtr=2,AC15+AK15,IF(outReportQtr=3,AC15+AK15+AS15,AC15+AK15+AS15+BA15)))</f>
        <v>0</v>
      </c>
      <c r="CP15" s="833"/>
      <c r="CQ15" s="833"/>
      <c r="CR15" s="833"/>
      <c r="CS15" s="833"/>
      <c r="CT15" s="833"/>
      <c r="CU15" s="833"/>
      <c r="CV15" s="834"/>
      <c r="CW15" s="27"/>
      <c r="DA15" s="236" t="s">
        <v>2848</v>
      </c>
      <c r="DB15" s="237">
        <f>IFERROR(ROUND(AC15,0),0)</f>
        <v>0</v>
      </c>
      <c r="DC15" s="240">
        <f>IFERROR(ROUND(AC15,0),0)+IFERROR(ROUND(AK15,0),0)</f>
        <v>0</v>
      </c>
      <c r="DD15" s="240">
        <f>IFERROR(ROUND(AC15,0),0)+IFERROR(ROUND(AK15,0),0)+IFERROR(ROUND(AS15,0),0)</f>
        <v>0</v>
      </c>
      <c r="DE15" s="240">
        <f>IFERROR(ROUND(AC15,0),0)+IFERROR(ROUND(AK15,0),0)+IFERROR(ROUND(AS15,0),0)+IFERROR(ROUND(BA15,0),0)</f>
        <v>0</v>
      </c>
      <c r="DF15" s="240">
        <f>DE15</f>
        <v>0</v>
      </c>
      <c r="DG15" s="240">
        <f>DE15</f>
        <v>0</v>
      </c>
      <c r="DH15" s="240">
        <f>DE15</f>
        <v>0</v>
      </c>
      <c r="DI15" s="240">
        <f>DE15</f>
        <v>0</v>
      </c>
      <c r="DJ15" s="237">
        <f ca="1">OFFSET(DA15,0,outReportQtr)</f>
        <v>0</v>
      </c>
    </row>
    <row r="16" spans="1:114" ht="15.75" customHeight="1" x14ac:dyDescent="0.3">
      <c r="A16" s="27"/>
      <c r="B16" s="34"/>
      <c r="C16" s="91" t="s">
        <v>2645</v>
      </c>
      <c r="D16" s="1107" t="s">
        <v>2764</v>
      </c>
      <c r="E16" s="1108"/>
      <c r="F16" s="1108"/>
      <c r="G16" s="1108"/>
      <c r="H16" s="1108"/>
      <c r="I16" s="1108"/>
      <c r="J16" s="1108"/>
      <c r="K16" s="1108"/>
      <c r="L16" s="1108"/>
      <c r="M16" s="1108"/>
      <c r="N16" s="1108"/>
      <c r="O16" s="1108"/>
      <c r="P16" s="1108"/>
      <c r="Q16" s="1108"/>
      <c r="R16" s="1108"/>
      <c r="S16" s="1108"/>
      <c r="T16" s="1108"/>
      <c r="U16" s="1108"/>
      <c r="V16" s="1108"/>
      <c r="W16" s="1108"/>
      <c r="X16" s="1108"/>
      <c r="Y16" s="1108"/>
      <c r="Z16" s="1108"/>
      <c r="AA16" s="1108"/>
      <c r="AB16" s="88"/>
      <c r="AC16" s="917">
        <f>COUNTIFS(tblParticipants[ParticipantID],"&lt;&gt;",tblParticipants[ParticipantName],"&lt;&gt;",tblParticipants[EnrollQtr],1,tblParticipants[CarryOver],1)</f>
        <v>0</v>
      </c>
      <c r="AD16" s="918"/>
      <c r="AE16" s="918"/>
      <c r="AF16" s="918"/>
      <c r="AG16" s="918"/>
      <c r="AH16" s="918"/>
      <c r="AI16" s="919"/>
      <c r="AJ16" s="920"/>
      <c r="AK16" s="945"/>
      <c r="AL16" s="946"/>
      <c r="AM16" s="946"/>
      <c r="AN16" s="946"/>
      <c r="AO16" s="946"/>
      <c r="AP16" s="946"/>
      <c r="AQ16" s="946"/>
      <c r="AR16" s="947"/>
      <c r="AS16" s="948"/>
      <c r="AT16" s="946"/>
      <c r="AU16" s="946"/>
      <c r="AV16" s="946"/>
      <c r="AW16" s="946"/>
      <c r="AX16" s="946"/>
      <c r="AY16" s="946"/>
      <c r="AZ16" s="947"/>
      <c r="BA16" s="948"/>
      <c r="BB16" s="946"/>
      <c r="BC16" s="946"/>
      <c r="BD16" s="946"/>
      <c r="BE16" s="946"/>
      <c r="BF16" s="946"/>
      <c r="BG16" s="946"/>
      <c r="BH16" s="947"/>
      <c r="BI16" s="759"/>
      <c r="BJ16" s="760"/>
      <c r="BK16" s="760"/>
      <c r="BL16" s="760"/>
      <c r="BM16" s="760"/>
      <c r="BN16" s="760"/>
      <c r="BO16" s="760"/>
      <c r="BP16" s="761"/>
      <c r="BQ16" s="1075" t="s">
        <v>2850</v>
      </c>
      <c r="BR16" s="1075"/>
      <c r="BS16" s="1075"/>
      <c r="BT16" s="1075"/>
      <c r="BU16" s="1075"/>
      <c r="BV16" s="1075"/>
      <c r="BW16" s="1075"/>
      <c r="BX16" s="1075"/>
      <c r="BY16" s="1075" t="str">
        <f>IF(outReportQtr=4,IF((CO21/'VETS-700 Planned Goals'!DI25)&gt;=0.85,"Met","Failed"),"-----")</f>
        <v>-----</v>
      </c>
      <c r="BZ16" s="1075"/>
      <c r="CA16" s="1075"/>
      <c r="CB16" s="1075"/>
      <c r="CC16" s="1075"/>
      <c r="CD16" s="1075"/>
      <c r="CE16" s="1075"/>
      <c r="CF16" s="1075"/>
      <c r="CG16" s="1071"/>
      <c r="CH16" s="1072"/>
      <c r="CI16" s="1072"/>
      <c r="CJ16" s="1072"/>
      <c r="CK16" s="1072"/>
      <c r="CL16" s="1072"/>
      <c r="CM16" s="1072"/>
      <c r="CN16" s="1073"/>
      <c r="CO16" s="916">
        <f>AC16</f>
        <v>0</v>
      </c>
      <c r="CP16" s="833"/>
      <c r="CQ16" s="833"/>
      <c r="CR16" s="833"/>
      <c r="CS16" s="833"/>
      <c r="CT16" s="833"/>
      <c r="CU16" s="833"/>
      <c r="CV16" s="834"/>
      <c r="CW16" s="27"/>
      <c r="DA16" s="236" t="s">
        <v>2523</v>
      </c>
      <c r="DB16" s="240">
        <f>AC16</f>
        <v>0</v>
      </c>
      <c r="DC16" s="240">
        <f>DB16</f>
        <v>0</v>
      </c>
      <c r="DD16" s="240">
        <f t="shared" ref="DD16:DI16" si="0">DC16</f>
        <v>0</v>
      </c>
      <c r="DE16" s="240">
        <f t="shared" si="0"/>
        <v>0</v>
      </c>
      <c r="DF16" s="240">
        <f t="shared" si="0"/>
        <v>0</v>
      </c>
      <c r="DG16" s="240">
        <f t="shared" si="0"/>
        <v>0</v>
      </c>
      <c r="DH16" s="240">
        <f t="shared" si="0"/>
        <v>0</v>
      </c>
      <c r="DI16" s="240">
        <f t="shared" si="0"/>
        <v>0</v>
      </c>
      <c r="DJ16" s="237">
        <f ca="1">OFFSET(DA16,0,outReportQtr)</f>
        <v>0</v>
      </c>
    </row>
    <row r="17" spans="1:114" ht="15.75" customHeight="1" x14ac:dyDescent="0.3">
      <c r="A17" s="27"/>
      <c r="B17" s="34"/>
      <c r="C17" s="91" t="s">
        <v>2646</v>
      </c>
      <c r="D17" s="1107" t="s">
        <v>2731</v>
      </c>
      <c r="E17" s="1108"/>
      <c r="F17" s="1108"/>
      <c r="G17" s="1108"/>
      <c r="H17" s="1108"/>
      <c r="I17" s="1108"/>
      <c r="J17" s="1108"/>
      <c r="K17" s="1108"/>
      <c r="L17" s="1108"/>
      <c r="M17" s="1108"/>
      <c r="N17" s="1108"/>
      <c r="O17" s="1108"/>
      <c r="P17" s="1108"/>
      <c r="Q17" s="1108"/>
      <c r="R17" s="1108"/>
      <c r="S17" s="1108"/>
      <c r="T17" s="1108"/>
      <c r="U17" s="1108"/>
      <c r="V17" s="1108"/>
      <c r="W17" s="1108"/>
      <c r="X17" s="1108"/>
      <c r="Y17" s="1108"/>
      <c r="Z17" s="1108"/>
      <c r="AA17" s="1108"/>
      <c r="AB17" s="88"/>
      <c r="AC17" s="917">
        <f>COUNTIFS(tblParticipants[ParticipantID],"&lt;&gt;",tblParticipants[ParticipantName],"&lt;&gt;",tblParticipants[EnrollQtr],1,tblParticipants[AjcDate],CONCATENATE("&gt;=",DATE(conProgYear,7,1)),tblParticipants[AjcDate],CONCATENATE("&lt;=",DATE(conProgYear,9,30)))</f>
        <v>0</v>
      </c>
      <c r="AD17" s="918"/>
      <c r="AE17" s="918"/>
      <c r="AF17" s="918"/>
      <c r="AG17" s="918"/>
      <c r="AH17" s="918"/>
      <c r="AI17" s="919"/>
      <c r="AJ17" s="920"/>
      <c r="AK17" s="858">
        <f>COUNTIFS(tblParticipants[ParticipantID],"&lt;&gt;",tblParticipants[ParticipantName],"&lt;&gt;",tblParticipants[EnrollQtr],"&gt;=1",tblParticipants[EnrollQtr],"&lt;=2",tblParticipants[AjcDate],CONCATENATE("&gt;=",DATE(conProgYear,10,1)),tblParticipants[AjcDate],CONCATENATE("&lt;=",DATE(conProgYear,12,31)))</f>
        <v>0</v>
      </c>
      <c r="AL17" s="859"/>
      <c r="AM17" s="859"/>
      <c r="AN17" s="859"/>
      <c r="AO17" s="859"/>
      <c r="AP17" s="859"/>
      <c r="AQ17" s="852"/>
      <c r="AR17" s="853"/>
      <c r="AS17" s="858">
        <f>COUNTIFS(tblParticipants[ParticipantID],"&lt;&gt;",tblParticipants[ParticipantName],"&lt;&gt;",tblParticipants[EnrollQtr],"&gt;=1",tblParticipants[EnrollQtr],"&lt;=3",tblParticipants[AjcDate],CONCATENATE("&gt;=",DATE(conProgYear+1,1,1)),tblParticipants[AjcDate],CONCATENATE("&lt;=",DATE(conProgYear+1,3,31)))</f>
        <v>0</v>
      </c>
      <c r="AT17" s="859"/>
      <c r="AU17" s="859"/>
      <c r="AV17" s="859"/>
      <c r="AW17" s="859"/>
      <c r="AX17" s="859"/>
      <c r="AY17" s="852"/>
      <c r="AZ17" s="853"/>
      <c r="BA17" s="858">
        <f>COUNTIFS(tblParticipants[ParticipantID],"&lt;&gt;",tblParticipants[ParticipantName],"&lt;&gt;",tblParticipants[EnrollQtr],"&gt;=1",tblParticipants[EnrollQtr],"&lt;=4",tblParticipants[AjcDate],CONCATENATE("&gt;=",DATE(conProgYear+1,4,1)),tblParticipants[AjcDate],CONCATENATE("&lt;=",DATE(conProgYear+1,6,30)))</f>
        <v>0</v>
      </c>
      <c r="BB17" s="859"/>
      <c r="BC17" s="859"/>
      <c r="BD17" s="859"/>
      <c r="BE17" s="859"/>
      <c r="BF17" s="859"/>
      <c r="BG17" s="852"/>
      <c r="BH17" s="852"/>
      <c r="BI17" s="762"/>
      <c r="BJ17" s="760"/>
      <c r="BK17" s="760"/>
      <c r="BL17" s="760"/>
      <c r="BM17" s="760"/>
      <c r="BN17" s="760"/>
      <c r="BO17" s="760"/>
      <c r="BP17" s="761"/>
      <c r="BQ17" s="1075" t="s">
        <v>2849</v>
      </c>
      <c r="BR17" s="1075"/>
      <c r="BS17" s="1075"/>
      <c r="BT17" s="1075"/>
      <c r="BU17" s="1075"/>
      <c r="BV17" s="1075"/>
      <c r="BW17" s="1075"/>
      <c r="BX17" s="1075"/>
      <c r="BY17" s="1075" t="str">
        <f>IF(outReportQtr=4,IF((CO20/'VETS-700 Planned Goals'!CN24)&gt;=0.85,"Met","Failed"),"-----")</f>
        <v>-----</v>
      </c>
      <c r="BZ17" s="1075"/>
      <c r="CA17" s="1075"/>
      <c r="CB17" s="1075"/>
      <c r="CC17" s="1075"/>
      <c r="CD17" s="1075"/>
      <c r="CE17" s="1075"/>
      <c r="CF17" s="1075"/>
      <c r="CG17" s="1071"/>
      <c r="CH17" s="1072"/>
      <c r="CI17" s="1072"/>
      <c r="CJ17" s="1072"/>
      <c r="CK17" s="1072"/>
      <c r="CL17" s="1072"/>
      <c r="CM17" s="1072"/>
      <c r="CN17" s="1073"/>
      <c r="CO17" s="916">
        <f>IF(outReportQtr=1,AC17,IF(outReportQtr=2,AC17+AK17,IF(outReportQtr=3,AC17+AK17+AS17,AC17+AK17+AS17+BA17)))</f>
        <v>0</v>
      </c>
      <c r="CP17" s="833"/>
      <c r="CQ17" s="833"/>
      <c r="CR17" s="833"/>
      <c r="CS17" s="833"/>
      <c r="CT17" s="833"/>
      <c r="CU17" s="833"/>
      <c r="CV17" s="834"/>
      <c r="CW17" s="27"/>
      <c r="DA17" s="236" t="s">
        <v>2864</v>
      </c>
      <c r="DB17" s="240">
        <f>AC17</f>
        <v>0</v>
      </c>
      <c r="DC17" s="240">
        <f>AC17+AK17</f>
        <v>0</v>
      </c>
      <c r="DD17" s="240">
        <f>AC17+AK17+AS17</f>
        <v>0</v>
      </c>
      <c r="DE17" s="240">
        <f>AC17+AK17+AS17+BA17</f>
        <v>0</v>
      </c>
      <c r="DF17" s="240">
        <f t="shared" ref="DF17:DF22" si="1">DE17</f>
        <v>0</v>
      </c>
      <c r="DG17" s="240">
        <f t="shared" ref="DG17:DG22" si="2">DE17</f>
        <v>0</v>
      </c>
      <c r="DH17" s="240">
        <f t="shared" ref="DH17:DH22" si="3">DE17</f>
        <v>0</v>
      </c>
      <c r="DI17" s="240">
        <f t="shared" ref="DI17:DI22" si="4">DE17</f>
        <v>0</v>
      </c>
      <c r="DJ17" s="237">
        <f t="shared" ref="DJ17:DJ76" ca="1" si="5">OFFSET(DA17,0,outReportQtr)</f>
        <v>0</v>
      </c>
    </row>
    <row r="18" spans="1:114" ht="15.75" customHeight="1" x14ac:dyDescent="0.3">
      <c r="A18" s="27"/>
      <c r="B18" s="34"/>
      <c r="C18" s="91" t="s">
        <v>2647</v>
      </c>
      <c r="D18" s="1120" t="s">
        <v>2509</v>
      </c>
      <c r="E18" s="1108"/>
      <c r="F18" s="1108"/>
      <c r="G18" s="1108"/>
      <c r="H18" s="1108"/>
      <c r="I18" s="1108"/>
      <c r="J18" s="1108"/>
      <c r="K18" s="1108"/>
      <c r="L18" s="1108"/>
      <c r="M18" s="1108"/>
      <c r="N18" s="1108"/>
      <c r="O18" s="1108"/>
      <c r="P18" s="1108"/>
      <c r="Q18" s="1108"/>
      <c r="R18" s="1108"/>
      <c r="S18" s="1108"/>
      <c r="T18" s="1108"/>
      <c r="U18" s="1108"/>
      <c r="V18" s="1108"/>
      <c r="W18" s="1108"/>
      <c r="X18" s="1108"/>
      <c r="Y18" s="1108"/>
      <c r="Z18" s="1108"/>
      <c r="AA18" s="1108"/>
      <c r="AB18" s="88"/>
      <c r="AC18" s="917">
        <f>COUNTIFS(tblParticipants[ParticipantID],"&lt;&gt;",tblParticipants[ParticipantName],"&lt;&gt;",tblParticipants[EnrollQtr],1,tblParticipants[DtLastPlcHous],CONCATENATE("&gt;=",DATE(conProgYear,7,1)),tblParticipants[DtLastPlcHous],CONCATENATE("&lt;=",DATE(conProgYear,9,30)))</f>
        <v>0</v>
      </c>
      <c r="AD18" s="918"/>
      <c r="AE18" s="918"/>
      <c r="AF18" s="918"/>
      <c r="AG18" s="918"/>
      <c r="AH18" s="918"/>
      <c r="AI18" s="919"/>
      <c r="AJ18" s="920"/>
      <c r="AK18" s="926">
        <f>COUNTIFS(tblParticipants[ParticipantID],"&lt;&gt;",tblParticipants[ParticipantName],"&lt;&gt;",tblParticipants[EnrollQtr],"&gt;=1",tblParticipants[EnrollQtr],"&lt;=2",tblParticipants[DtLastPlcHous],CONCATENATE("&gt;=",DATE(conProgYear,10,1)),tblParticipants[DtLastPlcHous],CONCATENATE("&lt;=",DATE(conProgYear,12,31)))</f>
        <v>0</v>
      </c>
      <c r="AL18" s="918"/>
      <c r="AM18" s="918"/>
      <c r="AN18" s="918"/>
      <c r="AO18" s="918"/>
      <c r="AP18" s="918"/>
      <c r="AQ18" s="919"/>
      <c r="AR18" s="920"/>
      <c r="AS18" s="926">
        <f>COUNTIFS(tblParticipants[ParticipantID],"&lt;&gt;",tblParticipants[ParticipantName],"&lt;&gt;",tblParticipants[EnrollQtr],"&gt;=1",tblParticipants[EnrollQtr],"&lt;=3",tblParticipants[DtLastPlcHous],CONCATENATE("&gt;=",DATE(conProgYear+1,1,1)),tblParticipants[DtLastPlcHous],CONCATENATE("&lt;=",DATE(conProgYear+1,3,31)))</f>
        <v>0</v>
      </c>
      <c r="AT18" s="918"/>
      <c r="AU18" s="918"/>
      <c r="AV18" s="918"/>
      <c r="AW18" s="918"/>
      <c r="AX18" s="918"/>
      <c r="AY18" s="919"/>
      <c r="AZ18" s="920"/>
      <c r="BA18" s="926">
        <f>COUNTIFS(tblParticipants[ParticipantID],"&lt;&gt;",tblParticipants[ParticipantName],"&lt;&gt;",tblParticipants[EnrollQtr],"&gt;=1",tblParticipants[EnrollQtr],"&lt;=4",tblParticipants[DtLastPlcHous],CONCATENATE("&gt;=",DATE(conProgYear+1,4,1)),tblParticipants[DtLastPlcHous],CONCATENATE("&lt;=",DATE(conProgYear+1,6,30)))</f>
        <v>0</v>
      </c>
      <c r="BB18" s="918"/>
      <c r="BC18" s="918"/>
      <c r="BD18" s="918"/>
      <c r="BE18" s="918"/>
      <c r="BF18" s="918"/>
      <c r="BG18" s="919"/>
      <c r="BH18" s="920"/>
      <c r="BI18" s="762"/>
      <c r="BJ18" s="760"/>
      <c r="BK18" s="760"/>
      <c r="BL18" s="760"/>
      <c r="BM18" s="760"/>
      <c r="BN18" s="760"/>
      <c r="BO18" s="760"/>
      <c r="BP18" s="761"/>
      <c r="BQ18" s="1076" t="s">
        <v>2515</v>
      </c>
      <c r="BR18" s="1077"/>
      <c r="BS18" s="1077"/>
      <c r="BT18" s="1077"/>
      <c r="BU18" s="1077"/>
      <c r="BV18" s="1077"/>
      <c r="BW18" s="1077"/>
      <c r="BX18" s="1078"/>
      <c r="BY18" s="1076" t="str">
        <f>IF(outReportQtr=4,IF((CO28/'VETS-700 Planned Goals'!CN36)&gt;=0.85,"Met","Failed"),"-----")</f>
        <v>-----</v>
      </c>
      <c r="BZ18" s="1077"/>
      <c r="CA18" s="1077"/>
      <c r="CB18" s="1077"/>
      <c r="CC18" s="1077"/>
      <c r="CD18" s="1077"/>
      <c r="CE18" s="1077"/>
      <c r="CF18" s="1078"/>
      <c r="CG18" s="1071"/>
      <c r="CH18" s="1072"/>
      <c r="CI18" s="1072"/>
      <c r="CJ18" s="1072"/>
      <c r="CK18" s="1072"/>
      <c r="CL18" s="1072"/>
      <c r="CM18" s="1072"/>
      <c r="CN18" s="1073"/>
      <c r="CO18" s="916">
        <f>IF(outReportQtr=1,AC18,IF(outReportQtr=2,AC18+AK18,IF(outReportQtr=3,AC18+AK18+AS18,AC18+AK18+AS18+BA18)))</f>
        <v>0</v>
      </c>
      <c r="CP18" s="833"/>
      <c r="CQ18" s="833"/>
      <c r="CR18" s="833"/>
      <c r="CS18" s="833"/>
      <c r="CT18" s="833"/>
      <c r="CU18" s="833"/>
      <c r="CV18" s="834"/>
      <c r="CW18" s="27"/>
      <c r="DA18" s="236" t="s">
        <v>2861</v>
      </c>
      <c r="DB18" s="240">
        <f>AC18</f>
        <v>0</v>
      </c>
      <c r="DC18" s="240">
        <f>AC18+AK18</f>
        <v>0</v>
      </c>
      <c r="DD18" s="240">
        <f>AC18+AK18+AS18</f>
        <v>0</v>
      </c>
      <c r="DE18" s="240">
        <f>AC18+AK18+AS18+BA18</f>
        <v>0</v>
      </c>
      <c r="DF18" s="240">
        <f t="shared" si="1"/>
        <v>0</v>
      </c>
      <c r="DG18" s="240">
        <f t="shared" si="2"/>
        <v>0</v>
      </c>
      <c r="DH18" s="240">
        <f t="shared" si="3"/>
        <v>0</v>
      </c>
      <c r="DI18" s="240">
        <f t="shared" si="4"/>
        <v>0</v>
      </c>
      <c r="DJ18" s="237">
        <f t="shared" ca="1" si="5"/>
        <v>0</v>
      </c>
    </row>
    <row r="19" spans="1:114" ht="15.75" customHeight="1" x14ac:dyDescent="0.3">
      <c r="A19" s="27"/>
      <c r="B19" s="34"/>
      <c r="C19" s="91" t="s">
        <v>2648</v>
      </c>
      <c r="D19" s="1120" t="s">
        <v>2506</v>
      </c>
      <c r="E19" s="1108"/>
      <c r="F19" s="1108"/>
      <c r="G19" s="1108"/>
      <c r="H19" s="1108"/>
      <c r="I19" s="1108"/>
      <c r="J19" s="1108"/>
      <c r="K19" s="1108"/>
      <c r="L19" s="1108"/>
      <c r="M19" s="1108"/>
      <c r="N19" s="1108"/>
      <c r="O19" s="1108"/>
      <c r="P19" s="1108"/>
      <c r="Q19" s="1108"/>
      <c r="R19" s="1108"/>
      <c r="S19" s="1108"/>
      <c r="T19" s="1108"/>
      <c r="U19" s="1108"/>
      <c r="V19" s="1108"/>
      <c r="W19" s="1108"/>
      <c r="X19" s="1108"/>
      <c r="Y19" s="1108"/>
      <c r="Z19" s="1108"/>
      <c r="AA19" s="1108"/>
      <c r="AB19" s="88"/>
      <c r="AC19" s="917">
        <f>COUNTIFS(tblParticipants[ParticipantID],"&lt;&gt;",tblParticipants[ParticipantName],"&lt;&gt;",tblParticipants[EnrollQtr],1,tblParticipants[EmployQtr],1,tblParticipants[ExitQtr],1,tblParticipants[HrlyWgPlmt],"&gt;0")</f>
        <v>0</v>
      </c>
      <c r="AD19" s="918"/>
      <c r="AE19" s="918"/>
      <c r="AF19" s="918"/>
      <c r="AG19" s="918"/>
      <c r="AH19" s="918"/>
      <c r="AI19" s="919"/>
      <c r="AJ19" s="920"/>
      <c r="AK19" s="926">
        <f>COUNTIFS(tblParticipants[ParticipantID],"&lt;&gt;",tblParticipants[ParticipantName],"&lt;&gt;",tblParticipants[EnrollQtr],"&gt;=1",tblParticipants[EnrollQtr],"&lt;=2",tblParticipants[EmployQtr],2,tblParticipants[ExitQtr],2,tblParticipants[HrlyWgPlmt],"&gt;0")</f>
        <v>0</v>
      </c>
      <c r="AL19" s="918"/>
      <c r="AM19" s="918"/>
      <c r="AN19" s="918"/>
      <c r="AO19" s="918"/>
      <c r="AP19" s="918"/>
      <c r="AQ19" s="919"/>
      <c r="AR19" s="920"/>
      <c r="AS19" s="926">
        <f>COUNTIFS(tblParticipants[ParticipantID],"&lt;&gt;",tblParticipants[ParticipantName],"&lt;&gt;",tblParticipants[EnrollQtr],"&gt;=1",tblParticipants[EnrollQtr],"&lt;=3",tblParticipants[EmployQtr],3,tblParticipants[ExitQtr],3,tblParticipants[HrlyWgPlmt],"&gt;0")</f>
        <v>0</v>
      </c>
      <c r="AT19" s="918"/>
      <c r="AU19" s="918"/>
      <c r="AV19" s="918"/>
      <c r="AW19" s="918"/>
      <c r="AX19" s="918"/>
      <c r="AY19" s="919"/>
      <c r="AZ19" s="920"/>
      <c r="BA19" s="926">
        <f>COUNTIFS(tblParticipants[ParticipantID],"&lt;&gt;",tblParticipants[ParticipantName],"&lt;&gt;",tblParticipants[EnrollQtr],"&gt;=1",tblParticipants[EnrollQtr],"&lt;=4",tblParticipants[EmployQtr],4,tblParticipants[ExitQtr],4,tblParticipants[HrlyWgPlmt],"&gt;0")</f>
        <v>0</v>
      </c>
      <c r="BB19" s="918"/>
      <c r="BC19" s="918"/>
      <c r="BD19" s="918"/>
      <c r="BE19" s="918"/>
      <c r="BF19" s="918"/>
      <c r="BG19" s="919"/>
      <c r="BH19" s="920"/>
      <c r="BI19" s="762"/>
      <c r="BJ19" s="760"/>
      <c r="BK19" s="760"/>
      <c r="BL19" s="760"/>
      <c r="BM19" s="760"/>
      <c r="BN19" s="760"/>
      <c r="BO19" s="760"/>
      <c r="BP19" s="761"/>
      <c r="BQ19" s="1079"/>
      <c r="BR19" s="1080"/>
      <c r="BS19" s="1080"/>
      <c r="BT19" s="1080"/>
      <c r="BU19" s="1080"/>
      <c r="BV19" s="1080"/>
      <c r="BW19" s="1080"/>
      <c r="BX19" s="1081"/>
      <c r="BY19" s="1079"/>
      <c r="BZ19" s="1080"/>
      <c r="CA19" s="1080"/>
      <c r="CB19" s="1080"/>
      <c r="CC19" s="1080"/>
      <c r="CD19" s="1080"/>
      <c r="CE19" s="1080"/>
      <c r="CF19" s="1081"/>
      <c r="CG19" s="1071"/>
      <c r="CH19" s="1072"/>
      <c r="CI19" s="1072"/>
      <c r="CJ19" s="1072"/>
      <c r="CK19" s="1072"/>
      <c r="CL19" s="1072"/>
      <c r="CM19" s="1072"/>
      <c r="CN19" s="1073"/>
      <c r="CO19" s="916">
        <f>IF(outReportQtr=1,AC19,IF(outReportQtr=2,AC19+AK19,IF(outReportQtr=3,AC19+AK19+AS19,AC19+AK19+AS19+BA19)))</f>
        <v>0</v>
      </c>
      <c r="CP19" s="833"/>
      <c r="CQ19" s="833"/>
      <c r="CR19" s="833"/>
      <c r="CS19" s="833"/>
      <c r="CT19" s="833"/>
      <c r="CU19" s="833"/>
      <c r="CV19" s="834"/>
      <c r="CW19" s="27"/>
      <c r="DA19" s="236" t="s">
        <v>2862</v>
      </c>
      <c r="DB19" s="240">
        <f>AC19</f>
        <v>0</v>
      </c>
      <c r="DC19" s="240">
        <f>AC19+AK19</f>
        <v>0</v>
      </c>
      <c r="DD19" s="240">
        <f>AC19+AK19+AS19</f>
        <v>0</v>
      </c>
      <c r="DE19" s="240">
        <f>AC19+AK19+AS19+BA19</f>
        <v>0</v>
      </c>
      <c r="DF19" s="240">
        <f t="shared" ref="DF19" si="6">DE19</f>
        <v>0</v>
      </c>
      <c r="DG19" s="240">
        <f t="shared" ref="DG19" si="7">DE19</f>
        <v>0</v>
      </c>
      <c r="DH19" s="240">
        <f t="shared" ref="DH19" si="8">DE19</f>
        <v>0</v>
      </c>
      <c r="DI19" s="240">
        <f t="shared" ref="DI19" si="9">DE19</f>
        <v>0</v>
      </c>
      <c r="DJ19" s="237">
        <f t="shared" ca="1" si="5"/>
        <v>0</v>
      </c>
    </row>
    <row r="20" spans="1:114" ht="15.75" customHeight="1" x14ac:dyDescent="0.3">
      <c r="A20" s="27"/>
      <c r="B20" s="34"/>
      <c r="C20" s="91" t="s">
        <v>2649</v>
      </c>
      <c r="D20" s="1120" t="s">
        <v>2765</v>
      </c>
      <c r="E20" s="1108"/>
      <c r="F20" s="1108"/>
      <c r="G20" s="1108"/>
      <c r="H20" s="1108"/>
      <c r="I20" s="1108"/>
      <c r="J20" s="1108"/>
      <c r="K20" s="1108"/>
      <c r="L20" s="1108"/>
      <c r="M20" s="1108"/>
      <c r="N20" s="1108"/>
      <c r="O20" s="1108"/>
      <c r="P20" s="1108"/>
      <c r="Q20" s="1108"/>
      <c r="R20" s="1108"/>
      <c r="S20" s="1108"/>
      <c r="T20" s="1108"/>
      <c r="U20" s="1108"/>
      <c r="V20" s="1108"/>
      <c r="W20" s="1108"/>
      <c r="X20" s="1108"/>
      <c r="Y20" s="1108"/>
      <c r="Z20" s="1108"/>
      <c r="AA20" s="1108"/>
      <c r="AB20" s="88">
        <f ca="1">IF(DJ20&gt;='VETS-700 Planned Goals'!DI24,1,IF(AND(outReportQtr&gt;=2,outReportQtr&lt;=3,'VETS-700 Planned Goals'!DI24*0.85&gt;DJ20),-1,0))</f>
        <v>1</v>
      </c>
      <c r="AC20" s="793">
        <f>IFERROR(AVERAGEIFS(tblParticipants[HrlyWgPlmt],tblParticipants[ParticipantID],"&lt;&gt;",tblParticipants[ParticipantName],"&lt;&gt;",tblParticipants[EnrollQtr],1,tblParticipants[HrlyWgPlmt],"&gt;0",tblParticipants[EmployQtr],1,tblParticipants[ExitQtr],1),0)</f>
        <v>0</v>
      </c>
      <c r="AD20" s="794"/>
      <c r="AE20" s="794"/>
      <c r="AF20" s="794"/>
      <c r="AG20" s="794"/>
      <c r="AH20" s="794"/>
      <c r="AI20" s="794"/>
      <c r="AJ20" s="921"/>
      <c r="AK20" s="952">
        <f>IFERROR(AVERAGEIFS(tblParticipants[HrlyWgPlmt],tblParticipants[ParticipantID],"&lt;&gt;",tblParticipants[ParticipantName],"&lt;&gt;",tblParticipants[EnrollQtr],"&gt;=1",tblParticipants[EnrollQtr],"&lt;=2",tblParticipants[HrlyWgPlmt],"&gt;0",tblParticipants[EmployQtr],2,tblParticipants[ExitQtr],2),0)</f>
        <v>0</v>
      </c>
      <c r="AL20" s="953"/>
      <c r="AM20" s="953"/>
      <c r="AN20" s="953"/>
      <c r="AO20" s="953"/>
      <c r="AP20" s="953"/>
      <c r="AQ20" s="954"/>
      <c r="AR20" s="955"/>
      <c r="AS20" s="952">
        <f>IFERROR(AVERAGEIFS(tblParticipants[HrlyWgPlmt],tblParticipants[ParticipantID],"&lt;&gt;",tblParticipants[ParticipantName],"&lt;&gt;",tblParticipants[EnrollQtr],"&gt;=1",tblParticipants[EnrollQtr],"&lt;=3",tblParticipants[HrlyWgPlmt],"&gt;0",tblParticipants[EmployQtr],3,tblParticipants[ExitQtr],3),0)</f>
        <v>0</v>
      </c>
      <c r="AT20" s="953"/>
      <c r="AU20" s="953"/>
      <c r="AV20" s="953"/>
      <c r="AW20" s="953"/>
      <c r="AX20" s="953"/>
      <c r="AY20" s="954"/>
      <c r="AZ20" s="955"/>
      <c r="BA20" s="952">
        <f>IFERROR(AVERAGEIFS(tblParticipants[HrlyWgPlmt],tblParticipants[ParticipantID],"&lt;&gt;",tblParticipants[ParticipantName],"&lt;&gt;",tblParticipants[EnrollQtr],"&gt;=1",tblParticipants[EnrollQtr],"&lt;=4",tblParticipants[HrlyWgPlmt],"&gt;0",tblParticipants[EmployQtr],4,tblParticipants[ExitQtr],4),0)</f>
        <v>0</v>
      </c>
      <c r="BB20" s="953"/>
      <c r="BC20" s="953"/>
      <c r="BD20" s="953"/>
      <c r="BE20" s="953"/>
      <c r="BF20" s="953"/>
      <c r="BG20" s="954"/>
      <c r="BH20" s="1134"/>
      <c r="BI20" s="835"/>
      <c r="BJ20" s="836"/>
      <c r="BK20" s="836"/>
      <c r="BL20" s="836"/>
      <c r="BM20" s="836"/>
      <c r="BN20" s="836"/>
      <c r="BO20" s="836"/>
      <c r="BP20" s="837"/>
      <c r="BQ20" s="747"/>
      <c r="BR20" s="748"/>
      <c r="BS20" s="748"/>
      <c r="BT20" s="748"/>
      <c r="BU20" s="748"/>
      <c r="BV20" s="748"/>
      <c r="BW20" s="748"/>
      <c r="BX20" s="749"/>
      <c r="BY20" s="747"/>
      <c r="BZ20" s="748"/>
      <c r="CA20" s="748"/>
      <c r="CB20" s="748"/>
      <c r="CC20" s="748"/>
      <c r="CD20" s="748"/>
      <c r="CE20" s="748"/>
      <c r="CF20" s="749"/>
      <c r="CG20" s="747"/>
      <c r="CH20" s="748"/>
      <c r="CI20" s="748"/>
      <c r="CJ20" s="748"/>
      <c r="CK20" s="748"/>
      <c r="CL20" s="748"/>
      <c r="CM20" s="748"/>
      <c r="CN20" s="750"/>
      <c r="CO20" s="913" t="e">
        <f>IF(outReportQtr=1,AC19*AC20,IF(outReportQtr=2,(AC19*AC20)+(AK19*AK20),IF(outReportQtr=3,(AC19+AC20)+(AK19*AK20)+(AS19*AS20),(AC19*AC20)+(AK19*AK20)+(AS19*AS20)+(BA19*BA20))))/CO19</f>
        <v>#DIV/0!</v>
      </c>
      <c r="CP20" s="914"/>
      <c r="CQ20" s="914"/>
      <c r="CR20" s="914"/>
      <c r="CS20" s="914"/>
      <c r="CT20" s="914"/>
      <c r="CU20" s="914"/>
      <c r="CV20" s="915"/>
      <c r="CW20" s="27"/>
      <c r="DA20" s="236" t="s">
        <v>2872</v>
      </c>
      <c r="DB20" s="253">
        <f>IF(DB19&gt;0,(AC20*AC19)/DB19,0)</f>
        <v>0</v>
      </c>
      <c r="DC20" s="253">
        <f>IF(DC19&gt;0,((AC19*AC20)+(AK19*AK20))/DC19,0)</f>
        <v>0</v>
      </c>
      <c r="DD20" s="253">
        <f>IF(DD19&gt;0,((AC19*AC20)+(AK19*AK20)+(AS19*AS20))/DD19,0)</f>
        <v>0</v>
      </c>
      <c r="DE20" s="253">
        <f>IF(DE19&gt;0,((AC19*AC20)+(AK19*AK20)+(AS19*AS20)+(BA19*BA20))/DE19,0)</f>
        <v>0</v>
      </c>
      <c r="DF20" s="253">
        <f t="shared" si="1"/>
        <v>0</v>
      </c>
      <c r="DG20" s="253">
        <f t="shared" si="2"/>
        <v>0</v>
      </c>
      <c r="DH20" s="253">
        <f t="shared" si="3"/>
        <v>0</v>
      </c>
      <c r="DI20" s="253">
        <f t="shared" si="4"/>
        <v>0</v>
      </c>
      <c r="DJ20" s="237">
        <f t="shared" ca="1" si="5"/>
        <v>0</v>
      </c>
    </row>
    <row r="21" spans="1:114" ht="15.75" customHeight="1" x14ac:dyDescent="0.3">
      <c r="A21" s="27"/>
      <c r="B21" s="34"/>
      <c r="C21" s="91" t="s">
        <v>2650</v>
      </c>
      <c r="D21" s="1125" t="s">
        <v>2766</v>
      </c>
      <c r="E21" s="1126"/>
      <c r="F21" s="1126"/>
      <c r="G21" s="1126"/>
      <c r="H21" s="1126"/>
      <c r="I21" s="1126"/>
      <c r="J21" s="1126"/>
      <c r="K21" s="1126"/>
      <c r="L21" s="1126"/>
      <c r="M21" s="1126"/>
      <c r="N21" s="1126"/>
      <c r="O21" s="1126"/>
      <c r="P21" s="1126"/>
      <c r="Q21" s="1126"/>
      <c r="R21" s="1126"/>
      <c r="S21" s="1126"/>
      <c r="T21" s="1126"/>
      <c r="U21" s="1126"/>
      <c r="V21" s="1126"/>
      <c r="W21" s="1126"/>
      <c r="X21" s="1126"/>
      <c r="Y21" s="1126"/>
      <c r="Z21" s="1126"/>
      <c r="AA21" s="1126"/>
      <c r="AB21" s="88">
        <f ca="1">IF(DJ21&gt;='VETS-700 Planned Goals'!DI25,1,IF(AND(outReportQtr&gt;=2,outReportQtr&lt;=3,'VETS-700 Planned Goals'!DI25*0.85&gt;DJ21),-1,0))</f>
        <v>1</v>
      </c>
      <c r="AC21" s="922">
        <f>IF($AC22&gt;0,$AC19/$AC22,0)</f>
        <v>0</v>
      </c>
      <c r="AD21" s="923"/>
      <c r="AE21" s="923"/>
      <c r="AF21" s="923"/>
      <c r="AG21" s="923"/>
      <c r="AH21" s="923"/>
      <c r="AI21" s="924"/>
      <c r="AJ21" s="925"/>
      <c r="AK21" s="956">
        <f>IF($AK22&gt;0,$AK19/$AK22,0)</f>
        <v>0</v>
      </c>
      <c r="AL21" s="923"/>
      <c r="AM21" s="923"/>
      <c r="AN21" s="923"/>
      <c r="AO21" s="923"/>
      <c r="AP21" s="923"/>
      <c r="AQ21" s="924"/>
      <c r="AR21" s="925"/>
      <c r="AS21" s="956">
        <f>IF($AS22&gt;0,$AS19/$AS22,0)</f>
        <v>0</v>
      </c>
      <c r="AT21" s="923"/>
      <c r="AU21" s="923"/>
      <c r="AV21" s="923"/>
      <c r="AW21" s="923"/>
      <c r="AX21" s="923"/>
      <c r="AY21" s="924"/>
      <c r="AZ21" s="925"/>
      <c r="BA21" s="956">
        <f>IF($BA22&gt;0,$BA19/$BA22,0)</f>
        <v>0</v>
      </c>
      <c r="BB21" s="923"/>
      <c r="BC21" s="923"/>
      <c r="BD21" s="923"/>
      <c r="BE21" s="923"/>
      <c r="BF21" s="923"/>
      <c r="BG21" s="924"/>
      <c r="BH21" s="1135"/>
      <c r="BI21" s="838"/>
      <c r="BJ21" s="839"/>
      <c r="BK21" s="839"/>
      <c r="BL21" s="839"/>
      <c r="BM21" s="839"/>
      <c r="BN21" s="839"/>
      <c r="BO21" s="839"/>
      <c r="BP21" s="840"/>
      <c r="BQ21" s="756" t="s">
        <v>2784</v>
      </c>
      <c r="BR21" s="757"/>
      <c r="BS21" s="757"/>
      <c r="BT21" s="757"/>
      <c r="BU21" s="757"/>
      <c r="BV21" s="757"/>
      <c r="BW21" s="757"/>
      <c r="BX21" s="758"/>
      <c r="BY21" s="1097">
        <f>IF(CO15&gt;0,CO19/CO15,0)</f>
        <v>0</v>
      </c>
      <c r="BZ21" s="922"/>
      <c r="CA21" s="922"/>
      <c r="CB21" s="922"/>
      <c r="CC21" s="922"/>
      <c r="CD21" s="922"/>
      <c r="CE21" s="922"/>
      <c r="CF21" s="1098"/>
      <c r="CG21" s="756" t="s">
        <v>2785</v>
      </c>
      <c r="CH21" s="757"/>
      <c r="CI21" s="757"/>
      <c r="CJ21" s="757"/>
      <c r="CK21" s="757"/>
      <c r="CL21" s="757"/>
      <c r="CM21" s="757"/>
      <c r="CN21" s="758"/>
      <c r="CO21" s="1058">
        <f>IF(CO22&gt;0,CO19/CO22,0)</f>
        <v>0</v>
      </c>
      <c r="CP21" s="961"/>
      <c r="CQ21" s="961"/>
      <c r="CR21" s="961"/>
      <c r="CS21" s="961"/>
      <c r="CT21" s="961"/>
      <c r="CU21" s="961"/>
      <c r="CV21" s="1049"/>
      <c r="CW21" s="27"/>
      <c r="DA21" s="236" t="s">
        <v>2873</v>
      </c>
      <c r="DB21" s="254">
        <f>IF(DB22&gt;0,DB19/DB22,0)</f>
        <v>0</v>
      </c>
      <c r="DC21" s="254">
        <f t="shared" ref="DC21:DE21" si="10">IF(DC22&gt;0,DC19/DC22,0)</f>
        <v>0</v>
      </c>
      <c r="DD21" s="254">
        <f t="shared" si="10"/>
        <v>0</v>
      </c>
      <c r="DE21" s="254">
        <f t="shared" si="10"/>
        <v>0</v>
      </c>
      <c r="DF21" s="254">
        <f>DE21</f>
        <v>0</v>
      </c>
      <c r="DG21" s="254">
        <f>DE21</f>
        <v>0</v>
      </c>
      <c r="DH21" s="254">
        <f>DE21</f>
        <v>0</v>
      </c>
      <c r="DI21" s="254">
        <f>DE21</f>
        <v>0</v>
      </c>
      <c r="DJ21" s="254">
        <f t="shared" ca="1" si="5"/>
        <v>0</v>
      </c>
    </row>
    <row r="22" spans="1:114" ht="15.75" customHeight="1" x14ac:dyDescent="0.6">
      <c r="A22" s="27"/>
      <c r="B22" s="34"/>
      <c r="C22" s="100" t="s">
        <v>2651</v>
      </c>
      <c r="D22" s="1127" t="s">
        <v>2508</v>
      </c>
      <c r="E22" s="1128"/>
      <c r="F22" s="1128"/>
      <c r="G22" s="1128"/>
      <c r="H22" s="1128"/>
      <c r="I22" s="1128"/>
      <c r="J22" s="1128"/>
      <c r="K22" s="1128"/>
      <c r="L22" s="1128"/>
      <c r="M22" s="1128"/>
      <c r="N22" s="1128"/>
      <c r="O22" s="1128"/>
      <c r="P22" s="1128"/>
      <c r="Q22" s="1128"/>
      <c r="R22" s="1128"/>
      <c r="S22" s="1128"/>
      <c r="T22" s="1128"/>
      <c r="U22" s="1128"/>
      <c r="V22" s="1128"/>
      <c r="W22" s="1128"/>
      <c r="X22" s="1128"/>
      <c r="Y22" s="1128"/>
      <c r="Z22" s="1128"/>
      <c r="AA22" s="1129"/>
      <c r="AB22" s="131"/>
      <c r="AC22" s="1123">
        <f>COUNTIFS(tblParticipants[ParticipantID],"&lt;&gt;",tblParticipants[ParticipantName],"&lt;&gt;",tblParticipants[EnrollQtr],1,tblParticipants[ExitQtr],1)</f>
        <v>0</v>
      </c>
      <c r="AD22" s="1063"/>
      <c r="AE22" s="1063"/>
      <c r="AF22" s="1063"/>
      <c r="AG22" s="1063"/>
      <c r="AH22" s="1063"/>
      <c r="AI22" s="1064"/>
      <c r="AJ22" s="1065"/>
      <c r="AK22" s="1062">
        <f>COUNTIFS(tblParticipants[ParticipantID],"&lt;&gt;",tblParticipants[ParticipantName],"&lt;&gt;",tblParticipants[EnrollQtr],"&gt;=1",tblParticipants[EnrollQtr],"&lt;=2",tblParticipants[ExitQtr],2)</f>
        <v>0</v>
      </c>
      <c r="AL22" s="1063"/>
      <c r="AM22" s="1063"/>
      <c r="AN22" s="1063"/>
      <c r="AO22" s="1063"/>
      <c r="AP22" s="1063"/>
      <c r="AQ22" s="1064"/>
      <c r="AR22" s="1065"/>
      <c r="AS22" s="1062">
        <f>COUNTIFS(tblParticipants[ParticipantID],"&lt;&gt;",tblParticipants[ParticipantName],"&lt;&gt;",tblParticipants[EnrollQtr],"&gt;=1",tblParticipants[EnrollQtr],"&lt;=3",tblParticipants[ExitQtr],3)</f>
        <v>0</v>
      </c>
      <c r="AT22" s="1063"/>
      <c r="AU22" s="1063"/>
      <c r="AV22" s="1063"/>
      <c r="AW22" s="1063"/>
      <c r="AX22" s="1063"/>
      <c r="AY22" s="1064"/>
      <c r="AZ22" s="1065"/>
      <c r="BA22" s="1062">
        <f>COUNTIFS(tblParticipants[ParticipantID],"&lt;&gt;",tblParticipants[ParticipantName],"&lt;&gt;",tblParticipants[EnrollQtr],"&gt;=1",tblParticipants[EnrollQtr],"&lt;=4",tblParticipants[ExitQtr],4)</f>
        <v>0</v>
      </c>
      <c r="BB22" s="1063"/>
      <c r="BC22" s="1063"/>
      <c r="BD22" s="1063"/>
      <c r="BE22" s="1063"/>
      <c r="BF22" s="1063"/>
      <c r="BG22" s="1064"/>
      <c r="BH22" s="1066"/>
      <c r="BI22" s="751"/>
      <c r="BJ22" s="742"/>
      <c r="BK22" s="742"/>
      <c r="BL22" s="742"/>
      <c r="BM22" s="742"/>
      <c r="BN22" s="742"/>
      <c r="BO22" s="742"/>
      <c r="BP22" s="752"/>
      <c r="BQ22" s="753"/>
      <c r="BR22" s="754"/>
      <c r="BS22" s="754"/>
      <c r="BT22" s="754"/>
      <c r="BU22" s="754"/>
      <c r="BV22" s="754"/>
      <c r="BW22" s="754"/>
      <c r="BX22" s="755"/>
      <c r="BY22" s="753"/>
      <c r="BZ22" s="754"/>
      <c r="CA22" s="754"/>
      <c r="CB22" s="754"/>
      <c r="CC22" s="754"/>
      <c r="CD22" s="754"/>
      <c r="CE22" s="754"/>
      <c r="CF22" s="755"/>
      <c r="CG22" s="753"/>
      <c r="CH22" s="754"/>
      <c r="CI22" s="754"/>
      <c r="CJ22" s="754"/>
      <c r="CK22" s="754"/>
      <c r="CL22" s="754"/>
      <c r="CM22" s="754"/>
      <c r="CN22" s="1067"/>
      <c r="CO22" s="910">
        <f>IF(outReportQtr=1,AC22,IF(outReportQtr=2,AC22+AK22,IF(outReportQtr=3,AC22+AK22+AS22,AC22+AK22+AS22+BA22)))</f>
        <v>0</v>
      </c>
      <c r="CP22" s="911"/>
      <c r="CQ22" s="911"/>
      <c r="CR22" s="911"/>
      <c r="CS22" s="911"/>
      <c r="CT22" s="911"/>
      <c r="CU22" s="911"/>
      <c r="CV22" s="912"/>
      <c r="CW22" s="27"/>
      <c r="DA22" s="257" t="s">
        <v>2695</v>
      </c>
      <c r="DB22" s="259">
        <f>AC22</f>
        <v>0</v>
      </c>
      <c r="DC22" s="259">
        <f>AC22+AK22</f>
        <v>0</v>
      </c>
      <c r="DD22" s="259">
        <f>AC22+AK22+AS22</f>
        <v>0</v>
      </c>
      <c r="DE22" s="259">
        <f>AC22+AK22+AS22+BA22</f>
        <v>0</v>
      </c>
      <c r="DF22" s="259">
        <f t="shared" si="1"/>
        <v>0</v>
      </c>
      <c r="DG22" s="259">
        <f t="shared" si="2"/>
        <v>0</v>
      </c>
      <c r="DH22" s="259">
        <f t="shared" si="3"/>
        <v>0</v>
      </c>
      <c r="DI22" s="259">
        <f t="shared" si="4"/>
        <v>0</v>
      </c>
      <c r="DJ22" s="258">
        <f t="shared" ca="1" si="5"/>
        <v>0</v>
      </c>
    </row>
    <row r="23" spans="1:114" ht="15.75" customHeight="1" x14ac:dyDescent="0.6">
      <c r="A23" s="229"/>
      <c r="B23" s="42"/>
      <c r="C23" s="1141" t="s">
        <v>2838</v>
      </c>
      <c r="D23" s="1142"/>
      <c r="E23" s="1142"/>
      <c r="F23" s="1142"/>
      <c r="G23" s="1142"/>
      <c r="H23" s="1142"/>
      <c r="I23" s="1142"/>
      <c r="J23" s="1142"/>
      <c r="K23" s="1142"/>
      <c r="L23" s="1142"/>
      <c r="M23" s="1142"/>
      <c r="N23" s="1142"/>
      <c r="O23" s="1142"/>
      <c r="P23" s="1143"/>
      <c r="Q23" s="1143"/>
      <c r="R23" s="1143"/>
      <c r="S23" s="1143"/>
      <c r="T23" s="1143"/>
      <c r="U23" s="1143"/>
      <c r="V23" s="1143"/>
      <c r="W23" s="1143"/>
      <c r="X23" s="1143"/>
      <c r="Y23" s="1143"/>
      <c r="Z23" s="1143"/>
      <c r="AA23" s="1144"/>
      <c r="AB23" s="130"/>
      <c r="AC23" s="776"/>
      <c r="AD23" s="777"/>
      <c r="AE23" s="777"/>
      <c r="AF23" s="777"/>
      <c r="AG23" s="777"/>
      <c r="AH23" s="777"/>
      <c r="AI23" s="777"/>
      <c r="AJ23" s="778"/>
      <c r="AK23" s="776"/>
      <c r="AL23" s="777"/>
      <c r="AM23" s="777"/>
      <c r="AN23" s="777"/>
      <c r="AO23" s="777"/>
      <c r="AP23" s="777"/>
      <c r="AQ23" s="777"/>
      <c r="AR23" s="778"/>
      <c r="AS23" s="776"/>
      <c r="AT23" s="777"/>
      <c r="AU23" s="777"/>
      <c r="AV23" s="777"/>
      <c r="AW23" s="777"/>
      <c r="AX23" s="777"/>
      <c r="AY23" s="777"/>
      <c r="AZ23" s="778"/>
      <c r="BA23" s="776"/>
      <c r="BB23" s="777"/>
      <c r="BC23" s="777"/>
      <c r="BD23" s="777"/>
      <c r="BE23" s="777"/>
      <c r="BF23" s="777"/>
      <c r="BG23" s="777"/>
      <c r="BH23" s="778"/>
      <c r="BI23" s="822"/>
      <c r="BJ23" s="823"/>
      <c r="BK23" s="823"/>
      <c r="BL23" s="823"/>
      <c r="BM23" s="823"/>
      <c r="BN23" s="823"/>
      <c r="BO23" s="823"/>
      <c r="BP23" s="824"/>
      <c r="BQ23" s="825"/>
      <c r="BR23" s="826"/>
      <c r="BS23" s="826"/>
      <c r="BT23" s="826"/>
      <c r="BU23" s="826"/>
      <c r="BV23" s="826"/>
      <c r="BW23" s="826"/>
      <c r="BX23" s="827"/>
      <c r="BY23" s="825"/>
      <c r="BZ23" s="826"/>
      <c r="CA23" s="826"/>
      <c r="CB23" s="826"/>
      <c r="CC23" s="826"/>
      <c r="CD23" s="826"/>
      <c r="CE23" s="826"/>
      <c r="CF23" s="827"/>
      <c r="CG23" s="825"/>
      <c r="CH23" s="826"/>
      <c r="CI23" s="826"/>
      <c r="CJ23" s="826"/>
      <c r="CK23" s="826"/>
      <c r="CL23" s="826"/>
      <c r="CM23" s="826"/>
      <c r="CN23" s="827"/>
      <c r="CO23" s="1059"/>
      <c r="CP23" s="1060"/>
      <c r="CQ23" s="1060"/>
      <c r="CR23" s="1060"/>
      <c r="CS23" s="1060"/>
      <c r="CT23" s="1060"/>
      <c r="CU23" s="1060"/>
      <c r="CV23" s="1061"/>
      <c r="CW23" s="27"/>
      <c r="DJ23" s="258"/>
    </row>
    <row r="24" spans="1:114" ht="15.75" customHeight="1" x14ac:dyDescent="0.3">
      <c r="A24" s="31"/>
      <c r="B24" s="230"/>
      <c r="C24" s="228" t="s">
        <v>2643</v>
      </c>
      <c r="D24" s="1124" t="s">
        <v>3076</v>
      </c>
      <c r="E24" s="1124"/>
      <c r="F24" s="1124"/>
      <c r="G24" s="1124"/>
      <c r="H24" s="1124"/>
      <c r="I24" s="1124"/>
      <c r="J24" s="1124"/>
      <c r="K24" s="1124"/>
      <c r="L24" s="1124"/>
      <c r="M24" s="1124"/>
      <c r="N24" s="1124"/>
      <c r="O24" s="1124"/>
      <c r="P24" s="1124"/>
      <c r="Q24" s="1124"/>
      <c r="R24" s="1124"/>
      <c r="S24" s="1124"/>
      <c r="T24" s="1124"/>
      <c r="U24" s="1124"/>
      <c r="V24" s="1124"/>
      <c r="W24" s="1124"/>
      <c r="X24" s="1124"/>
      <c r="Y24" s="1124"/>
      <c r="Z24" s="1124"/>
      <c r="AA24" s="1124"/>
      <c r="AB24" s="231">
        <f>IF(CO15&gt;0,CO24/CO15,0)</f>
        <v>0</v>
      </c>
      <c r="AC24" s="880">
        <f>'VETS-701A Demographics Summary'!B54</f>
        <v>0</v>
      </c>
      <c r="AD24" s="880"/>
      <c r="AE24" s="880"/>
      <c r="AF24" s="880"/>
      <c r="AG24" s="880"/>
      <c r="AH24" s="880"/>
      <c r="AI24" s="880"/>
      <c r="AJ24" s="880"/>
      <c r="AK24" s="880">
        <f>'VETS-701A Demographics Summary'!G54</f>
        <v>0</v>
      </c>
      <c r="AL24" s="880"/>
      <c r="AM24" s="880"/>
      <c r="AN24" s="880"/>
      <c r="AO24" s="880"/>
      <c r="AP24" s="880"/>
      <c r="AQ24" s="880"/>
      <c r="AR24" s="880"/>
      <c r="AS24" s="880">
        <f>'VETS-701A Demographics Summary'!L54</f>
        <v>0</v>
      </c>
      <c r="AT24" s="880"/>
      <c r="AU24" s="880"/>
      <c r="AV24" s="880"/>
      <c r="AW24" s="880"/>
      <c r="AX24" s="880"/>
      <c r="AY24" s="880"/>
      <c r="AZ24" s="880"/>
      <c r="BA24" s="880">
        <f>'VETS-701A Demographics Summary'!Q54</f>
        <v>0</v>
      </c>
      <c r="BB24" s="880"/>
      <c r="BC24" s="880"/>
      <c r="BD24" s="880"/>
      <c r="BE24" s="880"/>
      <c r="BF24" s="880"/>
      <c r="BG24" s="880"/>
      <c r="BH24" s="880"/>
      <c r="BI24" s="1094"/>
      <c r="BJ24" s="1095"/>
      <c r="BK24" s="1095"/>
      <c r="BL24" s="1095"/>
      <c r="BM24" s="1095"/>
      <c r="BN24" s="1095"/>
      <c r="BO24" s="1095"/>
      <c r="BP24" s="1095"/>
      <c r="BQ24" s="1096" t="s">
        <v>2847</v>
      </c>
      <c r="BR24" s="1096"/>
      <c r="BS24" s="1096"/>
      <c r="BT24" s="1096"/>
      <c r="BU24" s="1096"/>
      <c r="BV24" s="1096"/>
      <c r="BW24" s="1096"/>
      <c r="BX24" s="1096"/>
      <c r="BY24" s="1082">
        <f>IF(CO15&gt;0,CO24/CO15,0)</f>
        <v>0</v>
      </c>
      <c r="BZ24" s="1082"/>
      <c r="CA24" s="1082"/>
      <c r="CB24" s="1082"/>
      <c r="CC24" s="1082"/>
      <c r="CD24" s="1082"/>
      <c r="CE24" s="1082"/>
      <c r="CF24" s="1082"/>
      <c r="CO24" s="880">
        <f>IF(outReportQtr=1,AC24,IF(outReportQtr=2,AC24+AK24,IF(outReportQtr=3,AC24+AK24+AS24,AC24+AK24+AS24+BA24)))</f>
        <v>0</v>
      </c>
      <c r="CP24" s="881"/>
      <c r="CQ24" s="881"/>
      <c r="CR24" s="881"/>
      <c r="CS24" s="881"/>
      <c r="CT24" s="881"/>
      <c r="CU24" s="881"/>
      <c r="CV24" s="1027"/>
      <c r="CW24" s="27"/>
      <c r="DA24" s="280" t="s">
        <v>2916</v>
      </c>
      <c r="DB24" s="248">
        <f>'VETS-701A Demographics Summary'!B54</f>
        <v>0</v>
      </c>
      <c r="DC24" s="248">
        <f>'VETS-701A Demographics Summary'!B54+'VETS-701A Demographics Summary'!G54</f>
        <v>0</v>
      </c>
      <c r="DD24" s="248">
        <f>'VETS-701A Demographics Summary'!B54+'VETS-701A Demographics Summary'!G54+'VETS-701A Demographics Summary'!L54</f>
        <v>0</v>
      </c>
      <c r="DE24" s="248">
        <f>'VETS-701A Demographics Summary'!B54+'VETS-701A Demographics Summary'!G54+'VETS-701A Demographics Summary'!L54+'VETS-701A Demographics Summary'!Q54</f>
        <v>0</v>
      </c>
      <c r="DF24" s="248">
        <f>DE24</f>
        <v>0</v>
      </c>
      <c r="DG24" s="248">
        <f>DE24</f>
        <v>0</v>
      </c>
      <c r="DH24" s="248">
        <f>DE24</f>
        <v>0</v>
      </c>
      <c r="DI24" s="248">
        <f>DE24</f>
        <v>0</v>
      </c>
      <c r="DJ24" s="258">
        <f t="shared" ca="1" si="5"/>
        <v>0</v>
      </c>
    </row>
    <row r="25" spans="1:114" ht="15.75" customHeight="1" x14ac:dyDescent="0.6">
      <c r="A25" s="1032" t="s">
        <v>2834</v>
      </c>
      <c r="B25" s="1033"/>
      <c r="C25" s="92" t="s">
        <v>2644</v>
      </c>
      <c r="D25" s="1034" t="s">
        <v>2511</v>
      </c>
      <c r="E25" s="1035"/>
      <c r="F25" s="1035"/>
      <c r="G25" s="1035"/>
      <c r="H25" s="1035"/>
      <c r="I25" s="1035"/>
      <c r="J25" s="1035"/>
      <c r="K25" s="1035"/>
      <c r="L25" s="1035"/>
      <c r="M25" s="1035"/>
      <c r="N25" s="1035"/>
      <c r="O25" s="1035"/>
      <c r="P25" s="1035"/>
      <c r="Q25" s="1035"/>
      <c r="R25" s="1035"/>
      <c r="S25" s="1035"/>
      <c r="T25" s="1035"/>
      <c r="U25" s="1035"/>
      <c r="V25" s="1035"/>
      <c r="W25" s="1035"/>
      <c r="X25" s="1035"/>
      <c r="Y25" s="1035"/>
      <c r="Z25" s="1035"/>
      <c r="AA25" s="1036"/>
      <c r="AB25" s="88"/>
      <c r="AC25" s="1039">
        <f>'VETS-701A Demographics Summary'!B49</f>
        <v>0</v>
      </c>
      <c r="AD25" s="1040"/>
      <c r="AE25" s="1040"/>
      <c r="AF25" s="1040"/>
      <c r="AG25" s="1040"/>
      <c r="AH25" s="1040"/>
      <c r="AI25" s="919"/>
      <c r="AJ25" s="1024"/>
      <c r="AK25" s="1041">
        <f>'VETS-701A Demographics Summary'!G49</f>
        <v>0</v>
      </c>
      <c r="AL25" s="1040"/>
      <c r="AM25" s="1040"/>
      <c r="AN25" s="1040"/>
      <c r="AO25" s="1040"/>
      <c r="AP25" s="1040"/>
      <c r="AQ25" s="1040"/>
      <c r="AR25" s="1026"/>
      <c r="AS25" s="1041">
        <f>'VETS-701A Demographics Summary'!L49</f>
        <v>0</v>
      </c>
      <c r="AT25" s="1040"/>
      <c r="AU25" s="1040"/>
      <c r="AV25" s="1040"/>
      <c r="AW25" s="1040"/>
      <c r="AX25" s="1040"/>
      <c r="AY25" s="919"/>
      <c r="AZ25" s="1024"/>
      <c r="BA25" s="1041">
        <f>'VETS-701A Demographics Summary'!Q49</f>
        <v>0</v>
      </c>
      <c r="BB25" s="1040"/>
      <c r="BC25" s="1040"/>
      <c r="BD25" s="1040"/>
      <c r="BE25" s="1040"/>
      <c r="BF25" s="1040"/>
      <c r="BG25" s="919"/>
      <c r="BH25" s="459"/>
      <c r="BI25" s="847"/>
      <c r="BJ25" s="848"/>
      <c r="BK25" s="848"/>
      <c r="BL25" s="848"/>
      <c r="BM25" s="848"/>
      <c r="BN25" s="848"/>
      <c r="BO25" s="848"/>
      <c r="BP25" s="849"/>
      <c r="BQ25" s="764"/>
      <c r="BR25" s="765"/>
      <c r="BS25" s="765"/>
      <c r="BT25" s="765"/>
      <c r="BU25" s="765"/>
      <c r="BV25" s="765"/>
      <c r="BW25" s="765"/>
      <c r="BX25" s="766"/>
      <c r="BY25" s="764"/>
      <c r="BZ25" s="765"/>
      <c r="CA25" s="765"/>
      <c r="CB25" s="765"/>
      <c r="CC25" s="765"/>
      <c r="CD25" s="765"/>
      <c r="CE25" s="765"/>
      <c r="CF25" s="766"/>
      <c r="CG25" s="764"/>
      <c r="CH25" s="765"/>
      <c r="CI25" s="765"/>
      <c r="CJ25" s="765"/>
      <c r="CK25" s="765"/>
      <c r="CL25" s="765"/>
      <c r="CM25" s="765"/>
      <c r="CN25" s="828"/>
      <c r="CO25" s="1050">
        <f>IF(outReportQtr=1,AC25,IF(outReportQtr=2,AC25+AK25,IF(outReportQtr=3,AC25+AK25+AS25,AC25+AK25+AS25+BA25)))</f>
        <v>0</v>
      </c>
      <c r="CP25" s="1051"/>
      <c r="CQ25" s="1051"/>
      <c r="CR25" s="1051"/>
      <c r="CS25" s="1051"/>
      <c r="CT25" s="1051"/>
      <c r="CU25" s="1051"/>
      <c r="CV25" s="1035"/>
      <c r="CW25" s="27"/>
      <c r="DA25" s="277" t="s">
        <v>2874</v>
      </c>
      <c r="DB25" s="278">
        <f>'VETS-701A Demographics Summary'!B49</f>
        <v>0</v>
      </c>
      <c r="DC25" s="278">
        <f>'VETS-701A Demographics Summary'!B49+'VETS-701A Demographics Summary'!G49</f>
        <v>0</v>
      </c>
      <c r="DD25" s="278">
        <f>'VETS-701A Demographics Summary'!B49+'VETS-701A Demographics Summary'!G49+'VETS-701A Demographics Summary'!L49</f>
        <v>0</v>
      </c>
      <c r="DE25" s="278">
        <f>'VETS-701A Demographics Summary'!B49+'VETS-701A Demographics Summary'!G49+'VETS-701A Demographics Summary'!L49+'VETS-701A Demographics Summary'!Q49</f>
        <v>0</v>
      </c>
      <c r="DF25" s="278">
        <f>DE25</f>
        <v>0</v>
      </c>
      <c r="DG25" s="278">
        <f>DE25</f>
        <v>0</v>
      </c>
      <c r="DH25" s="278">
        <f>DE25</f>
        <v>0</v>
      </c>
      <c r="DI25" s="278">
        <f>DE25</f>
        <v>0</v>
      </c>
      <c r="DJ25" s="279">
        <f t="shared" ca="1" si="5"/>
        <v>0</v>
      </c>
    </row>
    <row r="26" spans="1:114" ht="15.75" customHeight="1" x14ac:dyDescent="0.6">
      <c r="A26" s="1029"/>
      <c r="B26" s="1029"/>
      <c r="C26" s="91" t="s">
        <v>2645</v>
      </c>
      <c r="D26" s="1037" t="s">
        <v>2512</v>
      </c>
      <c r="E26" s="1038"/>
      <c r="F26" s="1038"/>
      <c r="G26" s="1038"/>
      <c r="H26" s="1038"/>
      <c r="I26" s="1038"/>
      <c r="J26" s="1038"/>
      <c r="K26" s="1038"/>
      <c r="L26" s="1038"/>
      <c r="M26" s="1038"/>
      <c r="N26" s="1038"/>
      <c r="O26" s="1038"/>
      <c r="P26" s="1038"/>
      <c r="Q26" s="1038"/>
      <c r="R26" s="1038"/>
      <c r="S26" s="1038"/>
      <c r="T26" s="1038"/>
      <c r="U26" s="1038"/>
      <c r="V26" s="1038"/>
      <c r="W26" s="1038"/>
      <c r="X26" s="1038"/>
      <c r="Y26" s="1038"/>
      <c r="Z26" s="1038"/>
      <c r="AA26" s="1038"/>
      <c r="AB26" s="88"/>
      <c r="AC26" s="1039">
        <f>'VETS-701A Demographics Summary'!C49</f>
        <v>0</v>
      </c>
      <c r="AD26" s="1040"/>
      <c r="AE26" s="1040"/>
      <c r="AF26" s="1040"/>
      <c r="AG26" s="1040"/>
      <c r="AH26" s="1040"/>
      <c r="AI26" s="919"/>
      <c r="AJ26" s="1024"/>
      <c r="AK26" s="1041">
        <f>'VETS-701A Demographics Summary'!H49</f>
        <v>0</v>
      </c>
      <c r="AL26" s="1040"/>
      <c r="AM26" s="1040"/>
      <c r="AN26" s="1040"/>
      <c r="AO26" s="1040"/>
      <c r="AP26" s="1040"/>
      <c r="AQ26" s="1040"/>
      <c r="AR26" s="1026"/>
      <c r="AS26" s="1041">
        <f>'VETS-701A Demographics Summary'!M49</f>
        <v>0</v>
      </c>
      <c r="AT26" s="1040"/>
      <c r="AU26" s="1040"/>
      <c r="AV26" s="1040"/>
      <c r="AW26" s="1040"/>
      <c r="AX26" s="1040"/>
      <c r="AY26" s="919"/>
      <c r="AZ26" s="1024"/>
      <c r="BA26" s="1041">
        <f>'VETS-701A Demographics Summary'!R49</f>
        <v>0</v>
      </c>
      <c r="BB26" s="1040"/>
      <c r="BC26" s="1040"/>
      <c r="BD26" s="1040"/>
      <c r="BE26" s="1040"/>
      <c r="BF26" s="1040"/>
      <c r="BG26" s="919"/>
      <c r="BH26" s="459"/>
      <c r="BI26" s="803"/>
      <c r="BJ26" s="786"/>
      <c r="BK26" s="786"/>
      <c r="BL26" s="786"/>
      <c r="BM26" s="786"/>
      <c r="BN26" s="786"/>
      <c r="BO26" s="786"/>
      <c r="BP26" s="804"/>
      <c r="BQ26" s="767"/>
      <c r="BR26" s="768"/>
      <c r="BS26" s="768"/>
      <c r="BT26" s="768"/>
      <c r="BU26" s="768"/>
      <c r="BV26" s="768"/>
      <c r="BW26" s="768"/>
      <c r="BX26" s="769"/>
      <c r="BY26" s="767"/>
      <c r="BZ26" s="768"/>
      <c r="CA26" s="768"/>
      <c r="CB26" s="768"/>
      <c r="CC26" s="768"/>
      <c r="CD26" s="768"/>
      <c r="CE26" s="768"/>
      <c r="CF26" s="769"/>
      <c r="CG26" s="841"/>
      <c r="CH26" s="842"/>
      <c r="CI26" s="842"/>
      <c r="CJ26" s="842"/>
      <c r="CK26" s="842"/>
      <c r="CL26" s="842"/>
      <c r="CM26" s="842"/>
      <c r="CN26" s="843"/>
      <c r="CO26" s="832">
        <f>IF(outReportQtr=1,AC26,IF(outReportQtr=2,AC26+AK26,IF(outReportQtr=3,AC26+AK26+AS26,AC26+AK26+AS26+BA26)))</f>
        <v>0</v>
      </c>
      <c r="CP26" s="833"/>
      <c r="CQ26" s="833"/>
      <c r="CR26" s="833"/>
      <c r="CS26" s="833"/>
      <c r="CT26" s="833"/>
      <c r="CU26" s="833"/>
      <c r="CV26" s="834"/>
      <c r="CW26" s="27"/>
      <c r="DA26" s="260" t="s">
        <v>2875</v>
      </c>
      <c r="DB26" s="248">
        <f>'VETS-701A Demographics Summary'!C49</f>
        <v>0</v>
      </c>
      <c r="DC26" s="248">
        <f>'VETS-701A Demographics Summary'!C49+'VETS-701A Demographics Summary'!H49</f>
        <v>0</v>
      </c>
      <c r="DD26" s="248">
        <f>'VETS-701A Demographics Summary'!C49+'VETS-701A Demographics Summary'!H49+'VETS-701A Demographics Summary'!M49</f>
        <v>0</v>
      </c>
      <c r="DE26" s="248">
        <f>'VETS-701A Demographics Summary'!C49+'VETS-701A Demographics Summary'!H49+'VETS-701A Demographics Summary'!M49+'VETS-701A Demographics Summary'!R49</f>
        <v>0</v>
      </c>
      <c r="DF26" s="248">
        <f>DE26</f>
        <v>0</v>
      </c>
      <c r="DG26" s="248">
        <f>DE26</f>
        <v>0</v>
      </c>
      <c r="DH26" s="248">
        <f>DE26</f>
        <v>0</v>
      </c>
      <c r="DI26" s="248">
        <f>DE26</f>
        <v>0</v>
      </c>
      <c r="DJ26" s="258">
        <f t="shared" ca="1" si="5"/>
        <v>0</v>
      </c>
    </row>
    <row r="27" spans="1:114" ht="15.75" customHeight="1" x14ac:dyDescent="0.6">
      <c r="A27" s="1029"/>
      <c r="B27" s="1029"/>
      <c r="C27" s="91" t="s">
        <v>2646</v>
      </c>
      <c r="D27" s="943" t="s">
        <v>2513</v>
      </c>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88"/>
      <c r="AC27" s="1039">
        <f>'VETS-701A Demographics Summary'!D49</f>
        <v>0</v>
      </c>
      <c r="AD27" s="1040"/>
      <c r="AE27" s="1040"/>
      <c r="AF27" s="1040"/>
      <c r="AG27" s="1040"/>
      <c r="AH27" s="1040"/>
      <c r="AI27" s="919"/>
      <c r="AJ27" s="1024"/>
      <c r="AK27" s="1041">
        <f>'VETS-701A Demographics Summary'!I49</f>
        <v>0</v>
      </c>
      <c r="AL27" s="1040"/>
      <c r="AM27" s="1040"/>
      <c r="AN27" s="1040"/>
      <c r="AO27" s="1040"/>
      <c r="AP27" s="1040"/>
      <c r="AQ27" s="1040"/>
      <c r="AR27" s="1026"/>
      <c r="AS27" s="1041">
        <f>'VETS-701A Demographics Summary'!N49</f>
        <v>0</v>
      </c>
      <c r="AT27" s="1040"/>
      <c r="AU27" s="1040"/>
      <c r="AV27" s="1040"/>
      <c r="AW27" s="1040"/>
      <c r="AX27" s="1040"/>
      <c r="AY27" s="919"/>
      <c r="AZ27" s="1024"/>
      <c r="BA27" s="1041">
        <f>'VETS-701A Demographics Summary'!S49</f>
        <v>0</v>
      </c>
      <c r="BB27" s="1040"/>
      <c r="BC27" s="1040"/>
      <c r="BD27" s="1040"/>
      <c r="BE27" s="1040"/>
      <c r="BF27" s="1040"/>
      <c r="BG27" s="919"/>
      <c r="BH27" s="459"/>
      <c r="BI27" s="803"/>
      <c r="BJ27" s="786"/>
      <c r="BK27" s="786"/>
      <c r="BL27" s="786"/>
      <c r="BM27" s="786"/>
      <c r="BN27" s="786"/>
      <c r="BO27" s="786"/>
      <c r="BP27" s="804"/>
      <c r="BQ27" s="767"/>
      <c r="BR27" s="768"/>
      <c r="BS27" s="768"/>
      <c r="BT27" s="768"/>
      <c r="BU27" s="768"/>
      <c r="BV27" s="768"/>
      <c r="BW27" s="768"/>
      <c r="BX27" s="769"/>
      <c r="BY27" s="767"/>
      <c r="BZ27" s="768"/>
      <c r="CA27" s="768"/>
      <c r="CB27" s="768"/>
      <c r="CC27" s="768"/>
      <c r="CD27" s="768"/>
      <c r="CE27" s="768"/>
      <c r="CF27" s="769"/>
      <c r="CG27" s="767"/>
      <c r="CH27" s="768"/>
      <c r="CI27" s="768"/>
      <c r="CJ27" s="768"/>
      <c r="CK27" s="768"/>
      <c r="CL27" s="768"/>
      <c r="CM27" s="768"/>
      <c r="CN27" s="821"/>
      <c r="CO27" s="832">
        <f>IF(outReportQtr=1,AC27,IF(outReportQtr=2,AC27+AK27,IF(outReportQtr=3,AC27+AK27+AS27,AC27+AK27+AS27+BA27)))</f>
        <v>0</v>
      </c>
      <c r="CP27" s="833"/>
      <c r="CQ27" s="833"/>
      <c r="CR27" s="833"/>
      <c r="CS27" s="833"/>
      <c r="CT27" s="833"/>
      <c r="CU27" s="833"/>
      <c r="CV27" s="834"/>
      <c r="CW27" s="27"/>
      <c r="DA27" s="260" t="s">
        <v>2877</v>
      </c>
      <c r="DB27" s="248">
        <f>'VETS-701A Demographics Summary'!D49</f>
        <v>0</v>
      </c>
      <c r="DC27" s="248">
        <f>'VETS-701A Demographics Summary'!D49+'VETS-701A Demographics Summary'!I49</f>
        <v>0</v>
      </c>
      <c r="DD27" s="248">
        <f>'VETS-701A Demographics Summary'!D49+'VETS-701A Demographics Summary'!I49+'VETS-701A Demographics Summary'!N49</f>
        <v>0</v>
      </c>
      <c r="DE27" s="248">
        <f>'VETS-701A Demographics Summary'!D49+'VETS-701A Demographics Summary'!I49+'VETS-701A Demographics Summary'!N49+'VETS-701A Demographics Summary'!S49</f>
        <v>0</v>
      </c>
      <c r="DF27" s="248">
        <f>DE27</f>
        <v>0</v>
      </c>
      <c r="DG27" s="248">
        <f>DE27</f>
        <v>0</v>
      </c>
      <c r="DH27" s="248">
        <f>DE27</f>
        <v>0</v>
      </c>
      <c r="DI27" s="248">
        <f>DE27</f>
        <v>0</v>
      </c>
      <c r="DJ27" s="258">
        <f t="shared" ca="1" si="5"/>
        <v>0</v>
      </c>
    </row>
    <row r="28" spans="1:114" ht="15.75" customHeight="1" x14ac:dyDescent="0.6">
      <c r="A28" s="1029"/>
      <c r="B28" s="1029"/>
      <c r="C28" s="91" t="s">
        <v>2647</v>
      </c>
      <c r="D28" s="943" t="s">
        <v>2515</v>
      </c>
      <c r="E28" s="919"/>
      <c r="F28" s="919"/>
      <c r="G28" s="919"/>
      <c r="H28" s="919"/>
      <c r="I28" s="919"/>
      <c r="J28" s="919"/>
      <c r="K28" s="919"/>
      <c r="L28" s="919"/>
      <c r="M28" s="919"/>
      <c r="N28" s="919"/>
      <c r="O28" s="919"/>
      <c r="P28" s="919"/>
      <c r="Q28" s="919"/>
      <c r="R28" s="919"/>
      <c r="S28" s="919"/>
      <c r="T28" s="919"/>
      <c r="U28" s="919"/>
      <c r="V28" s="919"/>
      <c r="W28" s="919"/>
      <c r="X28" s="919"/>
      <c r="Y28" s="919"/>
      <c r="Z28" s="919"/>
      <c r="AA28" s="919"/>
      <c r="AB28" s="88">
        <f ca="1">IF(DJ28&gt;='VETS-700 Planned Goals'!DI36,1,IF(AND(outReportQtr&gt;=2,outReportQtr&lt;=3,'VETS-700 Planned Goals'!DI36*0.85&gt;DJ28),-1,0))</f>
        <v>1</v>
      </c>
      <c r="AC28" s="1138">
        <f>IF('VETS-701A Demographics Summary'!C49&gt;0,'VETS-701A Demographics Summary'!D49/'VETS-701A Demographics Summary'!C49,0)</f>
        <v>0</v>
      </c>
      <c r="AD28" s="1131"/>
      <c r="AE28" s="1131"/>
      <c r="AF28" s="1131"/>
      <c r="AG28" s="1131"/>
      <c r="AH28" s="1131"/>
      <c r="AI28" s="1132"/>
      <c r="AJ28" s="1139"/>
      <c r="AK28" s="1130">
        <f>IF('VETS-701A Demographics Summary'!H49&gt;0,'VETS-701A Demographics Summary'!I49/'VETS-701A Demographics Summary'!H49,0)</f>
        <v>0</v>
      </c>
      <c r="AL28" s="1131"/>
      <c r="AM28" s="1131"/>
      <c r="AN28" s="1131"/>
      <c r="AO28" s="1131"/>
      <c r="AP28" s="1131"/>
      <c r="AQ28" s="1131"/>
      <c r="AR28" s="1140"/>
      <c r="AS28" s="1130">
        <f>IF('VETS-701A Demographics Summary'!M49&gt;0,'VETS-701A Demographics Summary'!N49/'VETS-701A Demographics Summary'!M49,0)</f>
        <v>0</v>
      </c>
      <c r="AT28" s="1131"/>
      <c r="AU28" s="1131"/>
      <c r="AV28" s="1131"/>
      <c r="AW28" s="1131"/>
      <c r="AX28" s="1131"/>
      <c r="AY28" s="1132"/>
      <c r="AZ28" s="1139"/>
      <c r="BA28" s="1130">
        <f>IF('VETS-701A Demographics Summary'!R49&gt;0,'VETS-701A Demographics Summary'!S49/'VETS-701A Demographics Summary'!R49,0)</f>
        <v>0</v>
      </c>
      <c r="BB28" s="1131"/>
      <c r="BC28" s="1131"/>
      <c r="BD28" s="1131"/>
      <c r="BE28" s="1131"/>
      <c r="BF28" s="1131"/>
      <c r="BG28" s="1132"/>
      <c r="BH28" s="1133"/>
      <c r="BI28" s="773"/>
      <c r="BJ28" s="774"/>
      <c r="BK28" s="774"/>
      <c r="BL28" s="774"/>
      <c r="BM28" s="774"/>
      <c r="BN28" s="774"/>
      <c r="BO28" s="774"/>
      <c r="BP28" s="775"/>
      <c r="BQ28" s="770"/>
      <c r="BR28" s="771"/>
      <c r="BS28" s="771"/>
      <c r="BT28" s="771"/>
      <c r="BU28" s="771"/>
      <c r="BV28" s="771"/>
      <c r="BW28" s="771"/>
      <c r="BX28" s="772"/>
      <c r="BY28" s="770"/>
      <c r="BZ28" s="771"/>
      <c r="CA28" s="771"/>
      <c r="CB28" s="771"/>
      <c r="CC28" s="771"/>
      <c r="CD28" s="771"/>
      <c r="CE28" s="771"/>
      <c r="CF28" s="772"/>
      <c r="CG28" s="770"/>
      <c r="CH28" s="771"/>
      <c r="CI28" s="771"/>
      <c r="CJ28" s="771"/>
      <c r="CK28" s="771"/>
      <c r="CL28" s="771"/>
      <c r="CM28" s="771"/>
      <c r="CN28" s="829"/>
      <c r="CO28" s="960">
        <f>IF(CO26&gt;0,CO27/CO26,0)</f>
        <v>0</v>
      </c>
      <c r="CP28" s="961"/>
      <c r="CQ28" s="961"/>
      <c r="CR28" s="961"/>
      <c r="CS28" s="961"/>
      <c r="CT28" s="961"/>
      <c r="CU28" s="961"/>
      <c r="CV28" s="1049"/>
      <c r="CW28" s="27"/>
      <c r="DA28" s="260" t="s">
        <v>2876</v>
      </c>
      <c r="DB28" s="262">
        <f>IF(DB26&gt;0,DB27/DB26,0)</f>
        <v>0</v>
      </c>
      <c r="DC28" s="262">
        <f t="shared" ref="DC28:DI28" si="11">IF(DC26&gt;0,DC27/DC26,0)</f>
        <v>0</v>
      </c>
      <c r="DD28" s="262">
        <f t="shared" si="11"/>
        <v>0</v>
      </c>
      <c r="DE28" s="262">
        <f t="shared" si="11"/>
        <v>0</v>
      </c>
      <c r="DF28" s="262">
        <f t="shared" si="11"/>
        <v>0</v>
      </c>
      <c r="DG28" s="262">
        <f t="shared" si="11"/>
        <v>0</v>
      </c>
      <c r="DH28" s="262">
        <f t="shared" si="11"/>
        <v>0</v>
      </c>
      <c r="DI28" s="262">
        <f t="shared" si="11"/>
        <v>0</v>
      </c>
      <c r="DJ28" s="258">
        <f t="shared" ca="1" si="5"/>
        <v>0</v>
      </c>
    </row>
    <row r="29" spans="1:114" ht="15.75" customHeight="1" x14ac:dyDescent="0.6">
      <c r="A29" s="1012" t="s">
        <v>2835</v>
      </c>
      <c r="B29" s="1013"/>
      <c r="C29" s="93" t="s">
        <v>2648</v>
      </c>
      <c r="D29" s="941" t="s">
        <v>2621</v>
      </c>
      <c r="E29" s="942"/>
      <c r="F29" s="942"/>
      <c r="G29" s="942"/>
      <c r="H29" s="942"/>
      <c r="I29" s="942"/>
      <c r="J29" s="942"/>
      <c r="K29" s="942"/>
      <c r="L29" s="942"/>
      <c r="M29" s="942"/>
      <c r="N29" s="942"/>
      <c r="O29" s="942"/>
      <c r="P29" s="942"/>
      <c r="Q29" s="942"/>
      <c r="R29" s="942"/>
      <c r="S29" s="942"/>
      <c r="T29" s="942"/>
      <c r="U29" s="942"/>
      <c r="V29" s="942"/>
      <c r="W29" s="942"/>
      <c r="X29" s="942"/>
      <c r="Y29" s="942"/>
      <c r="Z29" s="942"/>
      <c r="AA29" s="942"/>
      <c r="AB29" s="88"/>
      <c r="AC29" s="1022">
        <f>'VETS-701A Demographics Summary'!B53</f>
        <v>0</v>
      </c>
      <c r="AD29" s="1023"/>
      <c r="AE29" s="1023"/>
      <c r="AF29" s="1023"/>
      <c r="AG29" s="1023"/>
      <c r="AH29" s="1023"/>
      <c r="AI29" s="942"/>
      <c r="AJ29" s="1024"/>
      <c r="AK29" s="1025">
        <f>'VETS-701A Demographics Summary'!G53</f>
        <v>0</v>
      </c>
      <c r="AL29" s="1023"/>
      <c r="AM29" s="1023"/>
      <c r="AN29" s="1023"/>
      <c r="AO29" s="1023"/>
      <c r="AP29" s="1023"/>
      <c r="AQ29" s="1023"/>
      <c r="AR29" s="1026"/>
      <c r="AS29" s="1025">
        <f>'VETS-701A Demographics Summary'!L53</f>
        <v>0</v>
      </c>
      <c r="AT29" s="1023"/>
      <c r="AU29" s="1023"/>
      <c r="AV29" s="1023"/>
      <c r="AW29" s="1023"/>
      <c r="AX29" s="1023"/>
      <c r="AY29" s="942"/>
      <c r="AZ29" s="1024"/>
      <c r="BA29" s="1025">
        <f>'VETS-701A Demographics Summary'!Q53</f>
        <v>0</v>
      </c>
      <c r="BB29" s="1023"/>
      <c r="BC29" s="1023"/>
      <c r="BD29" s="1023"/>
      <c r="BE29" s="1023"/>
      <c r="BF29" s="1023"/>
      <c r="BG29" s="942"/>
      <c r="BH29" s="459"/>
      <c r="BI29" s="847"/>
      <c r="BJ29" s="848"/>
      <c r="BK29" s="848"/>
      <c r="BL29" s="848"/>
      <c r="BM29" s="848"/>
      <c r="BN29" s="848"/>
      <c r="BO29" s="848"/>
      <c r="BP29" s="849"/>
      <c r="BQ29" s="764"/>
      <c r="BR29" s="765"/>
      <c r="BS29" s="765"/>
      <c r="BT29" s="765"/>
      <c r="BU29" s="765"/>
      <c r="BV29" s="765"/>
      <c r="BW29" s="765"/>
      <c r="BX29" s="766"/>
      <c r="BY29" s="764"/>
      <c r="BZ29" s="765"/>
      <c r="CA29" s="765"/>
      <c r="CB29" s="765"/>
      <c r="CC29" s="765"/>
      <c r="CD29" s="765"/>
      <c r="CE29" s="765"/>
      <c r="CF29" s="766"/>
      <c r="CG29" s="764"/>
      <c r="CH29" s="765"/>
      <c r="CI29" s="765"/>
      <c r="CJ29" s="765"/>
      <c r="CK29" s="765"/>
      <c r="CL29" s="765"/>
      <c r="CM29" s="765"/>
      <c r="CN29" s="828"/>
      <c r="CO29" s="1052">
        <f>IF(outReportQtr=1,AC29,IF(outReportQtr=2,AC29+AK29,IF(outReportQtr=3,AC29+AK29+AS29,AC29+AK29+AS29+BA29)))</f>
        <v>0</v>
      </c>
      <c r="CP29" s="1053"/>
      <c r="CQ29" s="1053"/>
      <c r="CR29" s="1053"/>
      <c r="CS29" s="1053"/>
      <c r="CT29" s="1053"/>
      <c r="CU29" s="1053"/>
      <c r="CV29" s="1054"/>
      <c r="CW29" s="27"/>
      <c r="DA29" s="260" t="s">
        <v>2914</v>
      </c>
      <c r="DB29" s="263">
        <f>'VETS-701A Demographics Summary'!B8</f>
        <v>0</v>
      </c>
      <c r="DC29" s="263">
        <f>'VETS-701A Demographics Summary'!B8+'VETS-701A Demographics Summary'!G8</f>
        <v>0</v>
      </c>
      <c r="DD29" s="263">
        <f>'VETS-701A Demographics Summary'!B8+'VETS-701A Demographics Summary'!G8+'VETS-701A Demographics Summary'!L8</f>
        <v>0</v>
      </c>
      <c r="DE29" s="263">
        <f>'VETS-701A Demographics Summary'!B8+'VETS-701A Demographics Summary'!G8+'VETS-701A Demographics Summary'!L8+'VETS-701A Demographics Summary'!Q8</f>
        <v>0</v>
      </c>
      <c r="DF29" s="263">
        <f>DE29</f>
        <v>0</v>
      </c>
      <c r="DG29" s="263">
        <f>DE29</f>
        <v>0</v>
      </c>
      <c r="DH29" s="263">
        <f>DE29</f>
        <v>0</v>
      </c>
      <c r="DI29" s="263">
        <f>DE29</f>
        <v>0</v>
      </c>
      <c r="DJ29" s="258">
        <f t="shared" ca="1" si="5"/>
        <v>0</v>
      </c>
    </row>
    <row r="30" spans="1:114" ht="15.75" customHeight="1" x14ac:dyDescent="0.6">
      <c r="A30" s="1013"/>
      <c r="B30" s="1013"/>
      <c r="C30" s="93" t="s">
        <v>2649</v>
      </c>
      <c r="D30" s="941" t="s">
        <v>2622</v>
      </c>
      <c r="E30" s="942"/>
      <c r="F30" s="942"/>
      <c r="G30" s="942"/>
      <c r="H30" s="942"/>
      <c r="I30" s="942"/>
      <c r="J30" s="942"/>
      <c r="K30" s="942"/>
      <c r="L30" s="942"/>
      <c r="M30" s="942"/>
      <c r="N30" s="942"/>
      <c r="O30" s="942"/>
      <c r="P30" s="942"/>
      <c r="Q30" s="942"/>
      <c r="R30" s="942"/>
      <c r="S30" s="942"/>
      <c r="T30" s="942"/>
      <c r="U30" s="942"/>
      <c r="V30" s="942"/>
      <c r="W30" s="942"/>
      <c r="X30" s="942"/>
      <c r="Y30" s="942"/>
      <c r="Z30" s="942"/>
      <c r="AA30" s="942"/>
      <c r="AB30" s="88"/>
      <c r="AC30" s="1022">
        <f>'VETS-701A Demographics Summary'!C53</f>
        <v>0</v>
      </c>
      <c r="AD30" s="1023"/>
      <c r="AE30" s="1023"/>
      <c r="AF30" s="1023"/>
      <c r="AG30" s="1023"/>
      <c r="AH30" s="1023"/>
      <c r="AI30" s="942"/>
      <c r="AJ30" s="1024"/>
      <c r="AK30" s="1025">
        <f>'VETS-701A Demographics Summary'!H53</f>
        <v>0</v>
      </c>
      <c r="AL30" s="1023"/>
      <c r="AM30" s="1023"/>
      <c r="AN30" s="1023"/>
      <c r="AO30" s="1023"/>
      <c r="AP30" s="1023"/>
      <c r="AQ30" s="1023"/>
      <c r="AR30" s="1026"/>
      <c r="AS30" s="1025">
        <f>'VETS-701A Demographics Summary'!M53</f>
        <v>0</v>
      </c>
      <c r="AT30" s="1023"/>
      <c r="AU30" s="1023"/>
      <c r="AV30" s="1023"/>
      <c r="AW30" s="1023"/>
      <c r="AX30" s="1023"/>
      <c r="AY30" s="942"/>
      <c r="AZ30" s="1024"/>
      <c r="BA30" s="1025">
        <f>'VETS-701A Demographics Summary'!R53</f>
        <v>0</v>
      </c>
      <c r="BB30" s="1023"/>
      <c r="BC30" s="1023"/>
      <c r="BD30" s="1023"/>
      <c r="BE30" s="1023"/>
      <c r="BF30" s="1023"/>
      <c r="BG30" s="942"/>
      <c r="BH30" s="459"/>
      <c r="BI30" s="803"/>
      <c r="BJ30" s="786"/>
      <c r="BK30" s="786"/>
      <c r="BL30" s="786"/>
      <c r="BM30" s="786"/>
      <c r="BN30" s="786"/>
      <c r="BO30" s="786"/>
      <c r="BP30" s="804"/>
      <c r="BQ30" s="767"/>
      <c r="BR30" s="768"/>
      <c r="BS30" s="768"/>
      <c r="BT30" s="768"/>
      <c r="BU30" s="768"/>
      <c r="BV30" s="768"/>
      <c r="BW30" s="768"/>
      <c r="BX30" s="769"/>
      <c r="BY30" s="767"/>
      <c r="BZ30" s="768"/>
      <c r="CA30" s="768"/>
      <c r="CB30" s="768"/>
      <c r="CC30" s="768"/>
      <c r="CD30" s="768"/>
      <c r="CE30" s="768"/>
      <c r="CF30" s="769"/>
      <c r="CG30" s="767"/>
      <c r="CH30" s="768"/>
      <c r="CI30" s="768"/>
      <c r="CJ30" s="768"/>
      <c r="CK30" s="768"/>
      <c r="CL30" s="768"/>
      <c r="CM30" s="768"/>
      <c r="CN30" s="821"/>
      <c r="CO30" s="1052">
        <f>IF(outReportQtr=1,AC30,IF(outReportQtr=2,AC30+AK30,IF(outReportQtr=3,AC30+AK30+AS30,AC30+AK30+AS30+BA30)))</f>
        <v>0</v>
      </c>
      <c r="CP30" s="1053"/>
      <c r="CQ30" s="1053"/>
      <c r="CR30" s="1053"/>
      <c r="CS30" s="1053"/>
      <c r="CT30" s="1053"/>
      <c r="CU30" s="1053"/>
      <c r="CV30" s="1054"/>
      <c r="CW30" s="27"/>
      <c r="DA30" s="260" t="s">
        <v>3084</v>
      </c>
      <c r="DB30" s="262"/>
      <c r="DC30" s="262"/>
      <c r="DD30" s="262"/>
      <c r="DE30" s="262"/>
      <c r="DF30" s="262"/>
      <c r="DG30" s="262"/>
      <c r="DH30" s="262"/>
      <c r="DI30" s="262"/>
      <c r="DJ30" s="258"/>
    </row>
    <row r="31" spans="1:114" ht="15.75" customHeight="1" x14ac:dyDescent="0.6">
      <c r="A31" s="1013"/>
      <c r="B31" s="1013"/>
      <c r="C31" s="93" t="s">
        <v>2650</v>
      </c>
      <c r="D31" s="941" t="s">
        <v>2623</v>
      </c>
      <c r="E31" s="942"/>
      <c r="F31" s="942"/>
      <c r="G31" s="942"/>
      <c r="H31" s="942"/>
      <c r="I31" s="942"/>
      <c r="J31" s="942"/>
      <c r="K31" s="942"/>
      <c r="L31" s="942"/>
      <c r="M31" s="942"/>
      <c r="N31" s="942"/>
      <c r="O31" s="942"/>
      <c r="P31" s="942"/>
      <c r="Q31" s="942"/>
      <c r="R31" s="942"/>
      <c r="S31" s="942"/>
      <c r="T31" s="942"/>
      <c r="U31" s="942"/>
      <c r="V31" s="942"/>
      <c r="W31" s="942"/>
      <c r="X31" s="942"/>
      <c r="Y31" s="942"/>
      <c r="Z31" s="942"/>
      <c r="AA31" s="942"/>
      <c r="AB31" s="88"/>
      <c r="AC31" s="880">
        <f>'VETS-701A Demographics Summary'!D53</f>
        <v>0</v>
      </c>
      <c r="AD31" s="881"/>
      <c r="AE31" s="881"/>
      <c r="AF31" s="881"/>
      <c r="AG31" s="881"/>
      <c r="AH31" s="881"/>
      <c r="AI31" s="1027"/>
      <c r="AJ31" s="853"/>
      <c r="AK31" s="880">
        <f>'VETS-701A Demographics Summary'!I53</f>
        <v>0</v>
      </c>
      <c r="AL31" s="881"/>
      <c r="AM31" s="881"/>
      <c r="AN31" s="881"/>
      <c r="AO31" s="881"/>
      <c r="AP31" s="881"/>
      <c r="AQ31" s="881"/>
      <c r="AR31" s="863"/>
      <c r="AS31" s="880">
        <f>'VETS-701A Demographics Summary'!N53</f>
        <v>0</v>
      </c>
      <c r="AT31" s="881"/>
      <c r="AU31" s="881"/>
      <c r="AV31" s="881"/>
      <c r="AW31" s="881"/>
      <c r="AX31" s="881"/>
      <c r="AY31" s="1027"/>
      <c r="AZ31" s="853"/>
      <c r="BA31" s="880">
        <f>'VETS-701A Demographics Summary'!S53</f>
        <v>0</v>
      </c>
      <c r="BB31" s="881"/>
      <c r="BC31" s="881"/>
      <c r="BD31" s="881"/>
      <c r="BE31" s="881"/>
      <c r="BF31" s="881"/>
      <c r="BG31" s="1027"/>
      <c r="BH31" s="545"/>
      <c r="BI31" s="803"/>
      <c r="BJ31" s="786"/>
      <c r="BK31" s="786"/>
      <c r="BL31" s="786"/>
      <c r="BM31" s="786"/>
      <c r="BN31" s="786"/>
      <c r="BO31" s="786"/>
      <c r="BP31" s="804"/>
      <c r="BQ31" s="767"/>
      <c r="BR31" s="768"/>
      <c r="BS31" s="768"/>
      <c r="BT31" s="768"/>
      <c r="BU31" s="768"/>
      <c r="BV31" s="768"/>
      <c r="BW31" s="768"/>
      <c r="BX31" s="769"/>
      <c r="BY31" s="767"/>
      <c r="BZ31" s="768"/>
      <c r="CA31" s="768"/>
      <c r="CB31" s="768"/>
      <c r="CC31" s="768"/>
      <c r="CD31" s="768"/>
      <c r="CE31" s="768"/>
      <c r="CF31" s="769"/>
      <c r="CG31" s="767"/>
      <c r="CH31" s="768"/>
      <c r="CI31" s="768"/>
      <c r="CJ31" s="768"/>
      <c r="CK31" s="768"/>
      <c r="CL31" s="768"/>
      <c r="CM31" s="768"/>
      <c r="CN31" s="821"/>
      <c r="CO31" s="1052">
        <f>IF(outReportQtr=1,AC31,IF(outReportQtr=2,AC31+AK31,IF(outReportQtr=3,AC31+AK31+AS31,AC31+AK31+AS31+BA31)))</f>
        <v>0</v>
      </c>
      <c r="CP31" s="1053"/>
      <c r="CQ31" s="1053"/>
      <c r="CR31" s="1053"/>
      <c r="CS31" s="1053"/>
      <c r="CT31" s="1053"/>
      <c r="CU31" s="1053"/>
      <c r="CV31" s="1054"/>
      <c r="CW31" s="27"/>
      <c r="DA31" s="260" t="s">
        <v>3085</v>
      </c>
      <c r="DB31" s="262"/>
      <c r="DC31" s="262"/>
      <c r="DD31" s="262"/>
      <c r="DE31" s="262"/>
      <c r="DF31" s="262"/>
      <c r="DG31" s="262"/>
      <c r="DH31" s="262"/>
      <c r="DI31" s="262"/>
      <c r="DJ31" s="258"/>
    </row>
    <row r="32" spans="1:114" ht="15.75" customHeight="1" x14ac:dyDescent="0.6">
      <c r="A32" s="1013"/>
      <c r="B32" s="1013"/>
      <c r="C32" s="93" t="s">
        <v>2651</v>
      </c>
      <c r="D32" s="941" t="s">
        <v>2624</v>
      </c>
      <c r="E32" s="942"/>
      <c r="F32" s="942"/>
      <c r="G32" s="942"/>
      <c r="H32" s="942"/>
      <c r="I32" s="942"/>
      <c r="J32" s="942"/>
      <c r="K32" s="942"/>
      <c r="L32" s="942"/>
      <c r="M32" s="942"/>
      <c r="N32" s="942"/>
      <c r="O32" s="942"/>
      <c r="P32" s="942"/>
      <c r="Q32" s="942"/>
      <c r="R32" s="942"/>
      <c r="S32" s="942"/>
      <c r="T32" s="942"/>
      <c r="U32" s="942"/>
      <c r="V32" s="942"/>
      <c r="W32" s="942"/>
      <c r="X32" s="942"/>
      <c r="Y32" s="942"/>
      <c r="Z32" s="942"/>
      <c r="AA32" s="942"/>
      <c r="AB32" s="88"/>
      <c r="AC32" s="1082">
        <f>IF('VETS-701A Demographics Summary'!C53&gt;0,'VETS-701A Demographics Summary'!D53/'VETS-701A Demographics Summary'!C53,0)</f>
        <v>0</v>
      </c>
      <c r="AD32" s="1083"/>
      <c r="AE32" s="1083"/>
      <c r="AF32" s="1083"/>
      <c r="AG32" s="1083"/>
      <c r="AH32" s="1083"/>
      <c r="AI32" s="1084"/>
      <c r="AJ32" s="1085"/>
      <c r="AK32" s="1082">
        <f>IF('VETS-701A Demographics Summary'!H53&gt;0,'VETS-701A Demographics Summary'!I53/'VETS-701A Demographics Summary'!H53,0)</f>
        <v>0</v>
      </c>
      <c r="AL32" s="1083"/>
      <c r="AM32" s="1083"/>
      <c r="AN32" s="1083"/>
      <c r="AO32" s="1083"/>
      <c r="AP32" s="1083"/>
      <c r="AQ32" s="1083"/>
      <c r="AR32" s="1145"/>
      <c r="AS32" s="1082">
        <f>IF('VETS-701A Demographics Summary'!M53&gt;0,'VETS-701A Demographics Summary'!N53/'VETS-701A Demographics Summary'!M53,0)</f>
        <v>0</v>
      </c>
      <c r="AT32" s="1083"/>
      <c r="AU32" s="1083"/>
      <c r="AV32" s="1083"/>
      <c r="AW32" s="1083"/>
      <c r="AX32" s="1083"/>
      <c r="AY32" s="1084"/>
      <c r="AZ32" s="1085"/>
      <c r="BA32" s="1082">
        <f>IF('VETS-701A Demographics Summary'!R53&gt;0,'VETS-701A Demographics Summary'!S53/'VETS-701A Demographics Summary'!R53,0)</f>
        <v>0</v>
      </c>
      <c r="BB32" s="1083"/>
      <c r="BC32" s="1083"/>
      <c r="BD32" s="1083"/>
      <c r="BE32" s="1083"/>
      <c r="BF32" s="1083"/>
      <c r="BG32" s="1084"/>
      <c r="BH32" s="1086"/>
      <c r="BI32" s="773"/>
      <c r="BJ32" s="774"/>
      <c r="BK32" s="774"/>
      <c r="BL32" s="774"/>
      <c r="BM32" s="774"/>
      <c r="BN32" s="774"/>
      <c r="BO32" s="774"/>
      <c r="BP32" s="775"/>
      <c r="BQ32" s="770"/>
      <c r="BR32" s="771"/>
      <c r="BS32" s="771"/>
      <c r="BT32" s="771"/>
      <c r="BU32" s="771"/>
      <c r="BV32" s="771"/>
      <c r="BW32" s="771"/>
      <c r="BX32" s="772"/>
      <c r="BY32" s="770"/>
      <c r="BZ32" s="771"/>
      <c r="CA32" s="771"/>
      <c r="CB32" s="771"/>
      <c r="CC32" s="771"/>
      <c r="CD32" s="771"/>
      <c r="CE32" s="771"/>
      <c r="CF32" s="772"/>
      <c r="CG32" s="770"/>
      <c r="CH32" s="771"/>
      <c r="CI32" s="771"/>
      <c r="CJ32" s="771"/>
      <c r="CK32" s="771"/>
      <c r="CL32" s="771"/>
      <c r="CM32" s="771"/>
      <c r="CN32" s="829"/>
      <c r="CO32" s="1055">
        <f>IF(CO30&gt;0,CO31/CO30,0)</f>
        <v>0</v>
      </c>
      <c r="CP32" s="1056"/>
      <c r="CQ32" s="1056"/>
      <c r="CR32" s="1056"/>
      <c r="CS32" s="1056"/>
      <c r="CT32" s="1056"/>
      <c r="CU32" s="1056"/>
      <c r="CV32" s="1057"/>
      <c r="CW32" s="27"/>
      <c r="DA32" s="260" t="s">
        <v>3086</v>
      </c>
      <c r="DB32" s="262"/>
      <c r="DC32" s="262"/>
      <c r="DD32" s="262"/>
      <c r="DE32" s="262"/>
      <c r="DF32" s="262"/>
      <c r="DG32" s="262"/>
      <c r="DH32" s="262"/>
      <c r="DI32" s="262"/>
      <c r="DJ32" s="258"/>
    </row>
    <row r="33" spans="1:114" ht="15.6" x14ac:dyDescent="0.3">
      <c r="A33" s="1028" t="s">
        <v>2836</v>
      </c>
      <c r="B33" s="1029"/>
      <c r="C33" s="222" t="s">
        <v>2652</v>
      </c>
      <c r="D33" s="1030" t="s">
        <v>2628</v>
      </c>
      <c r="E33" s="1031"/>
      <c r="F33" s="1031"/>
      <c r="G33" s="1031"/>
      <c r="H33" s="1031"/>
      <c r="I33" s="1031"/>
      <c r="J33" s="1031"/>
      <c r="K33" s="1031"/>
      <c r="L33" s="1031"/>
      <c r="M33" s="1031"/>
      <c r="N33" s="1031"/>
      <c r="O33" s="1031"/>
      <c r="P33" s="1031"/>
      <c r="Q33" s="1031"/>
      <c r="R33" s="1031"/>
      <c r="S33" s="1031"/>
      <c r="T33" s="1031"/>
      <c r="U33" s="1031"/>
      <c r="V33" s="1031"/>
      <c r="W33" s="1031"/>
      <c r="X33" s="1031"/>
      <c r="Y33" s="1031"/>
      <c r="Z33" s="1031"/>
      <c r="AA33" s="1031"/>
      <c r="AB33" s="88"/>
      <c r="AC33" s="850">
        <f>'VETS-701A Demographics Summary'!B51</f>
        <v>0</v>
      </c>
      <c r="AD33" s="851"/>
      <c r="AE33" s="851"/>
      <c r="AF33" s="851"/>
      <c r="AG33" s="851"/>
      <c r="AH33" s="851"/>
      <c r="AI33" s="851"/>
      <c r="AJ33" s="851"/>
      <c r="AK33" s="850">
        <f>'VETS-701A Demographics Summary'!G51</f>
        <v>0</v>
      </c>
      <c r="AL33" s="851"/>
      <c r="AM33" s="851"/>
      <c r="AN33" s="851"/>
      <c r="AO33" s="851"/>
      <c r="AP33" s="851"/>
      <c r="AQ33" s="851"/>
      <c r="AR33" s="851"/>
      <c r="AS33" s="850">
        <f>'VETS-701A Demographics Summary'!L51</f>
        <v>0</v>
      </c>
      <c r="AT33" s="851"/>
      <c r="AU33" s="851"/>
      <c r="AV33" s="851"/>
      <c r="AW33" s="851"/>
      <c r="AX33" s="851"/>
      <c r="AY33" s="851"/>
      <c r="AZ33" s="851"/>
      <c r="BA33" s="850">
        <f>'VETS-701A Demographics Summary'!Q51</f>
        <v>0</v>
      </c>
      <c r="BB33" s="851"/>
      <c r="BC33" s="851"/>
      <c r="BD33" s="851"/>
      <c r="BE33" s="851"/>
      <c r="BF33" s="851"/>
      <c r="BG33" s="851"/>
      <c r="BH33" s="965"/>
      <c r="BI33" s="830"/>
      <c r="BJ33" s="819"/>
      <c r="BK33" s="819"/>
      <c r="BL33" s="819"/>
      <c r="BM33" s="819"/>
      <c r="BN33" s="819"/>
      <c r="BO33" s="819"/>
      <c r="BP33" s="831"/>
      <c r="BQ33" s="815"/>
      <c r="BR33" s="816"/>
      <c r="BS33" s="816"/>
      <c r="BT33" s="816"/>
      <c r="BU33" s="816"/>
      <c r="BV33" s="816"/>
      <c r="BW33" s="816"/>
      <c r="BX33" s="817"/>
      <c r="BY33" s="815"/>
      <c r="BZ33" s="816"/>
      <c r="CA33" s="816"/>
      <c r="CB33" s="816"/>
      <c r="CC33" s="816"/>
      <c r="CD33" s="816"/>
      <c r="CE33" s="816"/>
      <c r="CF33" s="817"/>
      <c r="CG33" s="818"/>
      <c r="CH33" s="819"/>
      <c r="CI33" s="819"/>
      <c r="CJ33" s="819"/>
      <c r="CK33" s="819"/>
      <c r="CL33" s="819"/>
      <c r="CM33" s="819"/>
      <c r="CN33" s="820"/>
      <c r="CO33" s="957">
        <f>IF(outReportQtr=1,AC33,IF(outReportQtr=2,AC33+AK33,IF(outReportQtr=3,AC33+AK33+AS33,AC33+AK33+AS33+BA33)))</f>
        <v>0</v>
      </c>
      <c r="CP33" s="958"/>
      <c r="CQ33" s="958"/>
      <c r="CR33" s="958"/>
      <c r="CS33" s="958"/>
      <c r="CT33" s="958"/>
      <c r="CU33" s="958"/>
      <c r="CV33" s="959"/>
      <c r="CW33" s="27"/>
      <c r="DA33" s="260" t="s">
        <v>2915</v>
      </c>
      <c r="DB33" s="263">
        <f>'VETS-701A Demographics Summary'!B51</f>
        <v>0</v>
      </c>
      <c r="DC33" s="263">
        <f>'VETS-701A Demographics Summary'!B51+'VETS-701A Demographics Summary'!G51</f>
        <v>0</v>
      </c>
      <c r="DD33" s="263">
        <f>'VETS-701A Demographics Summary'!B51+'VETS-701A Demographics Summary'!G51+'VETS-701A Demographics Summary'!L51</f>
        <v>0</v>
      </c>
      <c r="DE33" s="263">
        <f>'VETS-701A Demographics Summary'!B51+'VETS-701A Demographics Summary'!G51+'VETS-701A Demographics Summary'!L51+'VETS-701A Demographics Summary'!Q51</f>
        <v>0</v>
      </c>
      <c r="DF33" s="263">
        <f>DE33</f>
        <v>0</v>
      </c>
      <c r="DG33" s="263">
        <f>DE33</f>
        <v>0</v>
      </c>
      <c r="DH33" s="263">
        <f>DE33</f>
        <v>0</v>
      </c>
      <c r="DI33" s="263">
        <f>DE33</f>
        <v>0</v>
      </c>
      <c r="DJ33" s="258">
        <f t="shared" ca="1" si="5"/>
        <v>0</v>
      </c>
    </row>
    <row r="34" spans="1:114" ht="15.6" x14ac:dyDescent="0.3">
      <c r="A34" s="1029"/>
      <c r="B34" s="1029"/>
      <c r="C34" s="222" t="s">
        <v>2653</v>
      </c>
      <c r="D34" s="1031" t="s">
        <v>2629</v>
      </c>
      <c r="E34" s="1031"/>
      <c r="F34" s="1031"/>
      <c r="G34" s="1031"/>
      <c r="H34" s="1031"/>
      <c r="I34" s="1031"/>
      <c r="J34" s="1031"/>
      <c r="K34" s="1031"/>
      <c r="L34" s="1031"/>
      <c r="M34" s="1031"/>
      <c r="N34" s="1031"/>
      <c r="O34" s="1031"/>
      <c r="P34" s="1031"/>
      <c r="Q34" s="1031"/>
      <c r="R34" s="1031"/>
      <c r="S34" s="1031"/>
      <c r="T34" s="1031"/>
      <c r="U34" s="1031"/>
      <c r="V34" s="1031"/>
      <c r="W34" s="1031"/>
      <c r="X34" s="1031"/>
      <c r="Y34" s="1031"/>
      <c r="Z34" s="1031"/>
      <c r="AA34" s="1031"/>
      <c r="AB34" s="88"/>
      <c r="AC34" s="850">
        <f>'VETS-701A Demographics Summary'!C51</f>
        <v>0</v>
      </c>
      <c r="AD34" s="851"/>
      <c r="AE34" s="851"/>
      <c r="AF34" s="851"/>
      <c r="AG34" s="851"/>
      <c r="AH34" s="851"/>
      <c r="AI34" s="851"/>
      <c r="AJ34" s="851"/>
      <c r="AK34" s="850">
        <f>'VETS-701A Demographics Summary'!H51</f>
        <v>0</v>
      </c>
      <c r="AL34" s="851"/>
      <c r="AM34" s="851"/>
      <c r="AN34" s="851"/>
      <c r="AO34" s="851"/>
      <c r="AP34" s="851"/>
      <c r="AQ34" s="851"/>
      <c r="AR34" s="851"/>
      <c r="AS34" s="850">
        <f>'VETS-701A Demographics Summary'!M51</f>
        <v>0</v>
      </c>
      <c r="AT34" s="851"/>
      <c r="AU34" s="851"/>
      <c r="AV34" s="851"/>
      <c r="AW34" s="851"/>
      <c r="AX34" s="851"/>
      <c r="AY34" s="851"/>
      <c r="AZ34" s="851"/>
      <c r="BA34" s="850">
        <f>'VETS-701A Demographics Summary'!R51</f>
        <v>0</v>
      </c>
      <c r="BB34" s="851"/>
      <c r="BC34" s="851"/>
      <c r="BD34" s="851"/>
      <c r="BE34" s="851"/>
      <c r="BF34" s="851"/>
      <c r="BG34" s="851"/>
      <c r="BH34" s="965"/>
      <c r="BI34" s="803"/>
      <c r="BJ34" s="786"/>
      <c r="BK34" s="786"/>
      <c r="BL34" s="786"/>
      <c r="BM34" s="786"/>
      <c r="BN34" s="786"/>
      <c r="BO34" s="786"/>
      <c r="BP34" s="804"/>
      <c r="BQ34" s="782"/>
      <c r="BR34" s="783"/>
      <c r="BS34" s="783"/>
      <c r="BT34" s="783"/>
      <c r="BU34" s="783"/>
      <c r="BV34" s="783"/>
      <c r="BW34" s="783"/>
      <c r="BX34" s="784"/>
      <c r="BY34" s="782"/>
      <c r="BZ34" s="783"/>
      <c r="CA34" s="783"/>
      <c r="CB34" s="783"/>
      <c r="CC34" s="783"/>
      <c r="CD34" s="783"/>
      <c r="CE34" s="783"/>
      <c r="CF34" s="784"/>
      <c r="CG34" s="785"/>
      <c r="CH34" s="786"/>
      <c r="CI34" s="786"/>
      <c r="CJ34" s="786"/>
      <c r="CK34" s="786"/>
      <c r="CL34" s="786"/>
      <c r="CM34" s="786"/>
      <c r="CN34" s="787"/>
      <c r="CO34" s="957">
        <f>IF(outReportQtr=1,AC34,IF(outReportQtr=2,AC34+AK34,IF(outReportQtr=3,AC34+AK34+AS34,AC34+AK34+AS34+BA34)))</f>
        <v>0</v>
      </c>
      <c r="CP34" s="958"/>
      <c r="CQ34" s="958"/>
      <c r="CR34" s="958"/>
      <c r="CS34" s="958"/>
      <c r="CT34" s="958"/>
      <c r="CU34" s="958"/>
      <c r="CV34" s="959"/>
      <c r="CW34" s="27"/>
      <c r="DA34" s="260" t="s">
        <v>3087</v>
      </c>
      <c r="DB34" s="262"/>
      <c r="DC34" s="262"/>
      <c r="DD34" s="262"/>
      <c r="DE34" s="262"/>
      <c r="DF34" s="262"/>
      <c r="DG34" s="262"/>
      <c r="DH34" s="262"/>
      <c r="DI34" s="262"/>
      <c r="DJ34" s="258"/>
    </row>
    <row r="35" spans="1:114" ht="15.6" x14ac:dyDescent="0.3">
      <c r="A35" s="1029"/>
      <c r="B35" s="1029"/>
      <c r="C35" s="222" t="s">
        <v>2654</v>
      </c>
      <c r="D35" s="1030" t="s">
        <v>2630</v>
      </c>
      <c r="E35" s="1031"/>
      <c r="F35" s="1031"/>
      <c r="G35" s="1031"/>
      <c r="H35" s="1031"/>
      <c r="I35" s="1031"/>
      <c r="J35" s="1031"/>
      <c r="K35" s="1031"/>
      <c r="L35" s="1031"/>
      <c r="M35" s="1031"/>
      <c r="N35" s="1031"/>
      <c r="O35" s="1031"/>
      <c r="P35" s="1031"/>
      <c r="Q35" s="1031"/>
      <c r="R35" s="1031"/>
      <c r="S35" s="1031"/>
      <c r="T35" s="1031"/>
      <c r="U35" s="1031"/>
      <c r="V35" s="1031"/>
      <c r="W35" s="1031"/>
      <c r="X35" s="1031"/>
      <c r="Y35" s="1031"/>
      <c r="Z35" s="1031"/>
      <c r="AA35" s="1031"/>
      <c r="AB35" s="88"/>
      <c r="AC35" s="850">
        <f>'VETS-701A Demographics Summary'!D51</f>
        <v>0</v>
      </c>
      <c r="AD35" s="851"/>
      <c r="AE35" s="851"/>
      <c r="AF35" s="851"/>
      <c r="AG35" s="851"/>
      <c r="AH35" s="851"/>
      <c r="AI35" s="851"/>
      <c r="AJ35" s="851"/>
      <c r="AK35" s="850">
        <f>'VETS-701A Demographics Summary'!I51</f>
        <v>0</v>
      </c>
      <c r="AL35" s="851"/>
      <c r="AM35" s="851"/>
      <c r="AN35" s="851"/>
      <c r="AO35" s="851"/>
      <c r="AP35" s="851"/>
      <c r="AQ35" s="851"/>
      <c r="AR35" s="851"/>
      <c r="AS35" s="850">
        <f>'VETS-701A Demographics Summary'!N51</f>
        <v>0</v>
      </c>
      <c r="AT35" s="851"/>
      <c r="AU35" s="851"/>
      <c r="AV35" s="851"/>
      <c r="AW35" s="851"/>
      <c r="AX35" s="851"/>
      <c r="AY35" s="851"/>
      <c r="AZ35" s="851"/>
      <c r="BA35" s="850">
        <f>'VETS-701A Demographics Summary'!S51</f>
        <v>0</v>
      </c>
      <c r="BB35" s="851"/>
      <c r="BC35" s="851"/>
      <c r="BD35" s="851"/>
      <c r="BE35" s="851"/>
      <c r="BF35" s="851"/>
      <c r="BG35" s="851"/>
      <c r="BH35" s="965"/>
      <c r="BI35" s="803"/>
      <c r="BJ35" s="786"/>
      <c r="BK35" s="786"/>
      <c r="BL35" s="786"/>
      <c r="BM35" s="786"/>
      <c r="BN35" s="786"/>
      <c r="BO35" s="786"/>
      <c r="BP35" s="804"/>
      <c r="BQ35" s="782"/>
      <c r="BR35" s="783"/>
      <c r="BS35" s="783"/>
      <c r="BT35" s="783"/>
      <c r="BU35" s="783"/>
      <c r="BV35" s="783"/>
      <c r="BW35" s="783"/>
      <c r="BX35" s="784"/>
      <c r="BY35" s="782"/>
      <c r="BZ35" s="783"/>
      <c r="CA35" s="783"/>
      <c r="CB35" s="783"/>
      <c r="CC35" s="783"/>
      <c r="CD35" s="783"/>
      <c r="CE35" s="783"/>
      <c r="CF35" s="784"/>
      <c r="CG35" s="785"/>
      <c r="CH35" s="786"/>
      <c r="CI35" s="786"/>
      <c r="CJ35" s="786"/>
      <c r="CK35" s="786"/>
      <c r="CL35" s="786"/>
      <c r="CM35" s="786"/>
      <c r="CN35" s="787"/>
      <c r="CO35" s="957">
        <f>IF(outReportQtr=1,AC35,IF(outReportQtr=2,AC35+AK35,IF(outReportQtr=3,AC35+AK35+AS35,AC35+AK35+AS35+BA35)))</f>
        <v>0</v>
      </c>
      <c r="CP35" s="958"/>
      <c r="CQ35" s="958"/>
      <c r="CR35" s="958"/>
      <c r="CS35" s="958"/>
      <c r="CT35" s="958"/>
      <c r="CU35" s="958"/>
      <c r="CV35" s="959"/>
      <c r="CW35" s="27"/>
      <c r="DA35" s="260" t="s">
        <v>3089</v>
      </c>
      <c r="DB35" s="262"/>
      <c r="DC35" s="262"/>
      <c r="DD35" s="262"/>
      <c r="DE35" s="262"/>
      <c r="DF35" s="262"/>
      <c r="DG35" s="262"/>
      <c r="DH35" s="262"/>
      <c r="DI35" s="262"/>
      <c r="DJ35" s="258"/>
    </row>
    <row r="36" spans="1:114" ht="15.6" x14ac:dyDescent="0.3">
      <c r="A36" s="1029"/>
      <c r="B36" s="1029"/>
      <c r="C36" s="222" t="s">
        <v>2655</v>
      </c>
      <c r="D36" s="1030" t="s">
        <v>2631</v>
      </c>
      <c r="E36" s="1031"/>
      <c r="F36" s="1031"/>
      <c r="G36" s="1031"/>
      <c r="H36" s="1031"/>
      <c r="I36" s="1031"/>
      <c r="J36" s="1031"/>
      <c r="K36" s="1031"/>
      <c r="L36" s="1031"/>
      <c r="M36" s="1031"/>
      <c r="N36" s="1031"/>
      <c r="O36" s="1031"/>
      <c r="P36" s="1031"/>
      <c r="Q36" s="1031"/>
      <c r="R36" s="1031"/>
      <c r="S36" s="1031"/>
      <c r="T36" s="1031"/>
      <c r="U36" s="1031"/>
      <c r="V36" s="1031"/>
      <c r="W36" s="1031"/>
      <c r="X36" s="1031"/>
      <c r="Y36" s="1031"/>
      <c r="Z36" s="1031"/>
      <c r="AA36" s="1031"/>
      <c r="AB36" s="88"/>
      <c r="AC36" s="877">
        <f>IF('VETS-701A Demographics Summary'!C51&gt;0,'VETS-701A Demographics Summary'!D51/'VETS-701A Demographics Summary'!C51,0)</f>
        <v>0</v>
      </c>
      <c r="AD36" s="878"/>
      <c r="AE36" s="878"/>
      <c r="AF36" s="878"/>
      <c r="AG36" s="878"/>
      <c r="AH36" s="878"/>
      <c r="AI36" s="878"/>
      <c r="AJ36" s="878"/>
      <c r="AK36" s="877">
        <f>IF('VETS-701A Demographics Summary'!H51&gt;0,'VETS-701A Demographics Summary'!I51/'VETS-701A Demographics Summary'!H51,0)</f>
        <v>0</v>
      </c>
      <c r="AL36" s="878"/>
      <c r="AM36" s="878"/>
      <c r="AN36" s="878"/>
      <c r="AO36" s="878"/>
      <c r="AP36" s="878"/>
      <c r="AQ36" s="878"/>
      <c r="AR36" s="878"/>
      <c r="AS36" s="877">
        <f>IF('VETS-701A Demographics Summary'!M51&gt;0,'VETS-701A Demographics Summary'!N51/'VETS-701A Demographics Summary'!M51,0)</f>
        <v>0</v>
      </c>
      <c r="AT36" s="878"/>
      <c r="AU36" s="878"/>
      <c r="AV36" s="878"/>
      <c r="AW36" s="878"/>
      <c r="AX36" s="878"/>
      <c r="AY36" s="878"/>
      <c r="AZ36" s="878"/>
      <c r="BA36" s="877">
        <f>IF('VETS-701A Demographics Summary'!R51&gt;0,'VETS-701A Demographics Summary'!S51/'VETS-701A Demographics Summary'!R51,0)</f>
        <v>0</v>
      </c>
      <c r="BB36" s="878"/>
      <c r="BC36" s="878"/>
      <c r="BD36" s="878"/>
      <c r="BE36" s="878"/>
      <c r="BF36" s="878"/>
      <c r="BG36" s="878"/>
      <c r="BH36" s="879"/>
      <c r="BI36" s="773"/>
      <c r="BJ36" s="774"/>
      <c r="BK36" s="774"/>
      <c r="BL36" s="774"/>
      <c r="BM36" s="774"/>
      <c r="BN36" s="774"/>
      <c r="BO36" s="774"/>
      <c r="BP36" s="775"/>
      <c r="BQ36" s="788"/>
      <c r="BR36" s="789"/>
      <c r="BS36" s="789"/>
      <c r="BT36" s="789"/>
      <c r="BU36" s="789"/>
      <c r="BV36" s="789"/>
      <c r="BW36" s="789"/>
      <c r="BX36" s="790"/>
      <c r="BY36" s="788"/>
      <c r="BZ36" s="789"/>
      <c r="CA36" s="789"/>
      <c r="CB36" s="789"/>
      <c r="CC36" s="789"/>
      <c r="CD36" s="789"/>
      <c r="CE36" s="789"/>
      <c r="CF36" s="790"/>
      <c r="CG36" s="791"/>
      <c r="CH36" s="774"/>
      <c r="CI36" s="774"/>
      <c r="CJ36" s="774"/>
      <c r="CK36" s="774"/>
      <c r="CL36" s="774"/>
      <c r="CM36" s="774"/>
      <c r="CN36" s="792"/>
      <c r="CO36" s="960">
        <f>IF(CO34&gt;0,CO35/CO34,0)</f>
        <v>0</v>
      </c>
      <c r="CP36" s="961"/>
      <c r="CQ36" s="961"/>
      <c r="CR36" s="961"/>
      <c r="CS36" s="961"/>
      <c r="CT36" s="961"/>
      <c r="CU36" s="961"/>
      <c r="CV36" s="834"/>
      <c r="CW36" s="27"/>
      <c r="DA36" s="260" t="s">
        <v>3088</v>
      </c>
      <c r="DB36" s="262"/>
      <c r="DC36" s="262"/>
      <c r="DD36" s="262"/>
      <c r="DE36" s="262"/>
      <c r="DF36" s="262"/>
      <c r="DG36" s="262"/>
      <c r="DH36" s="262"/>
      <c r="DI36" s="262"/>
      <c r="DJ36" s="258"/>
    </row>
    <row r="37" spans="1:114" ht="15.6" x14ac:dyDescent="0.3">
      <c r="A37" s="1012" t="s">
        <v>2636</v>
      </c>
      <c r="B37" s="1013"/>
      <c r="C37" s="223" t="s">
        <v>2656</v>
      </c>
      <c r="D37" s="1015" t="s">
        <v>2632</v>
      </c>
      <c r="E37" s="1016"/>
      <c r="F37" s="1016"/>
      <c r="G37" s="1016"/>
      <c r="H37" s="1016"/>
      <c r="I37" s="1016"/>
      <c r="J37" s="1016"/>
      <c r="K37" s="1016"/>
      <c r="L37" s="1016"/>
      <c r="M37" s="1016"/>
      <c r="N37" s="1016"/>
      <c r="O37" s="1016"/>
      <c r="P37" s="1016"/>
      <c r="Q37" s="1016"/>
      <c r="R37" s="1016"/>
      <c r="S37" s="1016"/>
      <c r="T37" s="1016"/>
      <c r="U37" s="1016"/>
      <c r="V37" s="1016"/>
      <c r="W37" s="1016"/>
      <c r="X37" s="1016"/>
      <c r="Y37" s="1016"/>
      <c r="Z37" s="1016"/>
      <c r="AA37" s="1016"/>
      <c r="AB37" s="88"/>
      <c r="AC37" s="880">
        <f>'VETS-701A Demographics Summary'!B52</f>
        <v>0</v>
      </c>
      <c r="AD37" s="881"/>
      <c r="AE37" s="881"/>
      <c r="AF37" s="881"/>
      <c r="AG37" s="881"/>
      <c r="AH37" s="881"/>
      <c r="AI37" s="881"/>
      <c r="AJ37" s="881"/>
      <c r="AK37" s="880">
        <f>'VETS-701A Demographics Summary'!G52</f>
        <v>0</v>
      </c>
      <c r="AL37" s="881"/>
      <c r="AM37" s="881"/>
      <c r="AN37" s="881"/>
      <c r="AO37" s="881"/>
      <c r="AP37" s="881"/>
      <c r="AQ37" s="881"/>
      <c r="AR37" s="881"/>
      <c r="AS37" s="880">
        <f>'VETS-701A Demographics Summary'!L52</f>
        <v>0</v>
      </c>
      <c r="AT37" s="881"/>
      <c r="AU37" s="881"/>
      <c r="AV37" s="881"/>
      <c r="AW37" s="881"/>
      <c r="AX37" s="881"/>
      <c r="AY37" s="881"/>
      <c r="AZ37" s="881"/>
      <c r="BA37" s="880">
        <f>'VETS-701A Demographics Summary'!Q52</f>
        <v>0</v>
      </c>
      <c r="BB37" s="881"/>
      <c r="BC37" s="881"/>
      <c r="BD37" s="881"/>
      <c r="BE37" s="881"/>
      <c r="BF37" s="881"/>
      <c r="BG37" s="881"/>
      <c r="BH37" s="882"/>
      <c r="BI37" s="830"/>
      <c r="BJ37" s="819"/>
      <c r="BK37" s="819"/>
      <c r="BL37" s="819"/>
      <c r="BM37" s="819"/>
      <c r="BN37" s="819"/>
      <c r="BO37" s="819"/>
      <c r="BP37" s="831"/>
      <c r="BQ37" s="815"/>
      <c r="BR37" s="816"/>
      <c r="BS37" s="816"/>
      <c r="BT37" s="816"/>
      <c r="BU37" s="816"/>
      <c r="BV37" s="816"/>
      <c r="BW37" s="816"/>
      <c r="BX37" s="817"/>
      <c r="BY37" s="815"/>
      <c r="BZ37" s="816"/>
      <c r="CA37" s="816"/>
      <c r="CB37" s="816"/>
      <c r="CC37" s="816"/>
      <c r="CD37" s="816"/>
      <c r="CE37" s="816"/>
      <c r="CF37" s="817"/>
      <c r="CG37" s="818"/>
      <c r="CH37" s="819"/>
      <c r="CI37" s="819"/>
      <c r="CJ37" s="819"/>
      <c r="CK37" s="819"/>
      <c r="CL37" s="819"/>
      <c r="CM37" s="819"/>
      <c r="CN37" s="820"/>
      <c r="CO37" s="935">
        <f>IF(outReportQtr=1,AC37,IF(outReportQtr=2,AC37+AK37,IF(outReportQtr=3,AC37+AK37+AS37,AC37+AK37+AS37+BA37)))</f>
        <v>0</v>
      </c>
      <c r="CP37" s="936"/>
      <c r="CQ37" s="936"/>
      <c r="CR37" s="936"/>
      <c r="CS37" s="936"/>
      <c r="CT37" s="936"/>
      <c r="CU37" s="936"/>
      <c r="CV37" s="937"/>
      <c r="CW37" s="27"/>
      <c r="DA37" s="260" t="s">
        <v>2913</v>
      </c>
      <c r="DB37" s="263">
        <f>'VETS-701A Demographics Summary'!B52</f>
        <v>0</v>
      </c>
      <c r="DC37" s="263">
        <f>'VETS-701A Demographics Summary'!B52+'VETS-701A Demographics Summary'!G52</f>
        <v>0</v>
      </c>
      <c r="DD37" s="263">
        <f>'VETS-701A Demographics Summary'!B52+'VETS-701A Demographics Summary'!G52+'VETS-701A Demographics Summary'!L52</f>
        <v>0</v>
      </c>
      <c r="DE37" s="263">
        <f>'VETS-701A Demographics Summary'!B52+'VETS-701A Demographics Summary'!G52+'VETS-701A Demographics Summary'!L52+'VETS-701A Demographics Summary'!Q52</f>
        <v>0</v>
      </c>
      <c r="DF37" s="263">
        <f>DE37</f>
        <v>0</v>
      </c>
      <c r="DG37" s="263">
        <f>DE37</f>
        <v>0</v>
      </c>
      <c r="DH37" s="263">
        <f>DE37</f>
        <v>0</v>
      </c>
      <c r="DI37" s="263">
        <f>DE37</f>
        <v>0</v>
      </c>
      <c r="DJ37" s="258">
        <f t="shared" ca="1" si="5"/>
        <v>0</v>
      </c>
    </row>
    <row r="38" spans="1:114" ht="15.6" x14ac:dyDescent="0.3">
      <c r="A38" s="1013"/>
      <c r="B38" s="1013"/>
      <c r="C38" s="223" t="s">
        <v>2657</v>
      </c>
      <c r="D38" s="1015" t="s">
        <v>2633</v>
      </c>
      <c r="E38" s="1016"/>
      <c r="F38" s="1016"/>
      <c r="G38" s="1016"/>
      <c r="H38" s="1016"/>
      <c r="I38" s="1016"/>
      <c r="J38" s="1016"/>
      <c r="K38" s="1016"/>
      <c r="L38" s="1016"/>
      <c r="M38" s="1016"/>
      <c r="N38" s="1016"/>
      <c r="O38" s="1016"/>
      <c r="P38" s="1016"/>
      <c r="Q38" s="1016"/>
      <c r="R38" s="1016"/>
      <c r="S38" s="1016"/>
      <c r="T38" s="1016"/>
      <c r="U38" s="1016"/>
      <c r="V38" s="1016"/>
      <c r="W38" s="1016"/>
      <c r="X38" s="1016"/>
      <c r="Y38" s="1016"/>
      <c r="Z38" s="1016"/>
      <c r="AA38" s="1016"/>
      <c r="AB38" s="88"/>
      <c r="AC38" s="880">
        <f>'VETS-701A Demographics Summary'!C52</f>
        <v>0</v>
      </c>
      <c r="AD38" s="881"/>
      <c r="AE38" s="881"/>
      <c r="AF38" s="881"/>
      <c r="AG38" s="881"/>
      <c r="AH38" s="881"/>
      <c r="AI38" s="881"/>
      <c r="AJ38" s="881"/>
      <c r="AK38" s="880">
        <f>'VETS-701A Demographics Summary'!H52</f>
        <v>0</v>
      </c>
      <c r="AL38" s="881"/>
      <c r="AM38" s="881"/>
      <c r="AN38" s="881"/>
      <c r="AO38" s="881"/>
      <c r="AP38" s="881"/>
      <c r="AQ38" s="881"/>
      <c r="AR38" s="881"/>
      <c r="AS38" s="880">
        <f>'VETS-701A Demographics Summary'!M52</f>
        <v>0</v>
      </c>
      <c r="AT38" s="881"/>
      <c r="AU38" s="881"/>
      <c r="AV38" s="881"/>
      <c r="AW38" s="881"/>
      <c r="AX38" s="881"/>
      <c r="AY38" s="881"/>
      <c r="AZ38" s="881"/>
      <c r="BA38" s="880">
        <f>'VETS-701A Demographics Summary'!R52</f>
        <v>0</v>
      </c>
      <c r="BB38" s="881"/>
      <c r="BC38" s="881"/>
      <c r="BD38" s="881"/>
      <c r="BE38" s="881"/>
      <c r="BF38" s="881"/>
      <c r="BG38" s="881"/>
      <c r="BH38" s="882"/>
      <c r="BI38" s="803"/>
      <c r="BJ38" s="786"/>
      <c r="BK38" s="786"/>
      <c r="BL38" s="786"/>
      <c r="BM38" s="786"/>
      <c r="BN38" s="786"/>
      <c r="BO38" s="786"/>
      <c r="BP38" s="804"/>
      <c r="BQ38" s="782"/>
      <c r="BR38" s="783"/>
      <c r="BS38" s="783"/>
      <c r="BT38" s="783"/>
      <c r="BU38" s="783"/>
      <c r="BV38" s="783"/>
      <c r="BW38" s="783"/>
      <c r="BX38" s="784"/>
      <c r="BY38" s="782"/>
      <c r="BZ38" s="783"/>
      <c r="CA38" s="783"/>
      <c r="CB38" s="783"/>
      <c r="CC38" s="783"/>
      <c r="CD38" s="783"/>
      <c r="CE38" s="783"/>
      <c r="CF38" s="784"/>
      <c r="CG38" s="785"/>
      <c r="CH38" s="786"/>
      <c r="CI38" s="786"/>
      <c r="CJ38" s="786"/>
      <c r="CK38" s="786"/>
      <c r="CL38" s="786"/>
      <c r="CM38" s="786"/>
      <c r="CN38" s="787"/>
      <c r="CO38" s="935">
        <f>IF(outReportQtr=1,AC38,IF(outReportQtr=2,AC38+AK38,IF(outReportQtr=3,AC38+AK38+AS38,AC38+AK38+AS38+BA38)))</f>
        <v>0</v>
      </c>
      <c r="CP38" s="936"/>
      <c r="CQ38" s="936"/>
      <c r="CR38" s="936"/>
      <c r="CS38" s="936"/>
      <c r="CT38" s="936"/>
      <c r="CU38" s="936"/>
      <c r="CV38" s="937"/>
      <c r="CW38" s="27"/>
      <c r="DA38" s="260" t="s">
        <v>3090</v>
      </c>
      <c r="DB38" s="262"/>
      <c r="DC38" s="262"/>
      <c r="DD38" s="262"/>
      <c r="DE38" s="262"/>
      <c r="DF38" s="262"/>
      <c r="DG38" s="262"/>
      <c r="DH38" s="262"/>
      <c r="DI38" s="262"/>
      <c r="DJ38" s="258"/>
    </row>
    <row r="39" spans="1:114" ht="15.6" x14ac:dyDescent="0.3">
      <c r="A39" s="1013"/>
      <c r="B39" s="1013"/>
      <c r="C39" s="226" t="s">
        <v>2658</v>
      </c>
      <c r="D39" s="1017" t="s">
        <v>2634</v>
      </c>
      <c r="E39" s="1018"/>
      <c r="F39" s="1018"/>
      <c r="G39" s="1018"/>
      <c r="H39" s="1018"/>
      <c r="I39" s="1018"/>
      <c r="J39" s="1018"/>
      <c r="K39" s="1018"/>
      <c r="L39" s="1018"/>
      <c r="M39" s="1018"/>
      <c r="N39" s="1018"/>
      <c r="O39" s="1018"/>
      <c r="P39" s="1018"/>
      <c r="Q39" s="1018"/>
      <c r="R39" s="1018"/>
      <c r="S39" s="1018"/>
      <c r="T39" s="1018"/>
      <c r="U39" s="1018"/>
      <c r="V39" s="1018"/>
      <c r="W39" s="1018"/>
      <c r="X39" s="1018"/>
      <c r="Y39" s="1018"/>
      <c r="Z39" s="1018"/>
      <c r="AA39" s="1018"/>
      <c r="AB39" s="88"/>
      <c r="AC39" s="880">
        <f>'VETS-701A Demographics Summary'!D52</f>
        <v>0</v>
      </c>
      <c r="AD39" s="881"/>
      <c r="AE39" s="881"/>
      <c r="AF39" s="881"/>
      <c r="AG39" s="881"/>
      <c r="AH39" s="881"/>
      <c r="AI39" s="881"/>
      <c r="AJ39" s="881"/>
      <c r="AK39" s="880">
        <f>'VETS-701A Demographics Summary'!I52</f>
        <v>0</v>
      </c>
      <c r="AL39" s="881"/>
      <c r="AM39" s="881"/>
      <c r="AN39" s="881"/>
      <c r="AO39" s="881"/>
      <c r="AP39" s="881"/>
      <c r="AQ39" s="881"/>
      <c r="AR39" s="881"/>
      <c r="AS39" s="880">
        <f>'VETS-701A Demographics Summary'!N52</f>
        <v>0</v>
      </c>
      <c r="AT39" s="881"/>
      <c r="AU39" s="881"/>
      <c r="AV39" s="881"/>
      <c r="AW39" s="881"/>
      <c r="AX39" s="881"/>
      <c r="AY39" s="881"/>
      <c r="AZ39" s="881"/>
      <c r="BA39" s="880">
        <f>'VETS-701A Demographics Summary'!S52</f>
        <v>0</v>
      </c>
      <c r="BB39" s="881"/>
      <c r="BC39" s="881"/>
      <c r="BD39" s="881"/>
      <c r="BE39" s="881"/>
      <c r="BF39" s="881"/>
      <c r="BG39" s="881"/>
      <c r="BH39" s="882"/>
      <c r="BI39" s="803"/>
      <c r="BJ39" s="786"/>
      <c r="BK39" s="786"/>
      <c r="BL39" s="786"/>
      <c r="BM39" s="786"/>
      <c r="BN39" s="786"/>
      <c r="BO39" s="786"/>
      <c r="BP39" s="804"/>
      <c r="BQ39" s="782"/>
      <c r="BR39" s="783"/>
      <c r="BS39" s="783"/>
      <c r="BT39" s="783"/>
      <c r="BU39" s="783"/>
      <c r="BV39" s="783"/>
      <c r="BW39" s="783"/>
      <c r="BX39" s="784"/>
      <c r="BY39" s="782"/>
      <c r="BZ39" s="783"/>
      <c r="CA39" s="783"/>
      <c r="CB39" s="783"/>
      <c r="CC39" s="783"/>
      <c r="CD39" s="783"/>
      <c r="CE39" s="783"/>
      <c r="CF39" s="784"/>
      <c r="CG39" s="785"/>
      <c r="CH39" s="786"/>
      <c r="CI39" s="786"/>
      <c r="CJ39" s="786"/>
      <c r="CK39" s="786"/>
      <c r="CL39" s="786"/>
      <c r="CM39" s="786"/>
      <c r="CN39" s="787"/>
      <c r="CO39" s="966">
        <f>IF(outReportQtr=1,AC39,IF(outReportQtr=2,AC39+AK39,IF(outReportQtr=3,AC39+AK39+AS39,AC39+AK39+AS39+BA39)))</f>
        <v>0</v>
      </c>
      <c r="CP39" s="967"/>
      <c r="CQ39" s="967"/>
      <c r="CR39" s="967"/>
      <c r="CS39" s="967"/>
      <c r="CT39" s="967"/>
      <c r="CU39" s="967"/>
      <c r="CV39" s="968"/>
      <c r="CW39" s="27"/>
      <c r="DA39" s="260" t="s">
        <v>3091</v>
      </c>
      <c r="DB39" s="262"/>
      <c r="DC39" s="262"/>
      <c r="DD39" s="262"/>
      <c r="DE39" s="262"/>
      <c r="DF39" s="262"/>
      <c r="DG39" s="262"/>
      <c r="DH39" s="262"/>
      <c r="DI39" s="262"/>
      <c r="DJ39" s="258"/>
    </row>
    <row r="40" spans="1:114" ht="15.6" x14ac:dyDescent="0.3">
      <c r="A40" s="1013"/>
      <c r="B40" s="1014"/>
      <c r="C40" s="227" t="s">
        <v>2659</v>
      </c>
      <c r="D40" s="1019" t="s">
        <v>2635</v>
      </c>
      <c r="E40" s="1020"/>
      <c r="F40" s="1020"/>
      <c r="G40" s="1020"/>
      <c r="H40" s="1020"/>
      <c r="I40" s="1020"/>
      <c r="J40" s="1020"/>
      <c r="K40" s="1020"/>
      <c r="L40" s="1020"/>
      <c r="M40" s="1020"/>
      <c r="N40" s="1020"/>
      <c r="O40" s="1020"/>
      <c r="P40" s="1020"/>
      <c r="Q40" s="1020"/>
      <c r="R40" s="1020"/>
      <c r="S40" s="1020"/>
      <c r="T40" s="1020"/>
      <c r="U40" s="1020"/>
      <c r="V40" s="1020"/>
      <c r="W40" s="1020"/>
      <c r="X40" s="1020"/>
      <c r="Y40" s="1020"/>
      <c r="Z40" s="1020"/>
      <c r="AA40" s="1021"/>
      <c r="AB40" s="131"/>
      <c r="AC40" s="883">
        <f>IF('VETS-701A Demographics Summary'!C52&gt;0,'VETS-701A Demographics Summary'!D52/'VETS-701A Demographics Summary'!C52,0)</f>
        <v>0</v>
      </c>
      <c r="AD40" s="884"/>
      <c r="AE40" s="884"/>
      <c r="AF40" s="884"/>
      <c r="AG40" s="884"/>
      <c r="AH40" s="884"/>
      <c r="AI40" s="884"/>
      <c r="AJ40" s="884"/>
      <c r="AK40" s="883">
        <f>IF('VETS-701A Demographics Summary'!H52&gt;0,'VETS-701A Demographics Summary'!I52/'VETS-701A Demographics Summary'!H52,0)</f>
        <v>0</v>
      </c>
      <c r="AL40" s="884"/>
      <c r="AM40" s="884"/>
      <c r="AN40" s="884"/>
      <c r="AO40" s="884"/>
      <c r="AP40" s="884"/>
      <c r="AQ40" s="884"/>
      <c r="AR40" s="884"/>
      <c r="AS40" s="883">
        <f>IF('VETS-701A Demographics Summary'!M52&gt;0,'VETS-701A Demographics Summary'!N52/'VETS-701A Demographics Summary'!M52,0)</f>
        <v>0</v>
      </c>
      <c r="AT40" s="884"/>
      <c r="AU40" s="884"/>
      <c r="AV40" s="884"/>
      <c r="AW40" s="884"/>
      <c r="AX40" s="884"/>
      <c r="AY40" s="884"/>
      <c r="AZ40" s="884"/>
      <c r="BA40" s="883">
        <f>IF('VETS-701A Demographics Summary'!R52&gt;0,'VETS-701A Demographics Summary'!S52/'VETS-701A Demographics Summary'!R52,0)</f>
        <v>0</v>
      </c>
      <c r="BB40" s="884"/>
      <c r="BC40" s="884"/>
      <c r="BD40" s="884"/>
      <c r="BE40" s="884"/>
      <c r="BF40" s="884"/>
      <c r="BG40" s="884"/>
      <c r="BH40" s="885"/>
      <c r="BI40" s="805"/>
      <c r="BJ40" s="806"/>
      <c r="BK40" s="806"/>
      <c r="BL40" s="806"/>
      <c r="BM40" s="806"/>
      <c r="BN40" s="806"/>
      <c r="BO40" s="806"/>
      <c r="BP40" s="807"/>
      <c r="BQ40" s="808"/>
      <c r="BR40" s="809"/>
      <c r="BS40" s="809"/>
      <c r="BT40" s="809"/>
      <c r="BU40" s="809"/>
      <c r="BV40" s="809"/>
      <c r="BW40" s="809"/>
      <c r="BX40" s="810"/>
      <c r="BY40" s="808"/>
      <c r="BZ40" s="809"/>
      <c r="CA40" s="809"/>
      <c r="CB40" s="809"/>
      <c r="CC40" s="809"/>
      <c r="CD40" s="809"/>
      <c r="CE40" s="809"/>
      <c r="CF40" s="810"/>
      <c r="CG40" s="811"/>
      <c r="CH40" s="806"/>
      <c r="CI40" s="806"/>
      <c r="CJ40" s="806"/>
      <c r="CK40" s="806"/>
      <c r="CL40" s="806"/>
      <c r="CM40" s="806"/>
      <c r="CN40" s="806"/>
      <c r="CO40" s="978">
        <f>IF(CO38&gt;0,CO39/CO38,0)</f>
        <v>0</v>
      </c>
      <c r="CP40" s="979"/>
      <c r="CQ40" s="979"/>
      <c r="CR40" s="979"/>
      <c r="CS40" s="979"/>
      <c r="CT40" s="979"/>
      <c r="CU40" s="979"/>
      <c r="CV40" s="980"/>
      <c r="CW40" s="27"/>
      <c r="DA40" s="260" t="s">
        <v>3092</v>
      </c>
      <c r="DB40" s="262"/>
      <c r="DC40" s="262"/>
      <c r="DD40" s="262"/>
      <c r="DE40" s="262"/>
      <c r="DF40" s="262"/>
      <c r="DG40" s="262"/>
      <c r="DH40" s="262"/>
      <c r="DI40" s="262"/>
      <c r="DJ40" s="258"/>
    </row>
    <row r="41" spans="1:114" ht="15.6" x14ac:dyDescent="0.3">
      <c r="A41" s="27"/>
      <c r="B41" s="29"/>
      <c r="C41" s="938" t="s">
        <v>2841</v>
      </c>
      <c r="D41" s="939"/>
      <c r="E41" s="939"/>
      <c r="F41" s="939"/>
      <c r="G41" s="939"/>
      <c r="H41" s="939"/>
      <c r="I41" s="939"/>
      <c r="J41" s="939"/>
      <c r="K41" s="939"/>
      <c r="L41" s="939"/>
      <c r="M41" s="939"/>
      <c r="N41" s="939"/>
      <c r="O41" s="939"/>
      <c r="P41" s="939"/>
      <c r="Q41" s="939"/>
      <c r="R41" s="939"/>
      <c r="S41" s="939"/>
      <c r="T41" s="940"/>
      <c r="U41" s="940"/>
      <c r="V41" s="940"/>
      <c r="W41" s="940"/>
      <c r="X41" s="940"/>
      <c r="Y41" s="940"/>
      <c r="Z41" s="940"/>
      <c r="AA41" s="940"/>
      <c r="AB41" s="134"/>
      <c r="AC41" s="888"/>
      <c r="AD41" s="889"/>
      <c r="AE41" s="889"/>
      <c r="AF41" s="889"/>
      <c r="AG41" s="889"/>
      <c r="AH41" s="889"/>
      <c r="AI41" s="889"/>
      <c r="AJ41" s="890"/>
      <c r="AK41" s="888"/>
      <c r="AL41" s="889"/>
      <c r="AM41" s="889"/>
      <c r="AN41" s="889"/>
      <c r="AO41" s="889"/>
      <c r="AP41" s="889"/>
      <c r="AQ41" s="889"/>
      <c r="AR41" s="890"/>
      <c r="AS41" s="888"/>
      <c r="AT41" s="889"/>
      <c r="AU41" s="889"/>
      <c r="AV41" s="889"/>
      <c r="AW41" s="889"/>
      <c r="AX41" s="889"/>
      <c r="AY41" s="889"/>
      <c r="AZ41" s="890"/>
      <c r="BA41" s="888"/>
      <c r="BB41" s="889"/>
      <c r="BC41" s="889"/>
      <c r="BD41" s="889"/>
      <c r="BE41" s="889"/>
      <c r="BF41" s="889"/>
      <c r="BG41" s="889"/>
      <c r="BH41" s="890"/>
      <c r="BI41" s="822"/>
      <c r="BJ41" s="823"/>
      <c r="BK41" s="823"/>
      <c r="BL41" s="823"/>
      <c r="BM41" s="823"/>
      <c r="BN41" s="823"/>
      <c r="BO41" s="823"/>
      <c r="BP41" s="824"/>
      <c r="BQ41" s="776"/>
      <c r="BR41" s="777"/>
      <c r="BS41" s="777"/>
      <c r="BT41" s="777"/>
      <c r="BU41" s="777"/>
      <c r="BV41" s="777"/>
      <c r="BW41" s="777"/>
      <c r="BX41" s="778"/>
      <c r="BY41" s="776"/>
      <c r="BZ41" s="777"/>
      <c r="CA41" s="777"/>
      <c r="CB41" s="777"/>
      <c r="CC41" s="777"/>
      <c r="CD41" s="777"/>
      <c r="CE41" s="777"/>
      <c r="CF41" s="778"/>
      <c r="CG41" s="822"/>
      <c r="CH41" s="823"/>
      <c r="CI41" s="823"/>
      <c r="CJ41" s="823"/>
      <c r="CK41" s="823"/>
      <c r="CL41" s="823"/>
      <c r="CM41" s="823"/>
      <c r="CN41" s="824"/>
      <c r="CO41" s="1146"/>
      <c r="CP41" s="1147"/>
      <c r="CQ41" s="1147"/>
      <c r="CR41" s="1147"/>
      <c r="CS41" s="1147"/>
      <c r="CT41" s="1147"/>
      <c r="CU41" s="1147"/>
      <c r="CV41" s="1148"/>
      <c r="CW41" s="27"/>
      <c r="DA41" s="260"/>
      <c r="DB41" s="262"/>
      <c r="DC41" s="262"/>
      <c r="DD41" s="262"/>
      <c r="DE41" s="262"/>
      <c r="DF41" s="262"/>
      <c r="DG41" s="262"/>
      <c r="DH41" s="262"/>
      <c r="DI41" s="262"/>
      <c r="DJ41" s="258"/>
    </row>
    <row r="42" spans="1:114" ht="15.6" x14ac:dyDescent="0.3">
      <c r="A42" s="27"/>
      <c r="B42" s="27"/>
      <c r="C42" s="101" t="s">
        <v>2643</v>
      </c>
      <c r="D42" s="943" t="s">
        <v>2516</v>
      </c>
      <c r="E42" s="943"/>
      <c r="F42" s="943"/>
      <c r="G42" s="943"/>
      <c r="H42" s="943"/>
      <c r="I42" s="943"/>
      <c r="J42" s="943"/>
      <c r="K42" s="943"/>
      <c r="L42" s="943"/>
      <c r="M42" s="943"/>
      <c r="N42" s="943"/>
      <c r="O42" s="943"/>
      <c r="P42" s="943"/>
      <c r="Q42" s="943"/>
      <c r="R42" s="943"/>
      <c r="S42" s="943"/>
      <c r="T42" s="943"/>
      <c r="U42" s="943"/>
      <c r="V42" s="943"/>
      <c r="W42" s="943"/>
      <c r="X42" s="943"/>
      <c r="Y42" s="943"/>
      <c r="Z42" s="943"/>
      <c r="AA42" s="944"/>
      <c r="AB42" s="96"/>
      <c r="AC42" s="847"/>
      <c r="AD42" s="848"/>
      <c r="AE42" s="848"/>
      <c r="AF42" s="848"/>
      <c r="AG42" s="848"/>
      <c r="AH42" s="848"/>
      <c r="AI42" s="848"/>
      <c r="AJ42" s="849"/>
      <c r="AK42" s="949"/>
      <c r="AL42" s="848"/>
      <c r="AM42" s="848"/>
      <c r="AN42" s="848"/>
      <c r="AO42" s="848"/>
      <c r="AP42" s="848"/>
      <c r="AQ42" s="848"/>
      <c r="AR42" s="950"/>
      <c r="AS42" s="850">
        <f>COUNTIFS(tblParticipants[ParticipantID],"&lt;&gt;",tblParticipants[ParticipantName],"&lt;&gt;",tblParticipants[EnrollQtr],1,tblParticipants[ExitQtr],1,tblParticipants[EarnWg2Qae],1)</f>
        <v>0</v>
      </c>
      <c r="AT42" s="851"/>
      <c r="AU42" s="851"/>
      <c r="AV42" s="851"/>
      <c r="AW42" s="851"/>
      <c r="AX42" s="851"/>
      <c r="AY42" s="852"/>
      <c r="AZ42" s="853"/>
      <c r="BA42" s="850">
        <f>COUNTIFS(tblParticipants[ParticipantID],"&lt;&gt;",tblParticipants[ParticipantName],"&lt;&gt;",tblParticipants[EnrollQtr],"&gt;=1",tblParticipants[EnrollQtr],"&lt;=2",tblParticipants[ExitQtr],2,tblParticipants[EarnWg2Qae],1)</f>
        <v>0</v>
      </c>
      <c r="BB42" s="851"/>
      <c r="BC42" s="851"/>
      <c r="BD42" s="851"/>
      <c r="BE42" s="851"/>
      <c r="BF42" s="851"/>
      <c r="BG42" s="852"/>
      <c r="BH42" s="891"/>
      <c r="BI42" s="850">
        <f>COUNTIFS(tblParticipants[ParticipantID],"&lt;&gt;",tblParticipants[ParticipantName],"&lt;&gt;",tblParticipants[EnrollQtr],"&gt;=1",tblParticipants[EnrollQtr],"&lt;=3",tblParticipants[ExitQtr],3,tblParticipants[EarnWg2Qae],1)</f>
        <v>0</v>
      </c>
      <c r="BJ42" s="851"/>
      <c r="BK42" s="851"/>
      <c r="BL42" s="851"/>
      <c r="BM42" s="851"/>
      <c r="BN42" s="851"/>
      <c r="BO42" s="852"/>
      <c r="BP42" s="853"/>
      <c r="BQ42" s="850">
        <f>COUNTIFS(tblParticipants[ParticipantID],"&lt;&gt;",tblParticipants[ParticipantName],"&lt;&gt;",tblParticipants[EnrollQtr],"&gt;=1",tblParticipants[EnrollQtr],"&lt;=4",tblParticipants[ExitQtr],4,tblParticipants[EarnWg2Qae],1)</f>
        <v>0</v>
      </c>
      <c r="BR42" s="851"/>
      <c r="BS42" s="851"/>
      <c r="BT42" s="851"/>
      <c r="BU42" s="851"/>
      <c r="BV42" s="851"/>
      <c r="BW42" s="852"/>
      <c r="BX42" s="853"/>
      <c r="BY42" s="865"/>
      <c r="BZ42" s="866"/>
      <c r="CA42" s="866"/>
      <c r="CB42" s="866"/>
      <c r="CC42" s="866"/>
      <c r="CD42" s="866"/>
      <c r="CE42" s="866"/>
      <c r="CF42" s="867"/>
      <c r="CG42" s="796"/>
      <c r="CH42" s="797"/>
      <c r="CI42" s="797"/>
      <c r="CJ42" s="797"/>
      <c r="CK42" s="797"/>
      <c r="CL42" s="797"/>
      <c r="CM42" s="797"/>
      <c r="CN42" s="798"/>
      <c r="CO42" s="975">
        <f>IF(outReportQtr=3,AS42,IF(outReportQtr=4,AS42+BA42,IF(outReportQtr=5,AS42+BA42+BI42,IF(outReportQtr&gt;=6,AS42+BA42+BI42+BQ42,0))))</f>
        <v>0</v>
      </c>
      <c r="CP42" s="976"/>
      <c r="CQ42" s="976"/>
      <c r="CR42" s="976"/>
      <c r="CS42" s="976"/>
      <c r="CT42" s="976"/>
      <c r="CU42" s="976"/>
      <c r="CV42" s="977"/>
      <c r="CW42" s="27"/>
      <c r="DA42" s="260" t="s">
        <v>2878</v>
      </c>
      <c r="DB42" s="263">
        <v>0</v>
      </c>
      <c r="DC42" s="263">
        <v>0</v>
      </c>
      <c r="DD42" s="263">
        <f>AS42</f>
        <v>0</v>
      </c>
      <c r="DE42" s="263">
        <f>AS42+BA42</f>
        <v>0</v>
      </c>
      <c r="DF42" s="263">
        <f>AS42+BA42+BI42</f>
        <v>0</v>
      </c>
      <c r="DG42" s="263">
        <f>AS42+BA42+BI42+BQ42</f>
        <v>0</v>
      </c>
      <c r="DH42" s="263">
        <f>DG42</f>
        <v>0</v>
      </c>
      <c r="DI42" s="263">
        <f>DG42</f>
        <v>0</v>
      </c>
      <c r="DJ42" s="258">
        <f t="shared" ca="1" si="5"/>
        <v>0</v>
      </c>
    </row>
    <row r="43" spans="1:114" ht="15.6" x14ac:dyDescent="0.3">
      <c r="A43" s="27"/>
      <c r="B43" s="27"/>
      <c r="C43" s="102" t="s">
        <v>2644</v>
      </c>
      <c r="D43" s="943" t="s">
        <v>2517</v>
      </c>
      <c r="E43" s="943"/>
      <c r="F43" s="943"/>
      <c r="G43" s="943"/>
      <c r="H43" s="943"/>
      <c r="I43" s="943"/>
      <c r="J43" s="943"/>
      <c r="K43" s="943"/>
      <c r="L43" s="943"/>
      <c r="M43" s="943"/>
      <c r="N43" s="943"/>
      <c r="O43" s="943"/>
      <c r="P43" s="943"/>
      <c r="Q43" s="943"/>
      <c r="R43" s="943"/>
      <c r="S43" s="943"/>
      <c r="T43" s="943"/>
      <c r="U43" s="943"/>
      <c r="V43" s="943"/>
      <c r="W43" s="943"/>
      <c r="X43" s="943"/>
      <c r="Y43" s="943"/>
      <c r="Z43" s="943"/>
      <c r="AA43" s="944"/>
      <c r="AB43" s="88">
        <f ca="1">IF(DJ43&gt;='VETS-700 Planned Goals'!DI28,1,IF('VETS-700 Planned Goals'!DI28*1.85&gt;DJ43,-1,0))</f>
        <v>1</v>
      </c>
      <c r="AC43" s="803"/>
      <c r="AD43" s="786"/>
      <c r="AE43" s="786"/>
      <c r="AF43" s="786"/>
      <c r="AG43" s="786"/>
      <c r="AH43" s="786"/>
      <c r="AI43" s="786"/>
      <c r="AJ43" s="804"/>
      <c r="AK43" s="785"/>
      <c r="AL43" s="786"/>
      <c r="AM43" s="786"/>
      <c r="AN43" s="786"/>
      <c r="AO43" s="786"/>
      <c r="AP43" s="786"/>
      <c r="AQ43" s="786"/>
      <c r="AR43" s="951"/>
      <c r="AS43" s="854">
        <f>IF(AC22&gt;0,AS42/AC22,0)</f>
        <v>0</v>
      </c>
      <c r="AT43" s="855"/>
      <c r="AU43" s="855"/>
      <c r="AV43" s="855"/>
      <c r="AW43" s="855"/>
      <c r="AX43" s="855"/>
      <c r="AY43" s="856"/>
      <c r="AZ43" s="857"/>
      <c r="BA43" s="854">
        <f>IF(AK22&gt;0,BA42/AK22,0)</f>
        <v>0</v>
      </c>
      <c r="BB43" s="855"/>
      <c r="BC43" s="855"/>
      <c r="BD43" s="855"/>
      <c r="BE43" s="855"/>
      <c r="BF43" s="855"/>
      <c r="BG43" s="856"/>
      <c r="BH43" s="892"/>
      <c r="BI43" s="854">
        <f>IF(AS22&gt;0,BI42/AS22,0)</f>
        <v>0</v>
      </c>
      <c r="BJ43" s="855"/>
      <c r="BK43" s="855"/>
      <c r="BL43" s="855"/>
      <c r="BM43" s="855"/>
      <c r="BN43" s="855"/>
      <c r="BO43" s="856"/>
      <c r="BP43" s="857"/>
      <c r="BQ43" s="854">
        <f>IF(BA22&gt;0,BQ42/BA22,0)</f>
        <v>0</v>
      </c>
      <c r="BR43" s="855"/>
      <c r="BS43" s="855"/>
      <c r="BT43" s="855"/>
      <c r="BU43" s="855"/>
      <c r="BV43" s="855"/>
      <c r="BW43" s="856"/>
      <c r="BX43" s="857"/>
      <c r="BY43" s="799"/>
      <c r="BZ43" s="745"/>
      <c r="CA43" s="745"/>
      <c r="CB43" s="745"/>
      <c r="CC43" s="745"/>
      <c r="CD43" s="745"/>
      <c r="CE43" s="745"/>
      <c r="CF43" s="746"/>
      <c r="CG43" s="759"/>
      <c r="CH43" s="760"/>
      <c r="CI43" s="760"/>
      <c r="CJ43" s="760"/>
      <c r="CK43" s="760"/>
      <c r="CL43" s="760"/>
      <c r="CM43" s="760"/>
      <c r="CN43" s="761"/>
      <c r="CO43" s="960">
        <f>IF(CO42&gt;0,CO42/IF(outReportQtr=3,AC22,IF(outReportQtr=4,AC22+AK22,IF(outReportQtr=5,AC22+AK22+AS22,IF(outReportQtr&gt;=6,AC22+AK22+AS22+BA22,0)))),0)</f>
        <v>0</v>
      </c>
      <c r="CP43" s="961"/>
      <c r="CQ43" s="961"/>
      <c r="CR43" s="961"/>
      <c r="CS43" s="961"/>
      <c r="CT43" s="961"/>
      <c r="CU43" s="961"/>
      <c r="CV43" s="974"/>
      <c r="CW43" s="27"/>
      <c r="DA43" s="260" t="s">
        <v>2879</v>
      </c>
      <c r="DB43" s="262">
        <v>0</v>
      </c>
      <c r="DC43" s="262">
        <v>0</v>
      </c>
      <c r="DD43" s="262">
        <f>IF(DB22&gt;0,DD42/DB22,0)</f>
        <v>0</v>
      </c>
      <c r="DE43" s="262">
        <f t="shared" ref="DE43:DF43" si="12">IF(DC22&gt;0,DE42/DC22,0)</f>
        <v>0</v>
      </c>
      <c r="DF43" s="262">
        <f t="shared" si="12"/>
        <v>0</v>
      </c>
      <c r="DG43" s="262">
        <f>IF(DE22&gt;0,DG42/DE22,0)</f>
        <v>0</v>
      </c>
      <c r="DH43" s="262">
        <f>DG43</f>
        <v>0</v>
      </c>
      <c r="DI43" s="262">
        <f>DG43</f>
        <v>0</v>
      </c>
      <c r="DJ43" s="270">
        <f t="shared" ca="1" si="5"/>
        <v>0</v>
      </c>
    </row>
    <row r="44" spans="1:114" ht="15.6" x14ac:dyDescent="0.3">
      <c r="A44" s="27"/>
      <c r="B44" s="27"/>
      <c r="C44" s="102" t="s">
        <v>2645</v>
      </c>
      <c r="D44" s="943" t="s">
        <v>2520</v>
      </c>
      <c r="E44" s="943"/>
      <c r="F44" s="943"/>
      <c r="G44" s="943"/>
      <c r="H44" s="943"/>
      <c r="I44" s="943"/>
      <c r="J44" s="943"/>
      <c r="K44" s="943"/>
      <c r="L44" s="943"/>
      <c r="M44" s="943"/>
      <c r="N44" s="943"/>
      <c r="O44" s="943"/>
      <c r="P44" s="943"/>
      <c r="Q44" s="943"/>
      <c r="R44" s="943"/>
      <c r="S44" s="943"/>
      <c r="T44" s="943"/>
      <c r="U44" s="943"/>
      <c r="V44" s="943"/>
      <c r="W44" s="943"/>
      <c r="X44" s="943"/>
      <c r="Y44" s="943"/>
      <c r="Z44" s="943"/>
      <c r="AA44" s="944"/>
      <c r="AB44" s="88">
        <f ca="1">IF(DJ44&gt;='VETS-700 Planned Goals'!DI29,1,IF('VETS-700 Planned Goals'!DI29*0.85&gt;DJ44,-1,0))</f>
        <v>1</v>
      </c>
      <c r="AC44" s="803"/>
      <c r="AD44" s="786"/>
      <c r="AE44" s="786"/>
      <c r="AF44" s="786"/>
      <c r="AG44" s="786"/>
      <c r="AH44" s="786"/>
      <c r="AI44" s="786"/>
      <c r="AJ44" s="804"/>
      <c r="AK44" s="785"/>
      <c r="AL44" s="786"/>
      <c r="AM44" s="786"/>
      <c r="AN44" s="786"/>
      <c r="AO44" s="786"/>
      <c r="AP44" s="786"/>
      <c r="AQ44" s="786"/>
      <c r="AR44" s="951"/>
      <c r="AS44" s="793">
        <f t="array" ref="AS44">IF(SUM(IF(((tblParticipants[ParticipantID]&lt;&gt;"")*(tblParticipants[ParticipantName]&lt;&gt;"")*(tblParticipants[EnrollQtr]=1)*(tblParticipants[ExitQtr]=1)*(tblParticipants[EarnWg2Qae]=1)*(tblParticipants[Earnings2Qae]&gt;0)),1,0))&gt;0,MEDIAN(IF(((tblParticipants[ParticipantID]&lt;&gt;"")*(tblParticipants[ParticipantName]&lt;&gt;"")*(tblParticipants[EnrollQtr]=1)*(tblParticipants[ExitQtr]=1)*(tblParticipants[EarnWg2Qae]=1)*(tblParticipants[Earnings2Qae]&gt;0)),tblParticipants[Earnings2Qae])),0)</f>
        <v>0</v>
      </c>
      <c r="AT44" s="794"/>
      <c r="AU44" s="794"/>
      <c r="AV44" s="794"/>
      <c r="AW44" s="794"/>
      <c r="AX44" s="794"/>
      <c r="AY44" s="794"/>
      <c r="AZ44" s="795"/>
      <c r="BA44" s="793">
        <f t="array" ref="BA44">IF(SUM(IF(((tblParticipants[ParticipantID]&lt;&gt;"")*(tblParticipants[ParticipantName]&lt;&gt;"")*(tblParticipants[EnrollQtr]&gt;=1)*(tblParticipants[EnrollQtr]&lt;=2)*(tblParticipants[ExitQtr]=2)*(tblParticipants[EarnWg2Qae]=1)*(tblParticipants[Earnings2Qae]&gt;0)),1,0))&gt;0,MEDIAN(IF(((tblParticipants[ParticipantID]&lt;&gt;"")*(tblParticipants[ParticipantName]&lt;&gt;"")*(tblParticipants[EnrollQtr]&gt;=1)*(tblParticipants[EnrollQtr]&lt;=2)*(tblParticipants[ExitQtr]=2)*(tblParticipants[EarnWg2Qae]=1)*(tblParticipants[Earnings2Qae]&gt;0)),tblParticipants[Earnings2Qae])),0)</f>
        <v>0</v>
      </c>
      <c r="BB44" s="794"/>
      <c r="BC44" s="794"/>
      <c r="BD44" s="794"/>
      <c r="BE44" s="794"/>
      <c r="BF44" s="794"/>
      <c r="BG44" s="794"/>
      <c r="BH44" s="795"/>
      <c r="BI44" s="793">
        <f t="array" ref="BI44">IF(SUM(IF(((tblParticipants[ParticipantID]&lt;&gt;"")*(tblParticipants[ParticipantName]&lt;&gt;"")*(tblParticipants[EnrollQtr]&gt;=1)*(tblParticipants[EnrollQtr]&lt;=3)*(tblParticipants[ExitQtr]=3)*(tblParticipants[EarnWg2Qae]=1)*(tblParticipants[Earnings2Qae]&gt;0)),1,0))&gt;0,MEDIAN(IF(((tblParticipants[ParticipantID]&lt;&gt;"")*(tblParticipants[ParticipantName]&lt;&gt;"")*(tblParticipants[EnrollQtr]&gt;=1)*(tblParticipants[EnrollQtr]&lt;=3)*(tblParticipants[ExitQtr]=3)*(tblParticipants[EarnWg2Qae]=1)*(tblParticipants[Earnings2Qae]&gt;0)),tblParticipants[Earnings2Qae])),0)</f>
        <v>0</v>
      </c>
      <c r="BJ44" s="794"/>
      <c r="BK44" s="794"/>
      <c r="BL44" s="794"/>
      <c r="BM44" s="794"/>
      <c r="BN44" s="794"/>
      <c r="BO44" s="794"/>
      <c r="BP44" s="795"/>
      <c r="BQ44" s="793">
        <f t="array" ref="BQ44">IF(SUM(IF(((tblParticipants[ParticipantID]&lt;&gt;"")*(tblParticipants[ParticipantName]&lt;&gt;"")*(tblParticipants[EnrollQtr]&gt;=1)*(tblParticipants[EnrollQtr]&lt;=4)*(tblParticipants[ExitQtr]=4)*(tblParticipants[EarnWg2Qae]=1)*(tblParticipants[Earnings2Qae]&gt;0)),1,0))&gt;0,MEDIAN(IF(((tblParticipants[ParticipantID]&lt;&gt;"")*(tblParticipants[ParticipantName]&lt;&gt;"")*(tblParticipants[EnrollQtr]&gt;=1)*(tblParticipants[EnrollQtr]&lt;=4)*(tblParticipants[ExitQtr]=4)*(tblParticipants[EarnWg2Qae]=1)*(tblParticipants[Earnings2Qae]&gt;0)),tblParticipants[Earnings2Qae])),0)</f>
        <v>0</v>
      </c>
      <c r="BR44" s="794"/>
      <c r="BS44" s="794"/>
      <c r="BT44" s="794"/>
      <c r="BU44" s="794"/>
      <c r="BV44" s="794"/>
      <c r="BW44" s="794"/>
      <c r="BX44" s="795"/>
      <c r="BY44" s="800"/>
      <c r="BZ44" s="801"/>
      <c r="CA44" s="801"/>
      <c r="CB44" s="801"/>
      <c r="CC44" s="801"/>
      <c r="CD44" s="801"/>
      <c r="CE44" s="801"/>
      <c r="CF44" s="802"/>
      <c r="CG44" s="812"/>
      <c r="CH44" s="813"/>
      <c r="CI44" s="813"/>
      <c r="CJ44" s="813"/>
      <c r="CK44" s="813"/>
      <c r="CL44" s="813"/>
      <c r="CM44" s="813"/>
      <c r="CN44" s="814"/>
      <c r="CO44" s="971">
        <f ca="1">DJ44</f>
        <v>0</v>
      </c>
      <c r="CP44" s="972"/>
      <c r="CQ44" s="972"/>
      <c r="CR44" s="972"/>
      <c r="CS44" s="972"/>
      <c r="CT44" s="972"/>
      <c r="CU44" s="972"/>
      <c r="CV44" s="973"/>
      <c r="CW44" s="27"/>
      <c r="DA44" s="260" t="s">
        <v>2880</v>
      </c>
      <c r="DB44" s="264">
        <v>0</v>
      </c>
      <c r="DC44" s="264">
        <v>0</v>
      </c>
      <c r="DD44" s="264">
        <f>AS44</f>
        <v>0</v>
      </c>
      <c r="DE44" s="264">
        <f t="array" ref="DE44">IF(SUM(IF(((tblParticipants[ParticipantID]&lt;&gt;"")*(tblParticipants[ParticipantName]&lt;&gt;"")*(tblParticipants[EnrollQtr]&gt;=1)*(tblParticipants[EnrollQtr]&lt;=2)*(tblParticipants[ExitQtr]&gt;=1)*(tblParticipants[ExitQtr]&lt;=2)*(tblParticipants[EarnWg2Qae]=1)*(tblParticipants[Earnings2Qae]&gt;0)),1,0))&gt;0,MEDIAN(IF(((tblParticipants[ParticipantID]&lt;&gt;"")*(tblParticipants[ParticipantName]&lt;&gt;"")*(tblParticipants[EnrollQtr]&gt;=1)*(tblParticipants[EnrollQtr]&lt;=2)*(tblParticipants[ExitQtr]&gt;=1)*(tblParticipants[ExitQtr]&lt;=2)*(tblParticipants[EarnWg2Qae]=1)*(tblParticipants[Earnings2Qae]&gt;0)),tblParticipants[Earnings2Qae])),0)</f>
        <v>0</v>
      </c>
      <c r="DF44" s="264">
        <f t="array" ref="DF44">IF(SUM(IF(((tblParticipants[ParticipantID]&lt;&gt;"")*(tblParticipants[ParticipantName]&lt;&gt;"")*(tblParticipants[EnrollQtr]&gt;=1)*(tblParticipants[EnrollQtr]&lt;=3)*(tblParticipants[ExitQtr]&gt;=1)*(tblParticipants[ExitQtr]&lt;=3)*(tblParticipants[EarnWg2Qae]=1)*(tblParticipants[Earnings2Qae]&gt;0)),1,0))&gt;0,MEDIAN(IF(((tblParticipants[ParticipantID]&lt;&gt;"")*(tblParticipants[ParticipantName]&lt;&gt;"")*(tblParticipants[EnrollQtr]&gt;=1)*(tblParticipants[EnrollQtr]&lt;=3)*(tblParticipants[ExitQtr]&gt;=1)*(tblParticipants[ExitQtr]&lt;=3)*(tblParticipants[EarnWg2Qae]=1)*(tblParticipants[Earnings2Qae]&gt;0)),tblParticipants[Earnings2Qae])),0)</f>
        <v>0</v>
      </c>
      <c r="DG44" s="264">
        <f t="array" ref="DG44">IF(SUM(IF(((tblParticipants[ParticipantID]&lt;&gt;"")*(tblParticipants[ParticipantName]&lt;&gt;"")*(tblParticipants[EnrollQtr]&gt;=1)*(tblParticipants[EnrollQtr]&lt;=4)*(tblParticipants[ExitQtr]&gt;=1)*(tblParticipants[ExitQtr]&lt;=4)*(tblParticipants[EarnWg2Qae]=1)*(tblParticipants[Earnings2Qae]&gt;0)),1,0))&gt;0,MEDIAN(IF(((tblParticipants[ParticipantID]&lt;&gt;"")*(tblParticipants[ParticipantName]&lt;&gt;"")*(tblParticipants[EnrollQtr]&gt;=1)*(tblParticipants[EnrollQtr]&lt;=4)*(tblParticipants[ExitQtr]&gt;=1)*(tblParticipants[ExitQtr]&lt;=4)*(tblParticipants[EarnWg2Qae]=1)*(tblParticipants[Earnings2Qae]&gt;0)),tblParticipants[Earnings2Qae])),0)</f>
        <v>0</v>
      </c>
      <c r="DH44" s="264">
        <f>DG44</f>
        <v>0</v>
      </c>
      <c r="DI44" s="264">
        <f>DG44</f>
        <v>0</v>
      </c>
      <c r="DJ44" s="261">
        <f t="shared" ca="1" si="5"/>
        <v>0</v>
      </c>
    </row>
    <row r="45" spans="1:114" ht="15.6" x14ac:dyDescent="0.3">
      <c r="A45" s="27"/>
      <c r="B45" s="27"/>
      <c r="C45" s="102" t="s">
        <v>2646</v>
      </c>
      <c r="D45" s="943" t="s">
        <v>2518</v>
      </c>
      <c r="E45" s="943"/>
      <c r="F45" s="943"/>
      <c r="G45" s="943"/>
      <c r="H45" s="943"/>
      <c r="I45" s="943"/>
      <c r="J45" s="943"/>
      <c r="K45" s="943"/>
      <c r="L45" s="943"/>
      <c r="M45" s="943"/>
      <c r="N45" s="943"/>
      <c r="O45" s="943"/>
      <c r="P45" s="943"/>
      <c r="Q45" s="943"/>
      <c r="R45" s="943"/>
      <c r="S45" s="943"/>
      <c r="T45" s="943"/>
      <c r="U45" s="943"/>
      <c r="V45" s="943"/>
      <c r="W45" s="943"/>
      <c r="X45" s="943"/>
      <c r="Y45" s="943"/>
      <c r="Z45" s="943"/>
      <c r="AA45" s="944"/>
      <c r="AB45" s="96"/>
      <c r="AC45" s="803"/>
      <c r="AD45" s="786"/>
      <c r="AE45" s="786"/>
      <c r="AF45" s="786"/>
      <c r="AG45" s="786"/>
      <c r="AH45" s="786"/>
      <c r="AI45" s="786"/>
      <c r="AJ45" s="804"/>
      <c r="AK45" s="785"/>
      <c r="AL45" s="786"/>
      <c r="AM45" s="786"/>
      <c r="AN45" s="786"/>
      <c r="AO45" s="786"/>
      <c r="AP45" s="786"/>
      <c r="AQ45" s="786"/>
      <c r="AR45" s="804"/>
      <c r="AS45" s="796"/>
      <c r="AT45" s="797"/>
      <c r="AU45" s="797"/>
      <c r="AV45" s="797"/>
      <c r="AW45" s="797"/>
      <c r="AX45" s="797"/>
      <c r="AY45" s="797"/>
      <c r="AZ45" s="864"/>
      <c r="BA45" s="796"/>
      <c r="BB45" s="797"/>
      <c r="BC45" s="797"/>
      <c r="BD45" s="797"/>
      <c r="BE45" s="797"/>
      <c r="BF45" s="797"/>
      <c r="BG45" s="797"/>
      <c r="BH45" s="886"/>
      <c r="BI45" s="850">
        <f>COUNTIFS(tblParticipants[ParticipantID],"&lt;&gt;",tblParticipants[ParticipantName],"&lt;&gt;",tblParticipants[EnrollQtr],1,tblParticipants[ExitQtr],1,tblParticipants[EarnWg4Qae],1)</f>
        <v>0</v>
      </c>
      <c r="BJ45" s="851"/>
      <c r="BK45" s="851"/>
      <c r="BL45" s="851"/>
      <c r="BM45" s="851"/>
      <c r="BN45" s="851"/>
      <c r="BO45" s="852"/>
      <c r="BP45" s="853"/>
      <c r="BQ45" s="850">
        <f>COUNTIFS(tblParticipants[ParticipantID],"&lt;&gt;",tblParticipants[ParticipantName],"&lt;&gt;",tblParticipants[EnrollQtr],"&gt;=1",tblParticipants[EnrollQtr],"&lt;=2",tblParticipants[ExitQtr],2,tblParticipants[EarnWg4Qae],1)</f>
        <v>0</v>
      </c>
      <c r="BR45" s="851"/>
      <c r="BS45" s="851"/>
      <c r="BT45" s="851"/>
      <c r="BU45" s="851"/>
      <c r="BV45" s="851"/>
      <c r="BW45" s="852"/>
      <c r="BX45" s="853"/>
      <c r="BY45" s="850">
        <f>COUNTIFS(tblParticipants[ParticipantID],"&lt;&gt;",tblParticipants[ParticipantName],"&lt;&gt;",tblParticipants[EnrollQtr],"&gt;=1",tblParticipants[EnrollQtr],"&lt;=3",tblParticipants[ExitQtr],3,tblParticipants[EarnWg4Qae],1)</f>
        <v>0</v>
      </c>
      <c r="BZ45" s="851"/>
      <c r="CA45" s="851"/>
      <c r="CB45" s="851"/>
      <c r="CC45" s="851"/>
      <c r="CD45" s="851"/>
      <c r="CE45" s="851"/>
      <c r="CF45" s="863"/>
      <c r="CG45" s="850">
        <f>COUNTIFS(tblParticipants[ParticipantID],"&lt;&gt;",tblParticipants[ParticipantName],"&lt;&gt;",tblParticipants[EnrollQtr],"&gt;=1",tblParticipants[EnrollQtr],"&lt;=4",tblParticipants[ExitQtr],4,tblParticipants[EarnWg4Qae],1)</f>
        <v>0</v>
      </c>
      <c r="CH45" s="851"/>
      <c r="CI45" s="851"/>
      <c r="CJ45" s="851"/>
      <c r="CK45" s="851"/>
      <c r="CL45" s="851"/>
      <c r="CM45" s="852"/>
      <c r="CN45" s="853"/>
      <c r="CO45" s="969">
        <f>IF(outReportQtr=5,BI45,IF(outReportQtr=6,BI45+BQ45,IF(outReportQtr=7,BI45+BQ45+BY45,IF(outReportQtr=8,BI45+BQ45+BY45+CG45,0))))</f>
        <v>0</v>
      </c>
      <c r="CP45" s="833"/>
      <c r="CQ45" s="833"/>
      <c r="CR45" s="833"/>
      <c r="CS45" s="833"/>
      <c r="CT45" s="833"/>
      <c r="CU45" s="833"/>
      <c r="CV45" s="970"/>
      <c r="CW45" s="27"/>
      <c r="DA45" s="260" t="s">
        <v>2881</v>
      </c>
      <c r="DB45" s="263">
        <v>0</v>
      </c>
      <c r="DC45" s="263">
        <v>0</v>
      </c>
      <c r="DD45" s="263">
        <v>0</v>
      </c>
      <c r="DE45" s="263">
        <v>0</v>
      </c>
      <c r="DF45" s="263">
        <f>BI45</f>
        <v>0</v>
      </c>
      <c r="DG45" s="263">
        <f>BI45+BQ45</f>
        <v>0</v>
      </c>
      <c r="DH45" s="263">
        <f>BI45+BQ45+BY45</f>
        <v>0</v>
      </c>
      <c r="DI45" s="263">
        <f>BI45+BQ45+BY45+CG45</f>
        <v>0</v>
      </c>
      <c r="DJ45" s="258">
        <f t="shared" ca="1" si="5"/>
        <v>0</v>
      </c>
    </row>
    <row r="46" spans="1:114" ht="15.6" x14ac:dyDescent="0.3">
      <c r="A46" s="27"/>
      <c r="B46" s="27"/>
      <c r="C46" s="103" t="s">
        <v>2647</v>
      </c>
      <c r="D46" s="943" t="s">
        <v>2519</v>
      </c>
      <c r="E46" s="943"/>
      <c r="F46" s="943"/>
      <c r="G46" s="943"/>
      <c r="H46" s="943"/>
      <c r="I46" s="943"/>
      <c r="J46" s="943"/>
      <c r="K46" s="943"/>
      <c r="L46" s="943"/>
      <c r="M46" s="943"/>
      <c r="N46" s="943"/>
      <c r="O46" s="943"/>
      <c r="P46" s="943"/>
      <c r="Q46" s="943"/>
      <c r="R46" s="943"/>
      <c r="S46" s="943"/>
      <c r="T46" s="943"/>
      <c r="U46" s="943"/>
      <c r="V46" s="943"/>
      <c r="W46" s="943"/>
      <c r="X46" s="943"/>
      <c r="Y46" s="943"/>
      <c r="Z46" s="943"/>
      <c r="AA46" s="944"/>
      <c r="AB46" s="88">
        <f ca="1">IF(DJ46&gt;='VETS-700 Planned Goals'!DI31,1,IF('VETS-700 Planned Goals'!DI31*0.85&gt;DJ46,-1,0))</f>
        <v>1</v>
      </c>
      <c r="AC46" s="773"/>
      <c r="AD46" s="774"/>
      <c r="AE46" s="774"/>
      <c r="AF46" s="774"/>
      <c r="AG46" s="774"/>
      <c r="AH46" s="774"/>
      <c r="AI46" s="774"/>
      <c r="AJ46" s="775"/>
      <c r="AK46" s="791"/>
      <c r="AL46" s="774"/>
      <c r="AM46" s="774"/>
      <c r="AN46" s="774"/>
      <c r="AO46" s="774"/>
      <c r="AP46" s="774"/>
      <c r="AQ46" s="774"/>
      <c r="AR46" s="775"/>
      <c r="AS46" s="812"/>
      <c r="AT46" s="813"/>
      <c r="AU46" s="813"/>
      <c r="AV46" s="813"/>
      <c r="AW46" s="813"/>
      <c r="AX46" s="813"/>
      <c r="AY46" s="813"/>
      <c r="AZ46" s="875"/>
      <c r="BA46" s="812"/>
      <c r="BB46" s="813"/>
      <c r="BC46" s="813"/>
      <c r="BD46" s="813"/>
      <c r="BE46" s="813"/>
      <c r="BF46" s="813"/>
      <c r="BG46" s="813"/>
      <c r="BH46" s="887"/>
      <c r="BI46" s="854">
        <f>IF(AC22&gt;0,BI45/AC22,0)</f>
        <v>0</v>
      </c>
      <c r="BJ46" s="855"/>
      <c r="BK46" s="855"/>
      <c r="BL46" s="855"/>
      <c r="BM46" s="855"/>
      <c r="BN46" s="855"/>
      <c r="BO46" s="856"/>
      <c r="BP46" s="857"/>
      <c r="BQ46" s="854">
        <f>IF(AK22&gt;0,BQ45/AK22,0)</f>
        <v>0</v>
      </c>
      <c r="BR46" s="855"/>
      <c r="BS46" s="855"/>
      <c r="BT46" s="855"/>
      <c r="BU46" s="855"/>
      <c r="BV46" s="855"/>
      <c r="BW46" s="856"/>
      <c r="BX46" s="857"/>
      <c r="BY46" s="854">
        <f>IF(AS22&gt;0,BY45/AS22,0)</f>
        <v>0</v>
      </c>
      <c r="BZ46" s="855"/>
      <c r="CA46" s="855"/>
      <c r="CB46" s="855"/>
      <c r="CC46" s="855"/>
      <c r="CD46" s="855"/>
      <c r="CE46" s="856"/>
      <c r="CF46" s="857"/>
      <c r="CG46" s="854">
        <f>IF(BA22&gt;0,CG45/BA22,0)</f>
        <v>0</v>
      </c>
      <c r="CH46" s="855"/>
      <c r="CI46" s="855"/>
      <c r="CJ46" s="855"/>
      <c r="CK46" s="855"/>
      <c r="CL46" s="855"/>
      <c r="CM46" s="856"/>
      <c r="CN46" s="857"/>
      <c r="CO46" s="962">
        <f>IF(CO45&gt;0,CO45/IF(outReportQtr=5,AC22,IF(outReportQtr=6,AC22+AK22,IF(outReportQtr=7,AC22+AK22+AS22,IF(outReportQtr=8,AC22+AK22+AS22+BA22,0)))),0)</f>
        <v>0</v>
      </c>
      <c r="CP46" s="963"/>
      <c r="CQ46" s="963"/>
      <c r="CR46" s="963"/>
      <c r="CS46" s="963"/>
      <c r="CT46" s="963"/>
      <c r="CU46" s="963"/>
      <c r="CV46" s="964"/>
      <c r="CW46" s="27"/>
      <c r="DA46" s="260" t="s">
        <v>2882</v>
      </c>
      <c r="DB46" s="262">
        <v>0</v>
      </c>
      <c r="DC46" s="262">
        <v>0</v>
      </c>
      <c r="DD46" s="262">
        <v>0</v>
      </c>
      <c r="DE46" s="262">
        <v>0</v>
      </c>
      <c r="DF46" s="262">
        <f>IF(DB22&gt;0,DF45/DB22,0)</f>
        <v>0</v>
      </c>
      <c r="DG46" s="262">
        <f t="shared" ref="DG46:DI46" si="13">IF(DC22&gt;0,DG45/DC22,0)</f>
        <v>0</v>
      </c>
      <c r="DH46" s="262">
        <f t="shared" si="13"/>
        <v>0</v>
      </c>
      <c r="DI46" s="262">
        <f t="shared" si="13"/>
        <v>0</v>
      </c>
      <c r="DJ46" s="258">
        <f t="shared" ca="1" si="5"/>
        <v>0</v>
      </c>
    </row>
    <row r="47" spans="1:114" ht="8.25" customHeight="1" x14ac:dyDescent="0.3">
      <c r="A47" s="27"/>
      <c r="B47" s="27"/>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7"/>
      <c r="DA47" s="260"/>
      <c r="DB47" s="262"/>
      <c r="DC47" s="262"/>
      <c r="DD47" s="262"/>
      <c r="DE47" s="262"/>
      <c r="DF47" s="262"/>
      <c r="DG47" s="262"/>
      <c r="DH47" s="262"/>
      <c r="DI47" s="262"/>
      <c r="DJ47" s="258"/>
    </row>
    <row r="48" spans="1:114" ht="15.6" x14ac:dyDescent="0.3">
      <c r="A48" s="27"/>
      <c r="B48" s="29"/>
      <c r="C48" s="938" t="s">
        <v>2842</v>
      </c>
      <c r="D48" s="939"/>
      <c r="E48" s="939"/>
      <c r="F48" s="939"/>
      <c r="G48" s="939"/>
      <c r="H48" s="939"/>
      <c r="I48" s="939"/>
      <c r="J48" s="939"/>
      <c r="K48" s="939"/>
      <c r="L48" s="939"/>
      <c r="M48" s="939"/>
      <c r="N48" s="939"/>
      <c r="O48" s="939"/>
      <c r="P48" s="940"/>
      <c r="Q48" s="940"/>
      <c r="R48" s="940"/>
      <c r="S48" s="940"/>
      <c r="T48" s="940"/>
      <c r="U48" s="940"/>
      <c r="V48" s="940"/>
      <c r="W48" s="940"/>
      <c r="X48" s="940"/>
      <c r="Y48" s="940"/>
      <c r="Z48" s="940"/>
      <c r="AA48" s="940"/>
      <c r="AB48" s="133"/>
      <c r="AC48" s="822"/>
      <c r="AD48" s="823"/>
      <c r="AE48" s="823"/>
      <c r="AF48" s="823"/>
      <c r="AG48" s="823"/>
      <c r="AH48" s="823"/>
      <c r="AI48" s="823"/>
      <c r="AJ48" s="824"/>
      <c r="AK48" s="776"/>
      <c r="AL48" s="777"/>
      <c r="AM48" s="777"/>
      <c r="AN48" s="777"/>
      <c r="AO48" s="777"/>
      <c r="AP48" s="777"/>
      <c r="AQ48" s="777"/>
      <c r="AR48" s="778"/>
      <c r="AS48" s="822"/>
      <c r="AT48" s="823"/>
      <c r="AU48" s="823"/>
      <c r="AV48" s="823"/>
      <c r="AW48" s="823"/>
      <c r="AX48" s="823"/>
      <c r="AY48" s="823"/>
      <c r="AZ48" s="824"/>
      <c r="BA48" s="776"/>
      <c r="BB48" s="777"/>
      <c r="BC48" s="777"/>
      <c r="BD48" s="777"/>
      <c r="BE48" s="777"/>
      <c r="BF48" s="777"/>
      <c r="BG48" s="777"/>
      <c r="BH48" s="778"/>
      <c r="BI48" s="776"/>
      <c r="BJ48" s="777"/>
      <c r="BK48" s="777"/>
      <c r="BL48" s="777"/>
      <c r="BM48" s="777"/>
      <c r="BN48" s="777"/>
      <c r="BO48" s="777"/>
      <c r="BP48" s="778"/>
      <c r="BQ48" s="776"/>
      <c r="BR48" s="777"/>
      <c r="BS48" s="777"/>
      <c r="BT48" s="777"/>
      <c r="BU48" s="777"/>
      <c r="BV48" s="777"/>
      <c r="BW48" s="777"/>
      <c r="BX48" s="778"/>
      <c r="BY48" s="776"/>
      <c r="BZ48" s="777"/>
      <c r="CA48" s="777"/>
      <c r="CB48" s="777"/>
      <c r="CC48" s="777"/>
      <c r="CD48" s="777"/>
      <c r="CE48" s="777"/>
      <c r="CF48" s="778"/>
      <c r="CG48" s="776"/>
      <c r="CH48" s="777"/>
      <c r="CI48" s="777"/>
      <c r="CJ48" s="777"/>
      <c r="CK48" s="777"/>
      <c r="CL48" s="777"/>
      <c r="CM48" s="777"/>
      <c r="CN48" s="778"/>
      <c r="CO48" s="776"/>
      <c r="CP48" s="777"/>
      <c r="CQ48" s="777"/>
      <c r="CR48" s="777"/>
      <c r="CS48" s="777"/>
      <c r="CT48" s="777"/>
      <c r="CU48" s="777"/>
      <c r="CV48" s="1149"/>
      <c r="CW48" s="27"/>
      <c r="DA48" s="260"/>
      <c r="DB48" s="262"/>
      <c r="DC48" s="262"/>
      <c r="DD48" s="262"/>
      <c r="DE48" s="262"/>
      <c r="DF48" s="262"/>
      <c r="DG48" s="262"/>
      <c r="DH48" s="262"/>
      <c r="DI48" s="262"/>
      <c r="DJ48" s="258"/>
    </row>
    <row r="49" spans="1:114" ht="32.25" customHeight="1" x14ac:dyDescent="0.3">
      <c r="A49" s="27"/>
      <c r="B49" s="27"/>
      <c r="C49" s="101" t="s">
        <v>2643</v>
      </c>
      <c r="D49" s="989" t="s">
        <v>2637</v>
      </c>
      <c r="E49" s="990"/>
      <c r="F49" s="990"/>
      <c r="G49" s="990"/>
      <c r="H49" s="990"/>
      <c r="I49" s="990"/>
      <c r="J49" s="990"/>
      <c r="K49" s="990"/>
      <c r="L49" s="990"/>
      <c r="M49" s="990"/>
      <c r="N49" s="990"/>
      <c r="O49" s="990"/>
      <c r="P49" s="990"/>
      <c r="Q49" s="990"/>
      <c r="R49" s="990"/>
      <c r="S49" s="990"/>
      <c r="T49" s="990"/>
      <c r="U49" s="990"/>
      <c r="V49" s="990"/>
      <c r="W49" s="990"/>
      <c r="X49" s="990"/>
      <c r="Y49" s="990"/>
      <c r="Z49" s="990"/>
      <c r="AA49" s="991"/>
      <c r="AB49" s="87"/>
      <c r="AC49" s="862">
        <f>COUNTIFS(tblParticipants[ParticipantID],"&lt;&gt;",tblParticipants[ParticipantName],"&lt;&gt;",tblParticipants[EnrollQtr],1,tblParticipants[DtFirstTrain],CONCATENATE("&gt;=",DATE(conProgYear,7,1)),tblParticipants[DtFirstTrain],CONCATENATE("&lt;=",DATE(conProgYear,9,30)))</f>
        <v>0</v>
      </c>
      <c r="AD49" s="859"/>
      <c r="AE49" s="859"/>
      <c r="AF49" s="859"/>
      <c r="AG49" s="859"/>
      <c r="AH49" s="859"/>
      <c r="AI49" s="860"/>
      <c r="AJ49" s="861"/>
      <c r="AK49" s="858">
        <f>COUNTIFS(tblParticipants[ParticipantID],"&lt;&gt;",tblParticipants[ParticipantName],"&lt;&gt;",tblParticipants[EnrollQtr],"&gt;=1",tblParticipants[EnrollQtr],"&lt;=2",tblParticipants[DtFirstTrain],CONCATENATE("&gt;=",DATE(conProgYear,10,1)),tblParticipants[DtFirstTrain],CONCATENATE("&lt;=",DATE(conProgYear,12,31)))</f>
        <v>0</v>
      </c>
      <c r="AL49" s="859"/>
      <c r="AM49" s="859"/>
      <c r="AN49" s="859"/>
      <c r="AO49" s="859"/>
      <c r="AP49" s="859"/>
      <c r="AQ49" s="860"/>
      <c r="AR49" s="861"/>
      <c r="AS49" s="858">
        <f>COUNTIFS(tblParticipants[ParticipantID],"&lt;&gt;",tblParticipants[ParticipantName],"&lt;&gt;",tblParticipants[EnrollQtr],"&gt;=1",tblParticipants[EnrollQtr],"&lt;=3",tblParticipants[DtFirstTrain],CONCATENATE("&gt;=",DATE(conProgYear+1,1,1)),tblParticipants[DtFirstTrain],CONCATENATE("&lt;=",DATE(conProgYear+1,3,31)))</f>
        <v>0</v>
      </c>
      <c r="AT49" s="859"/>
      <c r="AU49" s="859"/>
      <c r="AV49" s="859"/>
      <c r="AW49" s="859"/>
      <c r="AX49" s="859"/>
      <c r="AY49" s="860"/>
      <c r="AZ49" s="861"/>
      <c r="BA49" s="858">
        <f>COUNTIFS(tblParticipants[ParticipantID],"&lt;&gt;",tblParticipants[ParticipantName],"&lt;&gt;",tblParticipants[EnrollQtr],4,tblParticipants[DtFirstTrain],CONCATENATE("&gt;=",DATE(conProgYear+1,4,1)),tblParticipants[DtFirstTrain],CONCATENATE("&lt;=",DATE(conProgYear+1,6,30)))</f>
        <v>0</v>
      </c>
      <c r="BB49" s="859"/>
      <c r="BC49" s="859"/>
      <c r="BD49" s="859"/>
      <c r="BE49" s="859"/>
      <c r="BF49" s="859"/>
      <c r="BG49" s="860"/>
      <c r="BH49" s="861"/>
      <c r="BI49" s="872"/>
      <c r="BJ49" s="797"/>
      <c r="BK49" s="797"/>
      <c r="BL49" s="797"/>
      <c r="BM49" s="797"/>
      <c r="BN49" s="797"/>
      <c r="BO49" s="797"/>
      <c r="BP49" s="864"/>
      <c r="BQ49" s="873"/>
      <c r="BR49" s="866"/>
      <c r="BS49" s="866"/>
      <c r="BT49" s="866"/>
      <c r="BU49" s="866"/>
      <c r="BV49" s="866"/>
      <c r="BW49" s="866"/>
      <c r="BX49" s="867"/>
      <c r="BY49" s="873"/>
      <c r="BZ49" s="866"/>
      <c r="CA49" s="866"/>
      <c r="CB49" s="866"/>
      <c r="CC49" s="866"/>
      <c r="CD49" s="866"/>
      <c r="CE49" s="866"/>
      <c r="CF49" s="867"/>
      <c r="CG49" s="796"/>
      <c r="CH49" s="797"/>
      <c r="CI49" s="797"/>
      <c r="CJ49" s="797"/>
      <c r="CK49" s="797"/>
      <c r="CL49" s="797"/>
      <c r="CM49" s="797"/>
      <c r="CN49" s="798"/>
      <c r="CO49" s="983">
        <f ca="1">DJ49</f>
        <v>0</v>
      </c>
      <c r="CP49" s="976"/>
      <c r="CQ49" s="976"/>
      <c r="CR49" s="976"/>
      <c r="CS49" s="976"/>
      <c r="CT49" s="976"/>
      <c r="CU49" s="976"/>
      <c r="CV49" s="977"/>
      <c r="CW49" s="27"/>
      <c r="DA49" s="260" t="s">
        <v>2908</v>
      </c>
      <c r="DB49" s="263">
        <f>AC49</f>
        <v>0</v>
      </c>
      <c r="DC49" s="263">
        <f>AC49+AK49</f>
        <v>0</v>
      </c>
      <c r="DD49" s="263">
        <f>AC49+AK49+AS49</f>
        <v>0</v>
      </c>
      <c r="DE49" s="263">
        <f>AC49+AK49+AS49+BA49</f>
        <v>0</v>
      </c>
      <c r="DF49" s="263">
        <f>DE49</f>
        <v>0</v>
      </c>
      <c r="DG49" s="263">
        <f>DE49</f>
        <v>0</v>
      </c>
      <c r="DH49" s="263">
        <f>DE49</f>
        <v>0</v>
      </c>
      <c r="DI49" s="263">
        <f>DE49</f>
        <v>0</v>
      </c>
      <c r="DJ49" s="259">
        <f t="shared" ca="1" si="5"/>
        <v>0</v>
      </c>
    </row>
    <row r="50" spans="1:114" ht="15.6" x14ac:dyDescent="0.3">
      <c r="A50" s="27"/>
      <c r="B50" s="27"/>
      <c r="C50" s="104" t="s">
        <v>2644</v>
      </c>
      <c r="D50" s="992" t="s">
        <v>2767</v>
      </c>
      <c r="E50" s="993"/>
      <c r="F50" s="993"/>
      <c r="G50" s="993"/>
      <c r="H50" s="993"/>
      <c r="I50" s="993"/>
      <c r="J50" s="993"/>
      <c r="K50" s="993"/>
      <c r="L50" s="993"/>
      <c r="M50" s="993"/>
      <c r="N50" s="993"/>
      <c r="O50" s="993"/>
      <c r="P50" s="993"/>
      <c r="Q50" s="993"/>
      <c r="R50" s="993"/>
      <c r="S50" s="993"/>
      <c r="T50" s="993"/>
      <c r="U50" s="993"/>
      <c r="V50" s="993"/>
      <c r="W50" s="993"/>
      <c r="X50" s="993"/>
      <c r="Y50" s="993"/>
      <c r="Z50" s="993"/>
      <c r="AA50" s="920"/>
      <c r="AB50" s="88">
        <f>IF((CO50&gt;=0.8),1,IF(AND(outReportQtr&gt;=2,outReportQtr&lt;=3,((0.8*0.85)&gt;CO50)),-1,0))</f>
        <v>0</v>
      </c>
      <c r="AC50" s="868"/>
      <c r="AD50" s="869"/>
      <c r="AE50" s="869"/>
      <c r="AF50" s="869"/>
      <c r="AG50" s="869"/>
      <c r="AH50" s="869"/>
      <c r="AI50" s="869"/>
      <c r="AJ50" s="870"/>
      <c r="AK50" s="871"/>
      <c r="AL50" s="869"/>
      <c r="AM50" s="869"/>
      <c r="AN50" s="869"/>
      <c r="AO50" s="869"/>
      <c r="AP50" s="869"/>
      <c r="AQ50" s="869"/>
      <c r="AR50" s="870"/>
      <c r="AS50" s="871"/>
      <c r="AT50" s="869"/>
      <c r="AU50" s="869"/>
      <c r="AV50" s="869"/>
      <c r="AW50" s="869"/>
      <c r="AX50" s="869"/>
      <c r="AY50" s="869"/>
      <c r="AZ50" s="870"/>
      <c r="BA50" s="871"/>
      <c r="BB50" s="869"/>
      <c r="BC50" s="869"/>
      <c r="BD50" s="869"/>
      <c r="BE50" s="869"/>
      <c r="BF50" s="869"/>
      <c r="BG50" s="869"/>
      <c r="BH50" s="870"/>
      <c r="BI50" s="759"/>
      <c r="BJ50" s="760"/>
      <c r="BK50" s="760"/>
      <c r="BL50" s="760"/>
      <c r="BM50" s="760"/>
      <c r="BN50" s="760"/>
      <c r="BO50" s="760"/>
      <c r="BP50" s="763"/>
      <c r="BQ50" s="744"/>
      <c r="BR50" s="745"/>
      <c r="BS50" s="745"/>
      <c r="BT50" s="745"/>
      <c r="BU50" s="745"/>
      <c r="BV50" s="745"/>
      <c r="BW50" s="745"/>
      <c r="BX50" s="746"/>
      <c r="BY50" s="744"/>
      <c r="BZ50" s="745"/>
      <c r="CA50" s="745"/>
      <c r="CB50" s="745"/>
      <c r="CC50" s="745"/>
      <c r="CD50" s="745"/>
      <c r="CE50" s="745"/>
      <c r="CF50" s="746"/>
      <c r="CG50" s="759"/>
      <c r="CH50" s="760"/>
      <c r="CI50" s="760"/>
      <c r="CJ50" s="760"/>
      <c r="CK50" s="760"/>
      <c r="CL50" s="760"/>
      <c r="CM50" s="760"/>
      <c r="CN50" s="761"/>
      <c r="CO50" s="986">
        <f>IF(CO15&gt;0,CO49/CO15,0)</f>
        <v>0</v>
      </c>
      <c r="CP50" s="987"/>
      <c r="CQ50" s="987"/>
      <c r="CR50" s="987"/>
      <c r="CS50" s="987"/>
      <c r="CT50" s="987"/>
      <c r="CU50" s="987"/>
      <c r="CV50" s="988"/>
      <c r="CW50" s="27"/>
      <c r="DA50" s="260" t="s">
        <v>3093</v>
      </c>
      <c r="DB50" s="262">
        <f>CO50</f>
        <v>0</v>
      </c>
      <c r="DC50" s="262">
        <f>DB50</f>
        <v>0</v>
      </c>
      <c r="DD50" s="262">
        <f>DB50</f>
        <v>0</v>
      </c>
      <c r="DE50" s="262">
        <f>DB50</f>
        <v>0</v>
      </c>
      <c r="DF50" s="262">
        <f>DB50</f>
        <v>0</v>
      </c>
      <c r="DG50" s="262">
        <f>DB50</f>
        <v>0</v>
      </c>
      <c r="DH50" s="262">
        <f>DB50</f>
        <v>0</v>
      </c>
      <c r="DI50" s="262">
        <f>DB50</f>
        <v>0</v>
      </c>
      <c r="DJ50" s="447">
        <f t="shared" ca="1" si="5"/>
        <v>0</v>
      </c>
    </row>
    <row r="51" spans="1:114" ht="15.6" x14ac:dyDescent="0.3">
      <c r="A51" s="27"/>
      <c r="B51" s="27"/>
      <c r="C51" s="102" t="s">
        <v>2645</v>
      </c>
      <c r="D51" s="943" t="s">
        <v>2619</v>
      </c>
      <c r="E51" s="919"/>
      <c r="F51" s="919"/>
      <c r="G51" s="919"/>
      <c r="H51" s="919"/>
      <c r="I51" s="919"/>
      <c r="J51" s="919"/>
      <c r="K51" s="919"/>
      <c r="L51" s="919"/>
      <c r="M51" s="919"/>
      <c r="N51" s="919"/>
      <c r="O51" s="919"/>
      <c r="P51" s="919"/>
      <c r="Q51" s="919"/>
      <c r="R51" s="919"/>
      <c r="S51" s="919"/>
      <c r="T51" s="919"/>
      <c r="U51" s="919"/>
      <c r="V51" s="919"/>
      <c r="W51" s="919"/>
      <c r="X51" s="919"/>
      <c r="Y51" s="919"/>
      <c r="Z51" s="919"/>
      <c r="AA51" s="984"/>
      <c r="AB51" s="87"/>
      <c r="AC51" s="862">
        <f>COUNTIFS(tblParticipants[ParticipantID],"&lt;&gt;",tblParticipants[ParticipantName],"&lt;&gt;",tblParticipants[EnrollQtr],1,tblParticipants[DtLastCareerTechTrn],CONCATENATE("&gt;=",DATE(conProgYear,7,1)),tblParticipants[DtLastCareerTechTrn],CONCATENATE("&lt;=",DATE(conProgYear,9,30)))</f>
        <v>0</v>
      </c>
      <c r="AD51" s="859"/>
      <c r="AE51" s="859"/>
      <c r="AF51" s="859"/>
      <c r="AG51" s="859"/>
      <c r="AH51" s="859"/>
      <c r="AI51" s="860"/>
      <c r="AJ51" s="861"/>
      <c r="AK51" s="858">
        <f>COUNTIFS(tblParticipants[ParticipantID],"&lt;&gt;",tblParticipants[ParticipantName],"&lt;&gt;",tblParticipants[EnrollQtr],"&gt;=1",tblParticipants[EnrollQtr],"&lt;=2",tblParticipants[DtLastCareerTechTrn],CONCATENATE("&gt;=",DATE(conProgYear,10,1)),tblParticipants[DtLastCareerTechTrn],CONCATENATE("&lt;=",DATE(conProgYear,12,31)))</f>
        <v>0</v>
      </c>
      <c r="AL51" s="859"/>
      <c r="AM51" s="859"/>
      <c r="AN51" s="859"/>
      <c r="AO51" s="859"/>
      <c r="AP51" s="859"/>
      <c r="AQ51" s="860"/>
      <c r="AR51" s="861"/>
      <c r="AS51" s="858">
        <f>COUNTIFS(tblParticipants[ParticipantID],"&lt;&gt;",tblParticipants[ParticipantName],"&lt;&gt;",tblParticipants[EnrollQtr],"&gt;=1",tblParticipants[EnrollQtr],"&lt;=3",tblParticipants[DtLastCareerTechTrn],CONCATENATE("&gt;=",DATE(conProgYear+1,1,1)),tblParticipants[DtLastCareerTechTrn],CONCATENATE("&lt;=",DATE(conProgYear+1,3,31)))</f>
        <v>0</v>
      </c>
      <c r="AT51" s="859"/>
      <c r="AU51" s="859"/>
      <c r="AV51" s="859"/>
      <c r="AW51" s="859"/>
      <c r="AX51" s="859"/>
      <c r="AY51" s="860"/>
      <c r="AZ51" s="861"/>
      <c r="BA51" s="858">
        <f>COUNTIFS(tblParticipants[ParticipantID],"&lt;&gt;",tblParticipants[ParticipantName],"&lt;&gt;",tblParticipants[EnrollQtr],"&gt;=1",tblParticipants[EnrollQtr],"&lt;=4",tblParticipants[DtLastCareerTechTrn],CONCATENATE("&gt;=",DATE(conProgYear+1,4,1)),tblParticipants[DtLastCareerTechTrn],CONCATENATE("&lt;=",DATE(conProgYear+1,6,30)))</f>
        <v>0</v>
      </c>
      <c r="BB51" s="859"/>
      <c r="BC51" s="859"/>
      <c r="BD51" s="859"/>
      <c r="BE51" s="859"/>
      <c r="BF51" s="859"/>
      <c r="BG51" s="860"/>
      <c r="BH51" s="861"/>
      <c r="BI51" s="762"/>
      <c r="BJ51" s="760"/>
      <c r="BK51" s="760"/>
      <c r="BL51" s="760"/>
      <c r="BM51" s="760"/>
      <c r="BN51" s="760"/>
      <c r="BO51" s="760"/>
      <c r="BP51" s="763"/>
      <c r="BQ51" s="744"/>
      <c r="BR51" s="745"/>
      <c r="BS51" s="745"/>
      <c r="BT51" s="745"/>
      <c r="BU51" s="745"/>
      <c r="BV51" s="745"/>
      <c r="BW51" s="745"/>
      <c r="BX51" s="746"/>
      <c r="BY51" s="744"/>
      <c r="BZ51" s="745"/>
      <c r="CA51" s="745"/>
      <c r="CB51" s="745"/>
      <c r="CC51" s="745"/>
      <c r="CD51" s="745"/>
      <c r="CE51" s="745"/>
      <c r="CF51" s="746"/>
      <c r="CG51" s="759"/>
      <c r="CH51" s="760"/>
      <c r="CI51" s="760"/>
      <c r="CJ51" s="760"/>
      <c r="CK51" s="760"/>
      <c r="CL51" s="760"/>
      <c r="CM51" s="760"/>
      <c r="CN51" s="761"/>
      <c r="CO51" s="916">
        <f ca="1">DJ51</f>
        <v>0</v>
      </c>
      <c r="CP51" s="833"/>
      <c r="CQ51" s="833"/>
      <c r="CR51" s="833"/>
      <c r="CS51" s="833"/>
      <c r="CT51" s="833"/>
      <c r="CU51" s="833"/>
      <c r="CV51" s="970"/>
      <c r="CW51" s="27"/>
      <c r="DA51" s="260" t="s">
        <v>2909</v>
      </c>
      <c r="DB51" s="263">
        <f>AC51</f>
        <v>0</v>
      </c>
      <c r="DC51" s="263">
        <f>AC51+AK51</f>
        <v>0</v>
      </c>
      <c r="DD51" s="263">
        <f>AC51+AK51+AS51</f>
        <v>0</v>
      </c>
      <c r="DE51" s="263">
        <f>AC51+AK51+AS51+BA51</f>
        <v>0</v>
      </c>
      <c r="DF51" s="263">
        <f>DE51</f>
        <v>0</v>
      </c>
      <c r="DG51" s="263">
        <f>DE51</f>
        <v>0</v>
      </c>
      <c r="DH51" s="263">
        <f>DE51</f>
        <v>0</v>
      </c>
      <c r="DI51" s="263">
        <f>DE51</f>
        <v>0</v>
      </c>
      <c r="DJ51" s="259">
        <f t="shared" ca="1" si="5"/>
        <v>0</v>
      </c>
    </row>
    <row r="52" spans="1:114" ht="15.6" x14ac:dyDescent="0.3">
      <c r="A52" s="27"/>
      <c r="B52" s="27"/>
      <c r="C52" s="102" t="s">
        <v>2646</v>
      </c>
      <c r="D52" s="985" t="s">
        <v>2755</v>
      </c>
      <c r="E52" s="919"/>
      <c r="F52" s="919"/>
      <c r="G52" s="919"/>
      <c r="H52" s="919"/>
      <c r="I52" s="919"/>
      <c r="J52" s="919"/>
      <c r="K52" s="919"/>
      <c r="L52" s="919"/>
      <c r="M52" s="919"/>
      <c r="N52" s="919"/>
      <c r="O52" s="919"/>
      <c r="P52" s="919"/>
      <c r="Q52" s="919"/>
      <c r="R52" s="919"/>
      <c r="S52" s="919"/>
      <c r="T52" s="919"/>
      <c r="U52" s="919"/>
      <c r="V52" s="919"/>
      <c r="W52" s="919"/>
      <c r="X52" s="919"/>
      <c r="Y52" s="919"/>
      <c r="Z52" s="919"/>
      <c r="AA52" s="984"/>
      <c r="AB52" s="87"/>
      <c r="AC52" s="862">
        <f>COUNTIFS(tblParticipants[ParticipantID],"&lt;&gt;",tblParticipants[ParticipantName],"&lt;&gt;",tblParticipants[EnrollQtr],1,tblParticipants[DtLastOjt],CONCATENATE("&gt;=",DATE(conProgYear,7,1)),tblParticipants[DtLastOjt],CONCATENATE("&lt;=",DATE(conProgYear,9,30)),tblParticipants[OjtType],2)</f>
        <v>0</v>
      </c>
      <c r="AD52" s="859"/>
      <c r="AE52" s="859"/>
      <c r="AF52" s="859"/>
      <c r="AG52" s="859"/>
      <c r="AH52" s="859"/>
      <c r="AI52" s="860"/>
      <c r="AJ52" s="861"/>
      <c r="AK52" s="858">
        <f>COUNTIFS(tblParticipants[ParticipantID],"&lt;&gt;",tblParticipants[ParticipantName],"&lt;&gt;",tblParticipants[EnrollQtr],"&gt;=1",tblParticipants[EnrollQtr],"&lt;=2",tblParticipants[DtLastOjt],CONCATENATE("&gt;=",DATE(conProgYear,10,1)),tblParticipants[DtLastOjt],CONCATENATE("&lt;=",DATE(conProgYear,12,31)),tblParticipants[OjtType],2)</f>
        <v>0</v>
      </c>
      <c r="AL52" s="859"/>
      <c r="AM52" s="859"/>
      <c r="AN52" s="859"/>
      <c r="AO52" s="859"/>
      <c r="AP52" s="859"/>
      <c r="AQ52" s="860"/>
      <c r="AR52" s="861"/>
      <c r="AS52" s="858">
        <f>COUNTIFS(tblParticipants[ParticipantID],"&lt;&gt;",tblParticipants[ParticipantName],"&lt;&gt;",tblParticipants[EnrollQtr],"&gt;=1",tblParticipants[EnrollQtr],"&lt;=3",tblParticipants[DtLastOjt],CONCATENATE("&gt;=",DATE(conProgYear+1,1,1)),tblParticipants[DtLastOjt],CONCATENATE("&lt;=",DATE(conProgYear+1,3,31)),tblParticipants[OjtType],2)</f>
        <v>0</v>
      </c>
      <c r="AT52" s="859"/>
      <c r="AU52" s="859"/>
      <c r="AV52" s="859"/>
      <c r="AW52" s="859"/>
      <c r="AX52" s="859"/>
      <c r="AY52" s="860"/>
      <c r="AZ52" s="861"/>
      <c r="BA52" s="858">
        <f>COUNTIFS(tblParticipants[ParticipantID],"&lt;&gt;",tblParticipants[ParticipantName],"&lt;&gt;",tblParticipants[EnrollQtr],"&gt;=1",tblParticipants[EnrollQtr],"&lt;=4",tblParticipants[DtLastOjt],CONCATENATE("&gt;=",DATE(conProgYear+1,4,1)),tblParticipants[DtLastOjt],CONCATENATE("&lt;=",DATE(conProgYear+1,6,30)),tblParticipants[OjtType],2)</f>
        <v>0</v>
      </c>
      <c r="BB52" s="859"/>
      <c r="BC52" s="859"/>
      <c r="BD52" s="859"/>
      <c r="BE52" s="859"/>
      <c r="BF52" s="859"/>
      <c r="BG52" s="860"/>
      <c r="BH52" s="861"/>
      <c r="BI52" s="762"/>
      <c r="BJ52" s="760"/>
      <c r="BK52" s="760"/>
      <c r="BL52" s="760"/>
      <c r="BM52" s="760"/>
      <c r="BN52" s="760"/>
      <c r="BO52" s="760"/>
      <c r="BP52" s="763"/>
      <c r="BQ52" s="744"/>
      <c r="BR52" s="745"/>
      <c r="BS52" s="745"/>
      <c r="BT52" s="745"/>
      <c r="BU52" s="745"/>
      <c r="BV52" s="745"/>
      <c r="BW52" s="745"/>
      <c r="BX52" s="746"/>
      <c r="BY52" s="744"/>
      <c r="BZ52" s="745"/>
      <c r="CA52" s="745"/>
      <c r="CB52" s="745"/>
      <c r="CC52" s="745"/>
      <c r="CD52" s="745"/>
      <c r="CE52" s="745"/>
      <c r="CF52" s="746"/>
      <c r="CG52" s="759"/>
      <c r="CH52" s="760"/>
      <c r="CI52" s="760"/>
      <c r="CJ52" s="760"/>
      <c r="CK52" s="760"/>
      <c r="CL52" s="760"/>
      <c r="CM52" s="760"/>
      <c r="CN52" s="761"/>
      <c r="CO52" s="916">
        <f ca="1">DJ52</f>
        <v>0</v>
      </c>
      <c r="CP52" s="833"/>
      <c r="CQ52" s="833"/>
      <c r="CR52" s="833"/>
      <c r="CS52" s="833"/>
      <c r="CT52" s="833"/>
      <c r="CU52" s="833"/>
      <c r="CV52" s="970"/>
      <c r="CW52" s="27"/>
      <c r="DA52" s="260" t="s">
        <v>2910</v>
      </c>
      <c r="DB52" s="263">
        <f>AC52</f>
        <v>0</v>
      </c>
      <c r="DC52" s="263">
        <f>AC52+AK52</f>
        <v>0</v>
      </c>
      <c r="DD52" s="263">
        <f>AC52+AK52+AS52</f>
        <v>0</v>
      </c>
      <c r="DE52" s="263">
        <f>AC52+AK52+AS52+BA52</f>
        <v>0</v>
      </c>
      <c r="DF52" s="263">
        <f>DE52</f>
        <v>0</v>
      </c>
      <c r="DG52" s="263">
        <f>DE52</f>
        <v>0</v>
      </c>
      <c r="DH52" s="263">
        <f>DE52</f>
        <v>0</v>
      </c>
      <c r="DI52" s="263">
        <f>DE52</f>
        <v>0</v>
      </c>
      <c r="DJ52" s="259">
        <f t="shared" ca="1" si="5"/>
        <v>0</v>
      </c>
    </row>
    <row r="53" spans="1:114" ht="15.6" x14ac:dyDescent="0.3">
      <c r="A53" s="27"/>
      <c r="B53" s="27"/>
      <c r="C53" s="102" t="s">
        <v>2647</v>
      </c>
      <c r="D53" s="943" t="s">
        <v>2756</v>
      </c>
      <c r="E53" s="919"/>
      <c r="F53" s="919"/>
      <c r="G53" s="919"/>
      <c r="H53" s="919"/>
      <c r="I53" s="919"/>
      <c r="J53" s="919"/>
      <c r="K53" s="919"/>
      <c r="L53" s="919"/>
      <c r="M53" s="919"/>
      <c r="N53" s="919"/>
      <c r="O53" s="919"/>
      <c r="P53" s="919"/>
      <c r="Q53" s="919"/>
      <c r="R53" s="919"/>
      <c r="S53" s="919"/>
      <c r="T53" s="919"/>
      <c r="U53" s="919"/>
      <c r="V53" s="919"/>
      <c r="W53" s="919"/>
      <c r="X53" s="919"/>
      <c r="Y53" s="919"/>
      <c r="Z53" s="919"/>
      <c r="AA53" s="984"/>
      <c r="AB53" s="87"/>
      <c r="AC53" s="862">
        <f>COUNTIFS(tblParticipants[ParticipantID],"&lt;&gt;",tblParticipants[ParticipantName],"&lt;&gt;",tblParticipants[EnrollQtr],1,tblParticipants[DtLastOjt],CONCATENATE("&gt;=",DATE(conProgYear,7,1)),tblParticipants[DtLastOjt],CONCATENATE("&lt;=",DATE(conProgYear,9,30)),tblParticipants[OjtType],1)</f>
        <v>0</v>
      </c>
      <c r="AD53" s="859"/>
      <c r="AE53" s="859"/>
      <c r="AF53" s="859"/>
      <c r="AG53" s="859"/>
      <c r="AH53" s="859"/>
      <c r="AI53" s="860"/>
      <c r="AJ53" s="861"/>
      <c r="AK53" s="858">
        <f>COUNTIFS(tblParticipants[ParticipantID],"&lt;&gt;",tblParticipants[ParticipantName],"&lt;&gt;",tblParticipants[EnrollQtr],"&gt;=1",tblParticipants[EnrollQtr],"&lt;=2",tblParticipants[DtLastOjt],CONCATENATE("&gt;=",DATE(conProgYear,10,1)),tblParticipants[DtLastOjt],CONCATENATE("&lt;=",DATE(conProgYear,12,31)),tblParticipants[OjtType],1)</f>
        <v>0</v>
      </c>
      <c r="AL53" s="859"/>
      <c r="AM53" s="859"/>
      <c r="AN53" s="859"/>
      <c r="AO53" s="859"/>
      <c r="AP53" s="859"/>
      <c r="AQ53" s="860"/>
      <c r="AR53" s="861"/>
      <c r="AS53" s="858">
        <f>COUNTIFS(tblParticipants[ParticipantID],"&lt;&gt;",tblParticipants[ParticipantName],"&lt;&gt;",tblParticipants[EnrollQtr],"&gt;=1",tblParticipants[EnrollQtr],"&lt;=3",tblParticipants[DtLastOjt],CONCATENATE("&gt;=",DATE(conProgYear+1,1,1)),tblParticipants[DtLastOjt],CONCATENATE("&lt;=",DATE(conProgYear+1,3,31)),tblParticipants[OjtType],1)</f>
        <v>0</v>
      </c>
      <c r="AT53" s="859"/>
      <c r="AU53" s="859"/>
      <c r="AV53" s="859"/>
      <c r="AW53" s="859"/>
      <c r="AX53" s="859"/>
      <c r="AY53" s="860"/>
      <c r="AZ53" s="861"/>
      <c r="BA53" s="858">
        <f>COUNTIFS(tblParticipants[ParticipantID],"&lt;&gt;",tblParticipants[ParticipantName],"&lt;&gt;",tblParticipants[EnrollQtr],"&gt;=1",tblParticipants[EnrollQtr],"&lt;=4",tblParticipants[DtLastOjt],CONCATENATE("&gt;=",DATE(conProgYear+1,4,1)),tblParticipants[DtLastOjt],CONCATENATE("&lt;=",DATE(conProgYear+1,6,30)),tblParticipants[OjtType],1)</f>
        <v>0</v>
      </c>
      <c r="BB53" s="859"/>
      <c r="BC53" s="859"/>
      <c r="BD53" s="859"/>
      <c r="BE53" s="859"/>
      <c r="BF53" s="859"/>
      <c r="BG53" s="860"/>
      <c r="BH53" s="861"/>
      <c r="BI53" s="762"/>
      <c r="BJ53" s="760"/>
      <c r="BK53" s="760"/>
      <c r="BL53" s="760"/>
      <c r="BM53" s="760"/>
      <c r="BN53" s="760"/>
      <c r="BO53" s="760"/>
      <c r="BP53" s="763"/>
      <c r="BQ53" s="744"/>
      <c r="BR53" s="745"/>
      <c r="BS53" s="745"/>
      <c r="BT53" s="745"/>
      <c r="BU53" s="745"/>
      <c r="BV53" s="745"/>
      <c r="BW53" s="745"/>
      <c r="BX53" s="746"/>
      <c r="BY53" s="744"/>
      <c r="BZ53" s="745"/>
      <c r="CA53" s="745"/>
      <c r="CB53" s="745"/>
      <c r="CC53" s="745"/>
      <c r="CD53" s="745"/>
      <c r="CE53" s="745"/>
      <c r="CF53" s="746"/>
      <c r="CG53" s="759"/>
      <c r="CH53" s="760"/>
      <c r="CI53" s="760"/>
      <c r="CJ53" s="760"/>
      <c r="CK53" s="760"/>
      <c r="CL53" s="760"/>
      <c r="CM53" s="760"/>
      <c r="CN53" s="761"/>
      <c r="CO53" s="916">
        <f ca="1">DJ53</f>
        <v>0</v>
      </c>
      <c r="CP53" s="833"/>
      <c r="CQ53" s="833"/>
      <c r="CR53" s="833"/>
      <c r="CS53" s="833"/>
      <c r="CT53" s="833"/>
      <c r="CU53" s="833"/>
      <c r="CV53" s="970"/>
      <c r="CW53" s="27"/>
      <c r="DA53" s="260" t="s">
        <v>2911</v>
      </c>
      <c r="DB53" s="263">
        <f>AC53</f>
        <v>0</v>
      </c>
      <c r="DC53" s="263">
        <f>AC53+AK53</f>
        <v>0</v>
      </c>
      <c r="DD53" s="263">
        <f>AC53+AK53+AS53</f>
        <v>0</v>
      </c>
      <c r="DE53" s="263">
        <f>AC53+AK53+AS53+BA53</f>
        <v>0</v>
      </c>
      <c r="DF53" s="263">
        <f>DE53</f>
        <v>0</v>
      </c>
      <c r="DG53" s="263">
        <f>DE53</f>
        <v>0</v>
      </c>
      <c r="DH53" s="263">
        <f>DE53</f>
        <v>0</v>
      </c>
      <c r="DI53" s="263">
        <f>DE53</f>
        <v>0</v>
      </c>
      <c r="DJ53" s="259">
        <f t="shared" ref="DJ53:DJ57" ca="1" si="14">OFFSET(DA53,0,outReportQtr)</f>
        <v>0</v>
      </c>
    </row>
    <row r="54" spans="1:114" ht="15.6" x14ac:dyDescent="0.3">
      <c r="A54" s="27"/>
      <c r="B54" s="27"/>
      <c r="C54" s="102" t="s">
        <v>2648</v>
      </c>
      <c r="D54" s="943" t="s">
        <v>2733</v>
      </c>
      <c r="E54" s="919"/>
      <c r="F54" s="919"/>
      <c r="G54" s="919"/>
      <c r="H54" s="919"/>
      <c r="I54" s="919"/>
      <c r="J54" s="919"/>
      <c r="K54" s="919"/>
      <c r="L54" s="919"/>
      <c r="M54" s="919"/>
      <c r="N54" s="919"/>
      <c r="O54" s="919"/>
      <c r="P54" s="919"/>
      <c r="Q54" s="919"/>
      <c r="R54" s="919"/>
      <c r="S54" s="919"/>
      <c r="T54" s="919"/>
      <c r="U54" s="919"/>
      <c r="V54" s="919"/>
      <c r="W54" s="919"/>
      <c r="X54" s="919"/>
      <c r="Y54" s="919"/>
      <c r="Z54" s="919"/>
      <c r="AA54" s="984"/>
      <c r="AB54" s="87"/>
      <c r="AC54" s="862">
        <f>COUNTIFS(tblParticipants[ParticipantID],"&lt;&gt;",tblParticipants[ParticipantName],"&lt;&gt;",tblParticipants[EnrollQtr],1,tblParticipants[DtLastCustomTrn],CONCATENATE("&gt;=",DATE(conProgYear,7,1)),tblParticipants[DtLastCustomTrn],CONCATENATE("&lt;=",DATE(conProgYear,9,30)))</f>
        <v>0</v>
      </c>
      <c r="AD54" s="859"/>
      <c r="AE54" s="859"/>
      <c r="AF54" s="859"/>
      <c r="AG54" s="859"/>
      <c r="AH54" s="859"/>
      <c r="AI54" s="860"/>
      <c r="AJ54" s="861"/>
      <c r="AK54" s="858">
        <f>COUNTIFS(tblParticipants[ParticipantID],"&lt;&gt;",tblParticipants[ParticipantName],"&lt;&gt;",tblParticipants[EnrollQtr],"&gt;=1",tblParticipants[EnrollQtr],"&lt;=2",tblParticipants[DtLastCustomTrn],CONCATENATE("&gt;=",DATE(conProgYear,10,1)),tblParticipants[DtLastCustomTrn],CONCATENATE("&lt;=",DATE(conProgYear,12,31)))</f>
        <v>0</v>
      </c>
      <c r="AL54" s="859"/>
      <c r="AM54" s="859"/>
      <c r="AN54" s="859"/>
      <c r="AO54" s="859"/>
      <c r="AP54" s="859"/>
      <c r="AQ54" s="860"/>
      <c r="AR54" s="861"/>
      <c r="AS54" s="858">
        <f>COUNTIFS(tblParticipants[ParticipantID],"&lt;&gt;",tblParticipants[ParticipantName],"&lt;&gt;",tblParticipants[EnrollQtr],"&gt;=1",tblParticipants[EnrollQtr],"&lt;=3",tblParticipants[DtLastCustomTrn],CONCATENATE("&gt;=",DATE(conProgYear+1,1,1)),tblParticipants[DtLastCustomTrn],CONCATENATE("&lt;=",DATE(conProgYear+1,3,31)))</f>
        <v>0</v>
      </c>
      <c r="AT54" s="859"/>
      <c r="AU54" s="859"/>
      <c r="AV54" s="859"/>
      <c r="AW54" s="859"/>
      <c r="AX54" s="859"/>
      <c r="AY54" s="860"/>
      <c r="AZ54" s="861"/>
      <c r="BA54" s="858">
        <f>COUNTIFS(tblParticipants[ParticipantID],"&lt;&gt;",tblParticipants[ParticipantName],"&lt;&gt;",tblParticipants[EnrollQtr],"&gt;=1",tblParticipants[EnrollQtr],"&lt;=4",tblParticipants[DtLastCustomTrn],CONCATENATE("&gt;=",DATE(conProgYear+1,4,1)),tblParticipants[DtLastCustomTrn],CONCATENATE("&lt;=",DATE(conProgYear+1,6,30)))</f>
        <v>0</v>
      </c>
      <c r="BB54" s="859"/>
      <c r="BC54" s="859"/>
      <c r="BD54" s="859"/>
      <c r="BE54" s="859"/>
      <c r="BF54" s="859"/>
      <c r="BG54" s="860"/>
      <c r="BH54" s="861"/>
      <c r="BI54" s="762"/>
      <c r="BJ54" s="760"/>
      <c r="BK54" s="760"/>
      <c r="BL54" s="760"/>
      <c r="BM54" s="760"/>
      <c r="BN54" s="760"/>
      <c r="BO54" s="760"/>
      <c r="BP54" s="763"/>
      <c r="BQ54" s="744"/>
      <c r="BR54" s="745"/>
      <c r="BS54" s="745"/>
      <c r="BT54" s="745"/>
      <c r="BU54" s="745"/>
      <c r="BV54" s="745"/>
      <c r="BW54" s="745"/>
      <c r="BX54" s="746"/>
      <c r="BY54" s="744"/>
      <c r="BZ54" s="745"/>
      <c r="CA54" s="745"/>
      <c r="CB54" s="745"/>
      <c r="CC54" s="745"/>
      <c r="CD54" s="745"/>
      <c r="CE54" s="745"/>
      <c r="CF54" s="746"/>
      <c r="CG54" s="759"/>
      <c r="CH54" s="760"/>
      <c r="CI54" s="760"/>
      <c r="CJ54" s="760"/>
      <c r="CK54" s="760"/>
      <c r="CL54" s="760"/>
      <c r="CM54" s="760"/>
      <c r="CN54" s="761"/>
      <c r="CO54" s="832">
        <f t="shared" ref="CO54:CO59" si="15">IF(outReportQtr=1,AC54,IF(outReportQtr=2,AC54+AK54,IF(outReportQtr=3,AC54+AK54+AS54,AC54+AK54+AS54+BA54)))</f>
        <v>0</v>
      </c>
      <c r="CP54" s="833"/>
      <c r="CQ54" s="833"/>
      <c r="CR54" s="833"/>
      <c r="CS54" s="833"/>
      <c r="CT54" s="833"/>
      <c r="CU54" s="833"/>
      <c r="CV54" s="970"/>
      <c r="CW54" s="27"/>
      <c r="DA54" s="260" t="s">
        <v>3094</v>
      </c>
      <c r="DB54" s="263"/>
      <c r="DC54" s="263"/>
      <c r="DD54" s="263"/>
      <c r="DE54" s="263"/>
      <c r="DF54" s="263"/>
      <c r="DG54" s="263"/>
      <c r="DH54" s="263"/>
      <c r="DI54" s="263"/>
      <c r="DJ54" s="259"/>
    </row>
    <row r="55" spans="1:114" ht="15.6" x14ac:dyDescent="0.3">
      <c r="A55" s="27"/>
      <c r="B55" s="27"/>
      <c r="C55" s="102" t="s">
        <v>2649</v>
      </c>
      <c r="D55" s="943" t="s">
        <v>2734</v>
      </c>
      <c r="E55" s="919"/>
      <c r="F55" s="919"/>
      <c r="G55" s="919"/>
      <c r="H55" s="919"/>
      <c r="I55" s="919"/>
      <c r="J55" s="919"/>
      <c r="K55" s="919"/>
      <c r="L55" s="919"/>
      <c r="M55" s="919"/>
      <c r="N55" s="919"/>
      <c r="O55" s="919"/>
      <c r="P55" s="919"/>
      <c r="Q55" s="919"/>
      <c r="R55" s="919"/>
      <c r="S55" s="919"/>
      <c r="T55" s="919"/>
      <c r="U55" s="919"/>
      <c r="V55" s="919"/>
      <c r="W55" s="919"/>
      <c r="X55" s="919"/>
      <c r="Y55" s="919"/>
      <c r="Z55" s="919"/>
      <c r="AA55" s="984"/>
      <c r="AB55" s="87"/>
      <c r="AC55" s="862">
        <f>COUNTIFS(tblParticipants[ParticipantID],"&lt;&gt;",tblParticipants[ParticipantName],"&lt;&gt;",tblParticipants[EnrollQtr],1,tblParticipants[DtLastOtherTrn],CONCATENATE("&gt;=",DATE(conProgYear,7,1)),tblParticipants[DtLastOtherTrn],CONCATENATE("&lt;=",DATE(conProgYear,9,30)))</f>
        <v>0</v>
      </c>
      <c r="AD55" s="859"/>
      <c r="AE55" s="859"/>
      <c r="AF55" s="859"/>
      <c r="AG55" s="859"/>
      <c r="AH55" s="859"/>
      <c r="AI55" s="860"/>
      <c r="AJ55" s="861"/>
      <c r="AK55" s="858">
        <f>COUNTIFS(tblParticipants[ParticipantID],"&lt;&gt;",tblParticipants[ParticipantName],"&lt;&gt;",tblParticipants[EnrollQtr],"&gt;=1",tblParticipants[EnrollQtr],"&lt;=2",tblParticipants[DtLastOtherTrn],CONCATENATE("&gt;=",DATE(conProgYear,10,1)),tblParticipants[DtLastOtherTrn],CONCATENATE("&lt;=",DATE(conProgYear,12,31)))</f>
        <v>0</v>
      </c>
      <c r="AL55" s="859"/>
      <c r="AM55" s="859"/>
      <c r="AN55" s="859"/>
      <c r="AO55" s="859"/>
      <c r="AP55" s="859"/>
      <c r="AQ55" s="860"/>
      <c r="AR55" s="861"/>
      <c r="AS55" s="858">
        <f>COUNTIFS(tblParticipants[ParticipantID],"&lt;&gt;",tblParticipants[ParticipantName],"&lt;&gt;",tblParticipants[EnrollQtr],"&gt;=1",tblParticipants[EnrollQtr],"&lt;=3",tblParticipants[DtLastOtherTrn],CONCATENATE("&gt;=",DATE(conProgYear+1,1,1)),tblParticipants[DtLastOtherTrn],CONCATENATE("&lt;=",DATE(conProgYear+1,3,31)))</f>
        <v>0</v>
      </c>
      <c r="AT55" s="859"/>
      <c r="AU55" s="859"/>
      <c r="AV55" s="859"/>
      <c r="AW55" s="859"/>
      <c r="AX55" s="859"/>
      <c r="AY55" s="860"/>
      <c r="AZ55" s="861"/>
      <c r="BA55" s="858">
        <f>COUNTIFS(tblParticipants[ParticipantID],"&lt;&gt;",tblParticipants[ParticipantName],"&lt;&gt;",tblParticipants[EnrollQtr],"&gt;=1",tblParticipants[EnrollQtr],"&lt;=4",tblParticipants[DtLastOtherTrn],CONCATENATE("&gt;=",DATE(conProgYear+1,4,1)),tblParticipants[DtLastOtherTrn],CONCATENATE("&lt;=",DATE(conProgYear+1,6,30)))</f>
        <v>0</v>
      </c>
      <c r="BB55" s="859"/>
      <c r="BC55" s="859"/>
      <c r="BD55" s="859"/>
      <c r="BE55" s="859"/>
      <c r="BF55" s="859"/>
      <c r="BG55" s="860"/>
      <c r="BH55" s="861"/>
      <c r="BI55" s="762"/>
      <c r="BJ55" s="760"/>
      <c r="BK55" s="760"/>
      <c r="BL55" s="760"/>
      <c r="BM55" s="760"/>
      <c r="BN55" s="760"/>
      <c r="BO55" s="760"/>
      <c r="BP55" s="763"/>
      <c r="BQ55" s="744"/>
      <c r="BR55" s="745"/>
      <c r="BS55" s="745"/>
      <c r="BT55" s="745"/>
      <c r="BU55" s="745"/>
      <c r="BV55" s="745"/>
      <c r="BW55" s="745"/>
      <c r="BX55" s="746"/>
      <c r="BY55" s="744"/>
      <c r="BZ55" s="745"/>
      <c r="CA55" s="745"/>
      <c r="CB55" s="745"/>
      <c r="CC55" s="745"/>
      <c r="CD55" s="745"/>
      <c r="CE55" s="745"/>
      <c r="CF55" s="746"/>
      <c r="CG55" s="759"/>
      <c r="CH55" s="760"/>
      <c r="CI55" s="760"/>
      <c r="CJ55" s="760"/>
      <c r="CK55" s="760"/>
      <c r="CL55" s="760"/>
      <c r="CM55" s="760"/>
      <c r="CN55" s="761"/>
      <c r="CO55" s="832">
        <f t="shared" si="15"/>
        <v>0</v>
      </c>
      <c r="CP55" s="833"/>
      <c r="CQ55" s="833"/>
      <c r="CR55" s="833"/>
      <c r="CS55" s="833"/>
      <c r="CT55" s="833"/>
      <c r="CU55" s="833"/>
      <c r="CV55" s="970"/>
      <c r="CW55" s="27"/>
      <c r="DA55" s="260" t="s">
        <v>3095</v>
      </c>
      <c r="DB55" s="263"/>
      <c r="DC55" s="263"/>
      <c r="DD55" s="263"/>
      <c r="DE55" s="263"/>
      <c r="DF55" s="263"/>
      <c r="DG55" s="263"/>
      <c r="DH55" s="263"/>
      <c r="DI55" s="263"/>
      <c r="DJ55" s="259"/>
    </row>
    <row r="56" spans="1:114" ht="15.6" x14ac:dyDescent="0.3">
      <c r="A56" s="27"/>
      <c r="B56" s="27"/>
      <c r="C56" s="102" t="s">
        <v>2650</v>
      </c>
      <c r="D56" s="943" t="s">
        <v>2732</v>
      </c>
      <c r="E56" s="919"/>
      <c r="F56" s="919"/>
      <c r="G56" s="919"/>
      <c r="H56" s="919"/>
      <c r="I56" s="919"/>
      <c r="J56" s="919"/>
      <c r="K56" s="919"/>
      <c r="L56" s="919"/>
      <c r="M56" s="919"/>
      <c r="N56" s="919"/>
      <c r="O56" s="919"/>
      <c r="P56" s="919"/>
      <c r="Q56" s="919"/>
      <c r="R56" s="919"/>
      <c r="S56" s="919"/>
      <c r="T56" s="919"/>
      <c r="U56" s="919"/>
      <c r="V56" s="919"/>
      <c r="W56" s="919"/>
      <c r="X56" s="919"/>
      <c r="Y56" s="919"/>
      <c r="Z56" s="919"/>
      <c r="AA56" s="984"/>
      <c r="AB56" s="87"/>
      <c r="AC56" s="862">
        <f>COUNTIFS(tblParticipants[ParticipantID],"&lt;&gt;",tblParticipants[ParticipantName],"&lt;&gt;",tblParticipants[EnrollQtr],1,tblParticipants[DtLastEntrepTrn],CONCATENATE("&gt;=",DATE(conProgYear,7,1)),tblParticipants[DtLastEntrepTrn],CONCATENATE("&lt;=",DATE(conProgYear,9,30)))</f>
        <v>0</v>
      </c>
      <c r="AD56" s="859"/>
      <c r="AE56" s="859"/>
      <c r="AF56" s="859"/>
      <c r="AG56" s="859"/>
      <c r="AH56" s="859"/>
      <c r="AI56" s="860"/>
      <c r="AJ56" s="861"/>
      <c r="AK56" s="858">
        <f>COUNTIFS(tblParticipants[ParticipantID],"&lt;&gt;",tblParticipants[ParticipantName],"&lt;&gt;",tblParticipants[EnrollQtr],"&gt;=1",tblParticipants[EnrollQtr],"&lt;=2",tblParticipants[DtLastEntrepTrn],CONCATENATE("&gt;=",DATE(conProgYear,10,1)),tblParticipants[DtLastEntrepTrn],CONCATENATE("&lt;=",DATE(conProgYear,12,31)))</f>
        <v>0</v>
      </c>
      <c r="AL56" s="859"/>
      <c r="AM56" s="859"/>
      <c r="AN56" s="859"/>
      <c r="AO56" s="859"/>
      <c r="AP56" s="859"/>
      <c r="AQ56" s="860"/>
      <c r="AR56" s="861"/>
      <c r="AS56" s="858">
        <f>COUNTIFS(tblParticipants[ParticipantID],"&lt;&gt;",tblParticipants[ParticipantName],"&lt;&gt;",tblParticipants[EnrollQtr],"&gt;=1",tblParticipants[EnrollQtr],"&lt;=3",tblParticipants[DtLastEntrepTrn],CONCATENATE("&gt;=",DATE(conProgYear+1,1,1)),tblParticipants[DtLastEntrepTrn],CONCATENATE("&lt;=",DATE(conProgYear+1,3,31)))</f>
        <v>0</v>
      </c>
      <c r="AT56" s="859"/>
      <c r="AU56" s="859"/>
      <c r="AV56" s="859"/>
      <c r="AW56" s="859"/>
      <c r="AX56" s="859"/>
      <c r="AY56" s="860"/>
      <c r="AZ56" s="861"/>
      <c r="BA56" s="858">
        <f>COUNTIFS(tblParticipants[ParticipantID],"&lt;&gt;",tblParticipants[ParticipantName],"&lt;&gt;",tblParticipants[EnrollQtr],"&gt;=1",tblParticipants[EnrollQtr],"&lt;=4",tblParticipants[DtLastEntrepTrn],CONCATENATE("&gt;=",DATE(conProgYear+1,4,1)),tblParticipants[DtLastEntrepTrn],CONCATENATE("&lt;=",DATE(conProgYear+1,6,30)))</f>
        <v>0</v>
      </c>
      <c r="BB56" s="859"/>
      <c r="BC56" s="859"/>
      <c r="BD56" s="859"/>
      <c r="BE56" s="859"/>
      <c r="BF56" s="859"/>
      <c r="BG56" s="860"/>
      <c r="BH56" s="861"/>
      <c r="BI56" s="762"/>
      <c r="BJ56" s="760"/>
      <c r="BK56" s="760"/>
      <c r="BL56" s="760"/>
      <c r="BM56" s="760"/>
      <c r="BN56" s="760"/>
      <c r="BO56" s="760"/>
      <c r="BP56" s="763"/>
      <c r="BQ56" s="744"/>
      <c r="BR56" s="745"/>
      <c r="BS56" s="745"/>
      <c r="BT56" s="745"/>
      <c r="BU56" s="745"/>
      <c r="BV56" s="745"/>
      <c r="BW56" s="745"/>
      <c r="BX56" s="746"/>
      <c r="BY56" s="744"/>
      <c r="BZ56" s="745"/>
      <c r="CA56" s="745"/>
      <c r="CB56" s="745"/>
      <c r="CC56" s="745"/>
      <c r="CD56" s="745"/>
      <c r="CE56" s="745"/>
      <c r="CF56" s="746"/>
      <c r="CG56" s="759"/>
      <c r="CH56" s="760"/>
      <c r="CI56" s="760"/>
      <c r="CJ56" s="760"/>
      <c r="CK56" s="760"/>
      <c r="CL56" s="760"/>
      <c r="CM56" s="760"/>
      <c r="CN56" s="761"/>
      <c r="CO56" s="832">
        <f t="shared" si="15"/>
        <v>0</v>
      </c>
      <c r="CP56" s="833"/>
      <c r="CQ56" s="833"/>
      <c r="CR56" s="833"/>
      <c r="CS56" s="833"/>
      <c r="CT56" s="833"/>
      <c r="CU56" s="833"/>
      <c r="CV56" s="970"/>
      <c r="CW56" s="27"/>
      <c r="DA56" s="260" t="s">
        <v>3096</v>
      </c>
      <c r="DB56" s="263"/>
      <c r="DC56" s="263"/>
      <c r="DD56" s="263"/>
      <c r="DE56" s="263"/>
      <c r="DF56" s="263"/>
      <c r="DG56" s="263"/>
      <c r="DH56" s="263"/>
      <c r="DI56" s="263"/>
      <c r="DJ56" s="259"/>
    </row>
    <row r="57" spans="1:114" ht="15.6" x14ac:dyDescent="0.3">
      <c r="A57" s="27"/>
      <c r="B57" s="27"/>
      <c r="C57" s="102" t="s">
        <v>2651</v>
      </c>
      <c r="D57" s="943" t="s">
        <v>2521</v>
      </c>
      <c r="E57" s="919"/>
      <c r="F57" s="919"/>
      <c r="G57" s="919"/>
      <c r="H57" s="919"/>
      <c r="I57" s="919"/>
      <c r="J57" s="919"/>
      <c r="K57" s="919"/>
      <c r="L57" s="919"/>
      <c r="M57" s="919"/>
      <c r="N57" s="919"/>
      <c r="O57" s="919"/>
      <c r="P57" s="919"/>
      <c r="Q57" s="919"/>
      <c r="R57" s="919"/>
      <c r="S57" s="919"/>
      <c r="T57" s="919"/>
      <c r="U57" s="919"/>
      <c r="V57" s="919"/>
      <c r="W57" s="919"/>
      <c r="X57" s="919"/>
      <c r="Y57" s="919"/>
      <c r="Z57" s="919"/>
      <c r="AA57" s="984"/>
      <c r="AB57" s="87"/>
      <c r="AC57" s="862">
        <f>COUNTIFS(tblParticipants[ParticipantID],"&lt;&gt;",tblParticipants[ParticipantName],"&lt;&gt;",tblParticipants[EnrollQtr],1,tblParticipants[QtrLastJobReadTrn],1,tblParticipants[QtrLastTransitJob],1)</f>
        <v>0</v>
      </c>
      <c r="AD57" s="859"/>
      <c r="AE57" s="859"/>
      <c r="AF57" s="859"/>
      <c r="AG57" s="859"/>
      <c r="AH57" s="859"/>
      <c r="AI57" s="860"/>
      <c r="AJ57" s="861"/>
      <c r="AK57" s="858">
        <f>COUNTIFS(tblParticipants[ParticipantID],"&lt;&gt;",tblParticipants[ParticipantName],"&lt;&gt;",tblParticipants[EnrollQtr],"&gt;=1",tblParticipants[EnrollQtr],"&lt;=2",tblParticipants[QtrLastJobReadTrn],2,tblParticipants[QtrLastTransitJob],2)</f>
        <v>0</v>
      </c>
      <c r="AL57" s="859"/>
      <c r="AM57" s="859"/>
      <c r="AN57" s="859"/>
      <c r="AO57" s="859"/>
      <c r="AP57" s="859"/>
      <c r="AQ57" s="860"/>
      <c r="AR57" s="861"/>
      <c r="AS57" s="858">
        <f>COUNTIFS(tblParticipants[ParticipantID],"&lt;&gt;",tblParticipants[ParticipantName],"&lt;&gt;",tblParticipants[EnrollQtr],"&gt;=1",tblParticipants[EnrollQtr],"&lt;=3",tblParticipants[QtrLastJobReadTrn],3,tblParticipants[QtrLastTransitJob],3)</f>
        <v>0</v>
      </c>
      <c r="AT57" s="859"/>
      <c r="AU57" s="859"/>
      <c r="AV57" s="859"/>
      <c r="AW57" s="859"/>
      <c r="AX57" s="859"/>
      <c r="AY57" s="860"/>
      <c r="AZ57" s="861"/>
      <c r="BA57" s="858">
        <f>COUNTIFS(tblParticipants[ParticipantID],"&lt;&gt;",tblParticipants[ParticipantName],"&lt;&gt;",tblParticipants[EnrollQtr],"&gt;=1",tblParticipants[EnrollQtr],"&lt;=4",tblParticipants[QtrLastJobReadTrn],4,tblParticipants[QtrLastTransitJob],4)</f>
        <v>0</v>
      </c>
      <c r="BB57" s="859"/>
      <c r="BC57" s="859"/>
      <c r="BD57" s="859"/>
      <c r="BE57" s="859"/>
      <c r="BF57" s="859"/>
      <c r="BG57" s="860"/>
      <c r="BH57" s="861"/>
      <c r="BI57" s="762"/>
      <c r="BJ57" s="760"/>
      <c r="BK57" s="760"/>
      <c r="BL57" s="760"/>
      <c r="BM57" s="760"/>
      <c r="BN57" s="760"/>
      <c r="BO57" s="760"/>
      <c r="BP57" s="763"/>
      <c r="BQ57" s="744"/>
      <c r="BR57" s="745"/>
      <c r="BS57" s="745"/>
      <c r="BT57" s="745"/>
      <c r="BU57" s="745"/>
      <c r="BV57" s="745"/>
      <c r="BW57" s="745"/>
      <c r="BX57" s="746"/>
      <c r="BY57" s="744"/>
      <c r="BZ57" s="745"/>
      <c r="CA57" s="745"/>
      <c r="CB57" s="745"/>
      <c r="CC57" s="745"/>
      <c r="CD57" s="745"/>
      <c r="CE57" s="745"/>
      <c r="CF57" s="746"/>
      <c r="CG57" s="759"/>
      <c r="CH57" s="760"/>
      <c r="CI57" s="760"/>
      <c r="CJ57" s="760"/>
      <c r="CK57" s="760"/>
      <c r="CL57" s="760"/>
      <c r="CM57" s="760"/>
      <c r="CN57" s="761"/>
      <c r="CO57" s="832">
        <f t="shared" si="15"/>
        <v>0</v>
      </c>
      <c r="CP57" s="833"/>
      <c r="CQ57" s="833"/>
      <c r="CR57" s="833"/>
      <c r="CS57" s="833"/>
      <c r="CT57" s="833"/>
      <c r="CU57" s="833"/>
      <c r="CV57" s="970"/>
      <c r="CW57" s="27"/>
      <c r="DA57" s="260" t="s">
        <v>2917</v>
      </c>
      <c r="DB57" s="263">
        <f>AC57</f>
        <v>0</v>
      </c>
      <c r="DC57" s="263">
        <f>SUM(AC57,AK57)</f>
        <v>0</v>
      </c>
      <c r="DD57" s="263">
        <f>SUM(AC57,AK57,AS57)</f>
        <v>0</v>
      </c>
      <c r="DE57" s="263">
        <f>SUM(AC57,AK57,AS57,BA57)</f>
        <v>0</v>
      </c>
      <c r="DF57" s="263">
        <f>DE57</f>
        <v>0</v>
      </c>
      <c r="DG57" s="263">
        <f>DE57</f>
        <v>0</v>
      </c>
      <c r="DH57" s="263">
        <f>DE57</f>
        <v>0</v>
      </c>
      <c r="DI57" s="263">
        <f>DE57</f>
        <v>0</v>
      </c>
      <c r="DJ57" s="259">
        <f t="shared" ca="1" si="14"/>
        <v>0</v>
      </c>
    </row>
    <row r="58" spans="1:114" ht="15.6" x14ac:dyDescent="0.3">
      <c r="A58" s="27"/>
      <c r="B58" s="27"/>
      <c r="C58" s="102" t="s">
        <v>2652</v>
      </c>
      <c r="D58" s="943" t="s">
        <v>2738</v>
      </c>
      <c r="E58" s="919"/>
      <c r="F58" s="919"/>
      <c r="G58" s="919"/>
      <c r="H58" s="919"/>
      <c r="I58" s="919"/>
      <c r="J58" s="919"/>
      <c r="K58" s="919"/>
      <c r="L58" s="919"/>
      <c r="M58" s="919"/>
      <c r="N58" s="919"/>
      <c r="O58" s="919"/>
      <c r="P58" s="919"/>
      <c r="Q58" s="919"/>
      <c r="R58" s="919"/>
      <c r="S58" s="919"/>
      <c r="T58" s="919"/>
      <c r="U58" s="919"/>
      <c r="V58" s="919"/>
      <c r="W58" s="919"/>
      <c r="X58" s="919"/>
      <c r="Y58" s="919"/>
      <c r="Z58" s="919"/>
      <c r="AA58" s="984"/>
      <c r="AB58" s="87"/>
      <c r="AC58" s="862">
        <f>COUNTIFS(tblParticipants[ParticipantID],"&lt;&gt;",tblParticipants[ParticipantName],"&lt;&gt;",tblParticipants[EnrollQtr],1,tblParticipants[QtrLastEducFees],1)</f>
        <v>0</v>
      </c>
      <c r="AD58" s="859"/>
      <c r="AE58" s="859"/>
      <c r="AF58" s="859"/>
      <c r="AG58" s="859"/>
      <c r="AH58" s="859"/>
      <c r="AI58" s="860"/>
      <c r="AJ58" s="861"/>
      <c r="AK58" s="862">
        <f>COUNTIFS(tblParticipants[ParticipantID],"&lt;&gt;",tblParticipants[ParticipantName],"&lt;&gt;",tblParticipants[EnrollQtr],"&gt;=1",tblParticipants[EnrollQtr],"&lt;=2",tblParticipants[QtrLastEducFees],2)</f>
        <v>0</v>
      </c>
      <c r="AL58" s="859"/>
      <c r="AM58" s="859"/>
      <c r="AN58" s="859"/>
      <c r="AO58" s="859"/>
      <c r="AP58" s="859"/>
      <c r="AQ58" s="860"/>
      <c r="AR58" s="861"/>
      <c r="AS58" s="862">
        <f>COUNTIFS(tblParticipants[ParticipantID],"&lt;&gt;",tblParticipants[ParticipantName],"&lt;&gt;",tblParticipants[EnrollQtr],"&gt;=1",tblParticipants[EnrollQtr],"&lt;=3",tblParticipants[QtrLastEducFees],3)</f>
        <v>0</v>
      </c>
      <c r="AT58" s="859"/>
      <c r="AU58" s="859"/>
      <c r="AV58" s="859"/>
      <c r="AW58" s="859"/>
      <c r="AX58" s="859"/>
      <c r="AY58" s="860"/>
      <c r="AZ58" s="861"/>
      <c r="BA58" s="862">
        <f>COUNTIFS(tblParticipants[ParticipantID],"&lt;&gt;",tblParticipants[ParticipantName],"&lt;&gt;",tblParticipants[EnrollQtr],"&gt;=1",tblParticipants[EnrollQtr],"&lt;=4",tblParticipants[QtrLastEducFees],4)</f>
        <v>0</v>
      </c>
      <c r="BB58" s="859"/>
      <c r="BC58" s="859"/>
      <c r="BD58" s="859"/>
      <c r="BE58" s="859"/>
      <c r="BF58" s="859"/>
      <c r="BG58" s="860"/>
      <c r="BH58" s="861"/>
      <c r="BI58" s="762"/>
      <c r="BJ58" s="760"/>
      <c r="BK58" s="760"/>
      <c r="BL58" s="760"/>
      <c r="BM58" s="760"/>
      <c r="BN58" s="760"/>
      <c r="BO58" s="760"/>
      <c r="BP58" s="763"/>
      <c r="BQ58" s="744"/>
      <c r="BR58" s="745"/>
      <c r="BS58" s="745"/>
      <c r="BT58" s="745"/>
      <c r="BU58" s="745"/>
      <c r="BV58" s="745"/>
      <c r="BW58" s="745"/>
      <c r="BX58" s="746"/>
      <c r="BY58" s="744"/>
      <c r="BZ58" s="745"/>
      <c r="CA58" s="745"/>
      <c r="CB58" s="745"/>
      <c r="CC58" s="745"/>
      <c r="CD58" s="745"/>
      <c r="CE58" s="745"/>
      <c r="CF58" s="746"/>
      <c r="CG58" s="759"/>
      <c r="CH58" s="760"/>
      <c r="CI58" s="760"/>
      <c r="CJ58" s="760"/>
      <c r="CK58" s="760"/>
      <c r="CL58" s="760"/>
      <c r="CM58" s="760"/>
      <c r="CN58" s="761"/>
      <c r="CO58" s="832">
        <f t="shared" si="15"/>
        <v>0</v>
      </c>
      <c r="CP58" s="833"/>
      <c r="CQ58" s="833"/>
      <c r="CR58" s="833"/>
      <c r="CS58" s="833"/>
      <c r="CT58" s="833"/>
      <c r="CU58" s="833"/>
      <c r="CV58" s="970"/>
      <c r="CW58" s="27"/>
      <c r="DA58" s="260" t="s">
        <v>3097</v>
      </c>
      <c r="DB58" s="263"/>
      <c r="DC58" s="263"/>
      <c r="DD58" s="263"/>
      <c r="DE58" s="263"/>
      <c r="DF58" s="263"/>
      <c r="DG58" s="263"/>
      <c r="DH58" s="263"/>
      <c r="DI58" s="263"/>
      <c r="DJ58" s="259"/>
    </row>
    <row r="59" spans="1:114" ht="15.6" x14ac:dyDescent="0.3">
      <c r="A59" s="27"/>
      <c r="B59" s="27"/>
      <c r="C59" s="102" t="s">
        <v>2653</v>
      </c>
      <c r="D59" s="943" t="s">
        <v>2737</v>
      </c>
      <c r="E59" s="919"/>
      <c r="F59" s="919"/>
      <c r="G59" s="919"/>
      <c r="H59" s="919"/>
      <c r="I59" s="919"/>
      <c r="J59" s="919"/>
      <c r="K59" s="919"/>
      <c r="L59" s="919"/>
      <c r="M59" s="919"/>
      <c r="N59" s="919"/>
      <c r="O59" s="919"/>
      <c r="P59" s="919"/>
      <c r="Q59" s="919"/>
      <c r="R59" s="919"/>
      <c r="S59" s="919"/>
      <c r="T59" s="919"/>
      <c r="U59" s="919"/>
      <c r="V59" s="919"/>
      <c r="W59" s="919"/>
      <c r="X59" s="919"/>
      <c r="Y59" s="919"/>
      <c r="Z59" s="919"/>
      <c r="AA59" s="984"/>
      <c r="AB59" s="87"/>
      <c r="AC59" s="862">
        <f>COUNTIFS(tblParticipants[ParticipantID],"&lt;&gt;",tblParticipants[ParticipantName],"&lt;&gt;",tblParticipants[EnrollQtr],1,tblParticipants[QtrLastWorkAttireTools],1)</f>
        <v>0</v>
      </c>
      <c r="AD59" s="859"/>
      <c r="AE59" s="859"/>
      <c r="AF59" s="859"/>
      <c r="AG59" s="859"/>
      <c r="AH59" s="859"/>
      <c r="AI59" s="860"/>
      <c r="AJ59" s="861"/>
      <c r="AK59" s="862">
        <f>COUNTIFS(tblParticipants[ParticipantID],"&lt;&gt;",tblParticipants[ParticipantName],"&lt;&gt;",tblParticipants[EnrollQtr],"&gt;=1",tblParticipants[EnrollQtr],"&lt;=2",tblParticipants[QtrLastWorkAttireTools],2)</f>
        <v>0</v>
      </c>
      <c r="AL59" s="859"/>
      <c r="AM59" s="859"/>
      <c r="AN59" s="859"/>
      <c r="AO59" s="859"/>
      <c r="AP59" s="859"/>
      <c r="AQ59" s="860"/>
      <c r="AR59" s="861"/>
      <c r="AS59" s="862">
        <f>COUNTIFS(tblParticipants[ParticipantID],"&lt;&gt;",tblParticipants[ParticipantName],"&lt;&gt;",tblParticipants[EnrollQtr],"&gt;=1",tblParticipants[EnrollQtr],"&lt;=3",tblParticipants[QtrLastWorkAttireTools],3)</f>
        <v>0</v>
      </c>
      <c r="AT59" s="859"/>
      <c r="AU59" s="859"/>
      <c r="AV59" s="859"/>
      <c r="AW59" s="859"/>
      <c r="AX59" s="859"/>
      <c r="AY59" s="860"/>
      <c r="AZ59" s="861"/>
      <c r="BA59" s="862">
        <f>COUNTIFS(tblParticipants[ParticipantID],"&lt;&gt;",tblParticipants[ParticipantName],"&lt;&gt;",tblParticipants[EnrollQtr],"&gt;=1",tblParticipants[EnrollQtr],"&lt;=4",tblParticipants[QtrLastWorkAttireTools],4)</f>
        <v>0</v>
      </c>
      <c r="BB59" s="859"/>
      <c r="BC59" s="859"/>
      <c r="BD59" s="859"/>
      <c r="BE59" s="859"/>
      <c r="BF59" s="859"/>
      <c r="BG59" s="860"/>
      <c r="BH59" s="861"/>
      <c r="BI59" s="762"/>
      <c r="BJ59" s="760"/>
      <c r="BK59" s="760"/>
      <c r="BL59" s="760"/>
      <c r="BM59" s="760"/>
      <c r="BN59" s="760"/>
      <c r="BO59" s="760"/>
      <c r="BP59" s="763"/>
      <c r="BQ59" s="744"/>
      <c r="BR59" s="745"/>
      <c r="BS59" s="745"/>
      <c r="BT59" s="745"/>
      <c r="BU59" s="745"/>
      <c r="BV59" s="745"/>
      <c r="BW59" s="745"/>
      <c r="BX59" s="746"/>
      <c r="BY59" s="744"/>
      <c r="BZ59" s="745"/>
      <c r="CA59" s="745"/>
      <c r="CB59" s="745"/>
      <c r="CC59" s="745"/>
      <c r="CD59" s="745"/>
      <c r="CE59" s="745"/>
      <c r="CF59" s="746"/>
      <c r="CG59" s="759"/>
      <c r="CH59" s="760"/>
      <c r="CI59" s="760"/>
      <c r="CJ59" s="760"/>
      <c r="CK59" s="760"/>
      <c r="CL59" s="760"/>
      <c r="CM59" s="760"/>
      <c r="CN59" s="761"/>
      <c r="CO59" s="832">
        <f t="shared" si="15"/>
        <v>0</v>
      </c>
      <c r="CP59" s="833"/>
      <c r="CQ59" s="833"/>
      <c r="CR59" s="833"/>
      <c r="CS59" s="833"/>
      <c r="CT59" s="833"/>
      <c r="CU59" s="833"/>
      <c r="CV59" s="970"/>
      <c r="CW59" s="27"/>
      <c r="DA59" s="260" t="s">
        <v>3098</v>
      </c>
      <c r="DB59" s="263"/>
      <c r="DC59" s="263"/>
      <c r="DD59" s="263"/>
      <c r="DE59" s="263"/>
      <c r="DF59" s="263"/>
      <c r="DG59" s="263"/>
      <c r="DH59" s="263"/>
      <c r="DI59" s="263"/>
      <c r="DJ59" s="259"/>
    </row>
    <row r="60" spans="1:114" ht="15.6" x14ac:dyDescent="0.3">
      <c r="A60" s="27"/>
      <c r="B60" s="27"/>
      <c r="C60" s="102" t="s">
        <v>2654</v>
      </c>
      <c r="D60" s="943" t="s">
        <v>2744</v>
      </c>
      <c r="E60" s="919"/>
      <c r="F60" s="919"/>
      <c r="G60" s="919"/>
      <c r="H60" s="919"/>
      <c r="I60" s="919"/>
      <c r="J60" s="919"/>
      <c r="K60" s="919"/>
      <c r="L60" s="919"/>
      <c r="M60" s="919"/>
      <c r="N60" s="919"/>
      <c r="O60" s="919"/>
      <c r="P60" s="919"/>
      <c r="Q60" s="919"/>
      <c r="R60" s="919"/>
      <c r="S60" s="919"/>
      <c r="T60" s="919"/>
      <c r="U60" s="919"/>
      <c r="V60" s="919"/>
      <c r="W60" s="919"/>
      <c r="X60" s="919"/>
      <c r="Y60" s="919"/>
      <c r="Z60" s="919"/>
      <c r="AA60" s="984"/>
      <c r="AB60" s="87"/>
      <c r="AC60" s="862">
        <f>COUNTIFS(tblParticipants[ParticipantID],"&lt;&gt;",tblParticipants[ParticipantName],"&lt;&gt;",tblParticipants[EnrollQtr],1,tblParticipants[QtrLastTempShelt],1)</f>
        <v>0</v>
      </c>
      <c r="AD60" s="859"/>
      <c r="AE60" s="859"/>
      <c r="AF60" s="859"/>
      <c r="AG60" s="859"/>
      <c r="AH60" s="859"/>
      <c r="AI60" s="860"/>
      <c r="AJ60" s="861"/>
      <c r="AK60" s="858">
        <f>COUNTIFS(tblParticipants[ParticipantID],"&lt;&gt;",tblParticipants[ParticipantName],"&lt;&gt;",tblParticipants[EnrollQtr],"&gt;=1",tblParticipants[EnrollQtr],"&lt;=2",tblParticipants[QtrLastTempShelt],2)</f>
        <v>0</v>
      </c>
      <c r="AL60" s="859"/>
      <c r="AM60" s="859"/>
      <c r="AN60" s="859"/>
      <c r="AO60" s="859"/>
      <c r="AP60" s="859"/>
      <c r="AQ60" s="860"/>
      <c r="AR60" s="861"/>
      <c r="AS60" s="858">
        <f>COUNTIFS(tblParticipants[ParticipantID],"&lt;&gt;",tblParticipants[ParticipantName],"&lt;&gt;",tblParticipants[EnrollQtr],"&gt;=1",tblParticipants[EnrollQtr],"&lt;=3",tblParticipants[QtrLastTempShelt],3)</f>
        <v>0</v>
      </c>
      <c r="AT60" s="859"/>
      <c r="AU60" s="859"/>
      <c r="AV60" s="859"/>
      <c r="AW60" s="859"/>
      <c r="AX60" s="859"/>
      <c r="AY60" s="860"/>
      <c r="AZ60" s="861"/>
      <c r="BA60" s="858">
        <f>COUNTIFS(tblParticipants[ParticipantID],"&lt;&gt;",tblParticipants[ParticipantName],"&lt;&gt;",tblParticipants[EnrollQtr],"&gt;=1",tblParticipants[EnrollQtr],"&lt;=4",tblParticipants[QtrLastTempShelt],4)</f>
        <v>0</v>
      </c>
      <c r="BB60" s="859"/>
      <c r="BC60" s="859"/>
      <c r="BD60" s="859"/>
      <c r="BE60" s="859"/>
      <c r="BF60" s="859"/>
      <c r="BG60" s="860"/>
      <c r="BH60" s="861"/>
      <c r="BI60" s="762"/>
      <c r="BJ60" s="760"/>
      <c r="BK60" s="760"/>
      <c r="BL60" s="760"/>
      <c r="BM60" s="760"/>
      <c r="BN60" s="760"/>
      <c r="BO60" s="760"/>
      <c r="BP60" s="763"/>
      <c r="BQ60" s="744"/>
      <c r="BR60" s="745"/>
      <c r="BS60" s="745"/>
      <c r="BT60" s="745"/>
      <c r="BU60" s="745"/>
      <c r="BV60" s="745"/>
      <c r="BW60" s="745"/>
      <c r="BX60" s="746"/>
      <c r="BY60" s="744"/>
      <c r="BZ60" s="745"/>
      <c r="CA60" s="745"/>
      <c r="CB60" s="745"/>
      <c r="CC60" s="745"/>
      <c r="CD60" s="745"/>
      <c r="CE60" s="745"/>
      <c r="CF60" s="746"/>
      <c r="CG60" s="759"/>
      <c r="CH60" s="760"/>
      <c r="CI60" s="760"/>
      <c r="CJ60" s="760"/>
      <c r="CK60" s="760"/>
      <c r="CL60" s="760"/>
      <c r="CM60" s="760"/>
      <c r="CN60" s="761"/>
      <c r="CO60" s="832">
        <f t="shared" ref="CO60:CO61" si="16">IF(outReportQtr=1,AC60,IF(outReportQtr=2,AC60+AK60,IF(outReportQtr=3,AC60+AK60+AS60,AC60+AK60+AS60+BA60)))</f>
        <v>0</v>
      </c>
      <c r="CP60" s="833"/>
      <c r="CQ60" s="833"/>
      <c r="CR60" s="833"/>
      <c r="CS60" s="833"/>
      <c r="CT60" s="833"/>
      <c r="CU60" s="833"/>
      <c r="CV60" s="970"/>
      <c r="CW60" s="27"/>
      <c r="DA60" s="260" t="s">
        <v>3099</v>
      </c>
      <c r="DB60" s="263"/>
      <c r="DC60" s="263"/>
      <c r="DD60" s="263"/>
      <c r="DE60" s="263"/>
      <c r="DF60" s="263"/>
      <c r="DG60" s="263"/>
      <c r="DH60" s="263"/>
      <c r="DI60" s="263"/>
      <c r="DJ60" s="259"/>
    </row>
    <row r="61" spans="1:114" ht="15.6" x14ac:dyDescent="0.3">
      <c r="A61" s="27"/>
      <c r="B61" s="27"/>
      <c r="C61" s="102" t="s">
        <v>2655</v>
      </c>
      <c r="D61" s="943" t="s">
        <v>2735</v>
      </c>
      <c r="E61" s="919"/>
      <c r="F61" s="919"/>
      <c r="G61" s="919"/>
      <c r="H61" s="919"/>
      <c r="I61" s="919"/>
      <c r="J61" s="919"/>
      <c r="K61" s="919"/>
      <c r="L61" s="919"/>
      <c r="M61" s="919"/>
      <c r="N61" s="919"/>
      <c r="O61" s="919"/>
      <c r="P61" s="919"/>
      <c r="Q61" s="919"/>
      <c r="R61" s="919"/>
      <c r="S61" s="919"/>
      <c r="T61" s="919"/>
      <c r="U61" s="919"/>
      <c r="V61" s="919"/>
      <c r="W61" s="919"/>
      <c r="X61" s="919"/>
      <c r="Y61" s="919"/>
      <c r="Z61" s="919"/>
      <c r="AA61" s="984"/>
      <c r="AB61" s="87"/>
      <c r="AC61" s="862">
        <f>COUNTIFS(tblParticipants[ParticipantID],"&lt;&gt;",tblParticipants[ParticipantName],"&lt;&gt;",tblParticipants[EnrollQtr],1,tblParticipants[QtrLastTransport],1)</f>
        <v>0</v>
      </c>
      <c r="AD61" s="859"/>
      <c r="AE61" s="859"/>
      <c r="AF61" s="859"/>
      <c r="AG61" s="859"/>
      <c r="AH61" s="859"/>
      <c r="AI61" s="860"/>
      <c r="AJ61" s="861"/>
      <c r="AK61" s="858">
        <f>COUNTIFS(tblParticipants[ParticipantID],"&lt;&gt;",tblParticipants[ParticipantName],"&lt;&gt;",tblParticipants[EnrollQtr],"&gt;=1",tblParticipants[EnrollQtr],"&lt;=2",tblParticipants[QtrLastTransport],2)</f>
        <v>0</v>
      </c>
      <c r="AL61" s="859"/>
      <c r="AM61" s="859"/>
      <c r="AN61" s="859"/>
      <c r="AO61" s="859"/>
      <c r="AP61" s="859"/>
      <c r="AQ61" s="860"/>
      <c r="AR61" s="861"/>
      <c r="AS61" s="858">
        <f>COUNTIFS(tblParticipants[ParticipantID],"&lt;&gt;",tblParticipants[ParticipantName],"&lt;&gt;",tblParticipants[EnrollQtr],"&gt;=1",tblParticipants[EnrollQtr],"&lt;=3",tblParticipants[QtrLastTransport],3)</f>
        <v>0</v>
      </c>
      <c r="AT61" s="859"/>
      <c r="AU61" s="859"/>
      <c r="AV61" s="859"/>
      <c r="AW61" s="859"/>
      <c r="AX61" s="859"/>
      <c r="AY61" s="860"/>
      <c r="AZ61" s="861"/>
      <c r="BA61" s="858">
        <f>COUNTIFS(tblParticipants[ParticipantID],"&lt;&gt;",tblParticipants[ParticipantName],"&lt;&gt;",tblParticipants[EnrollQtr],"&gt;=1",tblParticipants[EnrollQtr],"&lt;=4",tblParticipants[QtrLastTransport],4)</f>
        <v>0</v>
      </c>
      <c r="BB61" s="859"/>
      <c r="BC61" s="859"/>
      <c r="BD61" s="859"/>
      <c r="BE61" s="859"/>
      <c r="BF61" s="859"/>
      <c r="BG61" s="860"/>
      <c r="BH61" s="861"/>
      <c r="BI61" s="762"/>
      <c r="BJ61" s="760"/>
      <c r="BK61" s="760"/>
      <c r="BL61" s="760"/>
      <c r="BM61" s="760"/>
      <c r="BN61" s="760"/>
      <c r="BO61" s="760"/>
      <c r="BP61" s="763"/>
      <c r="BQ61" s="744"/>
      <c r="BR61" s="745"/>
      <c r="BS61" s="745"/>
      <c r="BT61" s="745"/>
      <c r="BU61" s="745"/>
      <c r="BV61" s="745"/>
      <c r="BW61" s="745"/>
      <c r="BX61" s="746"/>
      <c r="BY61" s="744"/>
      <c r="BZ61" s="745"/>
      <c r="CA61" s="745"/>
      <c r="CB61" s="745"/>
      <c r="CC61" s="745"/>
      <c r="CD61" s="745"/>
      <c r="CE61" s="745"/>
      <c r="CF61" s="746"/>
      <c r="CG61" s="759"/>
      <c r="CH61" s="760"/>
      <c r="CI61" s="760"/>
      <c r="CJ61" s="760"/>
      <c r="CK61" s="760"/>
      <c r="CL61" s="760"/>
      <c r="CM61" s="760"/>
      <c r="CN61" s="761"/>
      <c r="CO61" s="832">
        <f t="shared" si="16"/>
        <v>0</v>
      </c>
      <c r="CP61" s="833"/>
      <c r="CQ61" s="833"/>
      <c r="CR61" s="833"/>
      <c r="CS61" s="833"/>
      <c r="CT61" s="833"/>
      <c r="CU61" s="833"/>
      <c r="CV61" s="970"/>
      <c r="CW61" s="27"/>
      <c r="DA61" s="260" t="s">
        <v>2735</v>
      </c>
      <c r="DB61" s="263"/>
      <c r="DC61" s="263"/>
      <c r="DD61" s="263"/>
      <c r="DE61" s="263"/>
      <c r="DF61" s="263"/>
      <c r="DG61" s="263"/>
      <c r="DH61" s="263"/>
      <c r="DI61" s="263"/>
      <c r="DJ61" s="259"/>
    </row>
    <row r="62" spans="1:114" ht="15.6" x14ac:dyDescent="0.3">
      <c r="A62" s="27"/>
      <c r="B62" s="27"/>
      <c r="C62" s="102" t="s">
        <v>2656</v>
      </c>
      <c r="D62" s="943" t="s">
        <v>2741</v>
      </c>
      <c r="E62" s="919"/>
      <c r="F62" s="919"/>
      <c r="G62" s="919"/>
      <c r="H62" s="919"/>
      <c r="I62" s="919"/>
      <c r="J62" s="919"/>
      <c r="K62" s="919"/>
      <c r="L62" s="919"/>
      <c r="M62" s="919"/>
      <c r="N62" s="919"/>
      <c r="O62" s="919"/>
      <c r="P62" s="919"/>
      <c r="Q62" s="919"/>
      <c r="R62" s="919"/>
      <c r="S62" s="919"/>
      <c r="T62" s="919"/>
      <c r="U62" s="919"/>
      <c r="V62" s="919"/>
      <c r="W62" s="919"/>
      <c r="X62" s="919"/>
      <c r="Y62" s="919"/>
      <c r="Z62" s="919"/>
      <c r="AA62" s="984"/>
      <c r="AB62" s="87"/>
      <c r="AC62" s="862">
        <f>COUNTIFS(tblParticipants[ParticipantID],"&lt;&gt;",tblParticipants[ParticipantName],"&lt;&gt;",tblParticipants[EnrollQtr],1,tblParticipants[QtrLastChildCare],1)</f>
        <v>0</v>
      </c>
      <c r="AD62" s="859"/>
      <c r="AE62" s="859"/>
      <c r="AF62" s="859"/>
      <c r="AG62" s="859"/>
      <c r="AH62" s="859"/>
      <c r="AI62" s="860"/>
      <c r="AJ62" s="861"/>
      <c r="AK62" s="858">
        <f>COUNTIFS(tblParticipants[ParticipantID],"&lt;&gt;",tblParticipants[ParticipantName],"&lt;&gt;",tblParticipants[EnrollQtr],"&gt;=1",tblParticipants[EnrollQtr],"&lt;=2",tblParticipants[QtrLastChildCare],2)</f>
        <v>0</v>
      </c>
      <c r="AL62" s="859"/>
      <c r="AM62" s="859"/>
      <c r="AN62" s="859"/>
      <c r="AO62" s="859"/>
      <c r="AP62" s="859"/>
      <c r="AQ62" s="860"/>
      <c r="AR62" s="861"/>
      <c r="AS62" s="858">
        <f>COUNTIFS(tblParticipants[ParticipantID],"&lt;&gt;",tblParticipants[ParticipantName],"&lt;&gt;",tblParticipants[EnrollQtr],"&gt;=1",tblParticipants[EnrollQtr],"&lt;=3",tblParticipants[QtrLastChildCare],3)</f>
        <v>0</v>
      </c>
      <c r="AT62" s="859"/>
      <c r="AU62" s="859"/>
      <c r="AV62" s="859"/>
      <c r="AW62" s="859"/>
      <c r="AX62" s="859"/>
      <c r="AY62" s="860"/>
      <c r="AZ62" s="861"/>
      <c r="BA62" s="858">
        <f>COUNTIFS(tblParticipants[ParticipantID],"&lt;&gt;",tblParticipants[ParticipantName],"&lt;&gt;",tblParticipants[EnrollQtr],"&gt;=1",tblParticipants[EnrollQtr],"&lt;=4",tblParticipants[QtrLastChildCare],4)</f>
        <v>0</v>
      </c>
      <c r="BB62" s="859"/>
      <c r="BC62" s="859"/>
      <c r="BD62" s="859"/>
      <c r="BE62" s="859"/>
      <c r="BF62" s="859"/>
      <c r="BG62" s="860"/>
      <c r="BH62" s="861"/>
      <c r="BI62" s="762"/>
      <c r="BJ62" s="760"/>
      <c r="BK62" s="760"/>
      <c r="BL62" s="760"/>
      <c r="BM62" s="760"/>
      <c r="BN62" s="760"/>
      <c r="BO62" s="760"/>
      <c r="BP62" s="763"/>
      <c r="BQ62" s="744"/>
      <c r="BR62" s="745"/>
      <c r="BS62" s="745"/>
      <c r="BT62" s="745"/>
      <c r="BU62" s="745"/>
      <c r="BV62" s="745"/>
      <c r="BW62" s="745"/>
      <c r="BX62" s="746"/>
      <c r="BY62" s="744"/>
      <c r="BZ62" s="745"/>
      <c r="CA62" s="745"/>
      <c r="CB62" s="745"/>
      <c r="CC62" s="745"/>
      <c r="CD62" s="745"/>
      <c r="CE62" s="745"/>
      <c r="CF62" s="746"/>
      <c r="CG62" s="759"/>
      <c r="CH62" s="760"/>
      <c r="CI62" s="760"/>
      <c r="CJ62" s="760"/>
      <c r="CK62" s="760"/>
      <c r="CL62" s="760"/>
      <c r="CM62" s="760"/>
      <c r="CN62" s="761"/>
      <c r="CO62" s="832">
        <f t="shared" ref="CO62" si="17">IF(outReportQtr=1,AC62,IF(outReportQtr=2,AC62+AK62,IF(outReportQtr=3,AC62+AK62+AS62,AC62+AK62+AS62+BA62)))</f>
        <v>0</v>
      </c>
      <c r="CP62" s="833"/>
      <c r="CQ62" s="833"/>
      <c r="CR62" s="833"/>
      <c r="CS62" s="833"/>
      <c r="CT62" s="833"/>
      <c r="CU62" s="833"/>
      <c r="CV62" s="970"/>
      <c r="CW62" s="27"/>
      <c r="DA62" s="260" t="s">
        <v>3100</v>
      </c>
      <c r="DB62" s="263"/>
      <c r="DC62" s="263"/>
      <c r="DD62" s="263"/>
      <c r="DE62" s="263"/>
      <c r="DF62" s="263"/>
      <c r="DG62" s="263"/>
      <c r="DH62" s="263"/>
      <c r="DI62" s="263"/>
      <c r="DJ62" s="259"/>
    </row>
    <row r="63" spans="1:114" ht="15.6" x14ac:dyDescent="0.3">
      <c r="A63" s="27"/>
      <c r="B63" s="27"/>
      <c r="C63" s="102" t="s">
        <v>2657</v>
      </c>
      <c r="D63" s="943" t="s">
        <v>2736</v>
      </c>
      <c r="E63" s="919"/>
      <c r="F63" s="919"/>
      <c r="G63" s="919"/>
      <c r="H63" s="919"/>
      <c r="I63" s="919"/>
      <c r="J63" s="919"/>
      <c r="K63" s="919"/>
      <c r="L63" s="919"/>
      <c r="M63" s="919"/>
      <c r="N63" s="919"/>
      <c r="O63" s="919"/>
      <c r="P63" s="919"/>
      <c r="Q63" s="919"/>
      <c r="R63" s="919"/>
      <c r="S63" s="919"/>
      <c r="T63" s="919"/>
      <c r="U63" s="919"/>
      <c r="V63" s="919"/>
      <c r="W63" s="919"/>
      <c r="X63" s="919"/>
      <c r="Y63" s="919"/>
      <c r="Z63" s="919"/>
      <c r="AA63" s="984"/>
      <c r="AB63" s="87"/>
      <c r="AC63" s="862">
        <f>COUNTIFS(tblParticipants[ParticipantID],"&lt;&gt;",tblParticipants[ParticipantName],"&lt;&gt;",tblParticipants[EnrollQtr],1,tblParticipants[QtrLastAccomDisab],1)</f>
        <v>0</v>
      </c>
      <c r="AD63" s="859"/>
      <c r="AE63" s="859"/>
      <c r="AF63" s="859"/>
      <c r="AG63" s="859"/>
      <c r="AH63" s="859"/>
      <c r="AI63" s="860"/>
      <c r="AJ63" s="861"/>
      <c r="AK63" s="858">
        <f>COUNTIFS(tblParticipants[ParticipantID],"&lt;&gt;",tblParticipants[ParticipantName],"&lt;&gt;",tblParticipants[EnrollQtr],"&gt;=1",tblParticipants[EnrollQtr],"&lt;=2",tblParticipants[QtrLastAccomDisab],2)</f>
        <v>0</v>
      </c>
      <c r="AL63" s="859"/>
      <c r="AM63" s="859"/>
      <c r="AN63" s="859"/>
      <c r="AO63" s="859"/>
      <c r="AP63" s="859"/>
      <c r="AQ63" s="860"/>
      <c r="AR63" s="861"/>
      <c r="AS63" s="858">
        <f>COUNTIFS(tblParticipants[ParticipantID],"&lt;&gt;",tblParticipants[ParticipantName],"&lt;&gt;",tblParticipants[EnrollQtr],"&gt;=1",tblParticipants[EnrollQtr],"&lt;=3",tblParticipants[QtrLastAccomDisab],3)</f>
        <v>0</v>
      </c>
      <c r="AT63" s="859"/>
      <c r="AU63" s="859"/>
      <c r="AV63" s="859"/>
      <c r="AW63" s="859"/>
      <c r="AX63" s="859"/>
      <c r="AY63" s="860"/>
      <c r="AZ63" s="861"/>
      <c r="BA63" s="858">
        <f>COUNTIFS(tblParticipants[ParticipantID],"&lt;&gt;",tblParticipants[ParticipantName],"&lt;&gt;",tblParticipants[EnrollQtr],"&gt;=1",tblParticipants[EnrollQtr],"&lt;=4",tblParticipants[QtrLastAccomDisab],4)</f>
        <v>0</v>
      </c>
      <c r="BB63" s="859"/>
      <c r="BC63" s="859"/>
      <c r="BD63" s="859"/>
      <c r="BE63" s="859"/>
      <c r="BF63" s="859"/>
      <c r="BG63" s="860"/>
      <c r="BH63" s="861"/>
      <c r="BI63" s="762"/>
      <c r="BJ63" s="760"/>
      <c r="BK63" s="760"/>
      <c r="BL63" s="760"/>
      <c r="BM63" s="760"/>
      <c r="BN63" s="760"/>
      <c r="BO63" s="760"/>
      <c r="BP63" s="763"/>
      <c r="BQ63" s="744"/>
      <c r="BR63" s="745"/>
      <c r="BS63" s="745"/>
      <c r="BT63" s="745"/>
      <c r="BU63" s="745"/>
      <c r="BV63" s="745"/>
      <c r="BW63" s="745"/>
      <c r="BX63" s="746"/>
      <c r="BY63" s="744"/>
      <c r="BZ63" s="745"/>
      <c r="CA63" s="745"/>
      <c r="CB63" s="745"/>
      <c r="CC63" s="745"/>
      <c r="CD63" s="745"/>
      <c r="CE63" s="745"/>
      <c r="CF63" s="746"/>
      <c r="CG63" s="759"/>
      <c r="CH63" s="760"/>
      <c r="CI63" s="760"/>
      <c r="CJ63" s="760"/>
      <c r="CK63" s="760"/>
      <c r="CL63" s="760"/>
      <c r="CM63" s="760"/>
      <c r="CN63" s="761"/>
      <c r="CO63" s="832">
        <f t="shared" ref="CO63" si="18">IF(outReportQtr=1,AC63,IF(outReportQtr=2,AC63+AK63,IF(outReportQtr=3,AC63+AK63+AS63,AC63+AK63+AS63+BA63)))</f>
        <v>0</v>
      </c>
      <c r="CP63" s="833"/>
      <c r="CQ63" s="833"/>
      <c r="CR63" s="833"/>
      <c r="CS63" s="833"/>
      <c r="CT63" s="833"/>
      <c r="CU63" s="833"/>
      <c r="CV63" s="970"/>
      <c r="CW63" s="27"/>
      <c r="DA63" s="260" t="s">
        <v>3101</v>
      </c>
      <c r="DB63" s="263"/>
      <c r="DC63" s="263"/>
      <c r="DD63" s="263"/>
      <c r="DE63" s="263"/>
      <c r="DF63" s="263"/>
      <c r="DG63" s="263"/>
      <c r="DH63" s="263"/>
      <c r="DI63" s="263"/>
      <c r="DJ63" s="259"/>
    </row>
    <row r="64" spans="1:114" ht="15.6" x14ac:dyDescent="0.3">
      <c r="A64" s="27"/>
      <c r="B64" s="27"/>
      <c r="C64" s="102" t="s">
        <v>2658</v>
      </c>
      <c r="D64" s="943" t="s">
        <v>2739</v>
      </c>
      <c r="E64" s="919"/>
      <c r="F64" s="919"/>
      <c r="G64" s="919"/>
      <c r="H64" s="919"/>
      <c r="I64" s="919"/>
      <c r="J64" s="919"/>
      <c r="K64" s="919"/>
      <c r="L64" s="919"/>
      <c r="M64" s="919"/>
      <c r="N64" s="919"/>
      <c r="O64" s="919"/>
      <c r="P64" s="919"/>
      <c r="Q64" s="919"/>
      <c r="R64" s="919"/>
      <c r="S64" s="919"/>
      <c r="T64" s="919"/>
      <c r="U64" s="919"/>
      <c r="V64" s="919"/>
      <c r="W64" s="919"/>
      <c r="X64" s="919"/>
      <c r="Y64" s="919"/>
      <c r="Z64" s="919"/>
      <c r="AA64" s="984"/>
      <c r="AB64" s="87"/>
      <c r="AC64" s="862">
        <f>COUNTIFS(tblParticipants[ParticipantID],"&lt;&gt;",tblParticipants[ParticipantName],"&lt;&gt;",tblParticipants[EnrollQtr],1,tblParticipants[QtrLastHealthCare],1)</f>
        <v>0</v>
      </c>
      <c r="AD64" s="859"/>
      <c r="AE64" s="859"/>
      <c r="AF64" s="859"/>
      <c r="AG64" s="859"/>
      <c r="AH64" s="859"/>
      <c r="AI64" s="860"/>
      <c r="AJ64" s="861"/>
      <c r="AK64" s="858">
        <f>COUNTIFS(tblParticipants[ParticipantID],"&lt;&gt;",tblParticipants[ParticipantName],"&lt;&gt;",tblParticipants[EnrollQtr],"&gt;=1",tblParticipants[EnrollQtr],"&lt;=2",tblParticipants[QtrLastHealthCare],2)</f>
        <v>0</v>
      </c>
      <c r="AL64" s="859"/>
      <c r="AM64" s="859"/>
      <c r="AN64" s="859"/>
      <c r="AO64" s="859"/>
      <c r="AP64" s="859"/>
      <c r="AQ64" s="860"/>
      <c r="AR64" s="861"/>
      <c r="AS64" s="858">
        <f>COUNTIFS(tblParticipants[ParticipantID],"&lt;&gt;",tblParticipants[ParticipantName],"&lt;&gt;",tblParticipants[EnrollQtr],"&gt;=1",tblParticipants[EnrollQtr],"&lt;=3",tblParticipants[QtrLastHealthCare],3)</f>
        <v>0</v>
      </c>
      <c r="AT64" s="859"/>
      <c r="AU64" s="859"/>
      <c r="AV64" s="859"/>
      <c r="AW64" s="859"/>
      <c r="AX64" s="859"/>
      <c r="AY64" s="860"/>
      <c r="AZ64" s="861"/>
      <c r="BA64" s="858">
        <f>COUNTIFS(tblParticipants[ParticipantID],"&lt;&gt;",tblParticipants[ParticipantName],"&lt;&gt;",tblParticipants[EnrollQtr],"&gt;=1",tblParticipants[EnrollQtr],"&lt;=4",tblParticipants[QtrLastHealthCare],4)</f>
        <v>0</v>
      </c>
      <c r="BB64" s="859"/>
      <c r="BC64" s="859"/>
      <c r="BD64" s="859"/>
      <c r="BE64" s="859"/>
      <c r="BF64" s="859"/>
      <c r="BG64" s="860"/>
      <c r="BH64" s="861"/>
      <c r="BI64" s="762"/>
      <c r="BJ64" s="760"/>
      <c r="BK64" s="760"/>
      <c r="BL64" s="760"/>
      <c r="BM64" s="760"/>
      <c r="BN64" s="760"/>
      <c r="BO64" s="760"/>
      <c r="BP64" s="763"/>
      <c r="BQ64" s="744"/>
      <c r="BR64" s="745"/>
      <c r="BS64" s="745"/>
      <c r="BT64" s="745"/>
      <c r="BU64" s="745"/>
      <c r="BV64" s="745"/>
      <c r="BW64" s="745"/>
      <c r="BX64" s="746"/>
      <c r="BY64" s="744"/>
      <c r="BZ64" s="745"/>
      <c r="CA64" s="745"/>
      <c r="CB64" s="745"/>
      <c r="CC64" s="745"/>
      <c r="CD64" s="745"/>
      <c r="CE64" s="745"/>
      <c r="CF64" s="746"/>
      <c r="CG64" s="759"/>
      <c r="CH64" s="760"/>
      <c r="CI64" s="760"/>
      <c r="CJ64" s="760"/>
      <c r="CK64" s="760"/>
      <c r="CL64" s="760"/>
      <c r="CM64" s="760"/>
      <c r="CN64" s="761"/>
      <c r="CO64" s="832">
        <f t="shared" ref="CO64" si="19">IF(outReportQtr=1,AC64,IF(outReportQtr=2,AC64+AK64,IF(outReportQtr=3,AC64+AK64+AS64,AC64+AK64+AS64+BA64)))</f>
        <v>0</v>
      </c>
      <c r="CP64" s="833"/>
      <c r="CQ64" s="833"/>
      <c r="CR64" s="833"/>
      <c r="CS64" s="833"/>
      <c r="CT64" s="833"/>
      <c r="CU64" s="833"/>
      <c r="CV64" s="970"/>
      <c r="CW64" s="27"/>
      <c r="DA64" s="260" t="s">
        <v>2739</v>
      </c>
      <c r="DB64" s="263"/>
      <c r="DC64" s="263"/>
      <c r="DD64" s="263"/>
      <c r="DE64" s="263"/>
      <c r="DF64" s="263"/>
      <c r="DG64" s="263"/>
      <c r="DH64" s="263"/>
      <c r="DI64" s="263"/>
      <c r="DJ64" s="259"/>
    </row>
    <row r="65" spans="1:114" ht="15.6" x14ac:dyDescent="0.3">
      <c r="A65" s="27"/>
      <c r="B65" s="27"/>
      <c r="C65" s="102" t="s">
        <v>2659</v>
      </c>
      <c r="D65" s="943" t="s">
        <v>2740</v>
      </c>
      <c r="E65" s="919"/>
      <c r="F65" s="919"/>
      <c r="G65" s="919"/>
      <c r="H65" s="919"/>
      <c r="I65" s="919"/>
      <c r="J65" s="919"/>
      <c r="K65" s="919"/>
      <c r="L65" s="919"/>
      <c r="M65" s="919"/>
      <c r="N65" s="919"/>
      <c r="O65" s="919"/>
      <c r="P65" s="919"/>
      <c r="Q65" s="919"/>
      <c r="R65" s="919"/>
      <c r="S65" s="919"/>
      <c r="T65" s="919"/>
      <c r="U65" s="919"/>
      <c r="V65" s="919"/>
      <c r="W65" s="919"/>
      <c r="X65" s="919"/>
      <c r="Y65" s="919"/>
      <c r="Z65" s="919"/>
      <c r="AA65" s="984"/>
      <c r="AB65" s="87"/>
      <c r="AC65" s="862">
        <f>COUNTIFS(tblParticipants[ParticipantID],"&lt;&gt;",tblParticipants[ParticipantName],"&lt;&gt;",tblParticipants[EnrollQtr],1,tblParticipants[QtrLastLegAid],1)</f>
        <v>0</v>
      </c>
      <c r="AD65" s="859"/>
      <c r="AE65" s="859"/>
      <c r="AF65" s="859"/>
      <c r="AG65" s="859"/>
      <c r="AH65" s="859"/>
      <c r="AI65" s="860"/>
      <c r="AJ65" s="861"/>
      <c r="AK65" s="858">
        <f>COUNTIFS(tblParticipants[ParticipantID],"&lt;&gt;",tblParticipants[ParticipantName],"&lt;&gt;",tblParticipants[EnrollQtr],"&gt;=1",tblParticipants[EnrollQtr],"&lt;=2",tblParticipants[QtrLastLegAid],2)</f>
        <v>0</v>
      </c>
      <c r="AL65" s="859"/>
      <c r="AM65" s="859"/>
      <c r="AN65" s="859"/>
      <c r="AO65" s="859"/>
      <c r="AP65" s="859"/>
      <c r="AQ65" s="860"/>
      <c r="AR65" s="861"/>
      <c r="AS65" s="858">
        <f>COUNTIFS(tblParticipants[ParticipantID],"&lt;&gt;",tblParticipants[ParticipantName],"&lt;&gt;",tblParticipants[EnrollQtr],"&gt;=1",tblParticipants[EnrollQtr],"&lt;=3",tblParticipants[QtrLastLegAid],3)</f>
        <v>0</v>
      </c>
      <c r="AT65" s="859"/>
      <c r="AU65" s="859"/>
      <c r="AV65" s="859"/>
      <c r="AW65" s="859"/>
      <c r="AX65" s="859"/>
      <c r="AY65" s="860"/>
      <c r="AZ65" s="861"/>
      <c r="BA65" s="858">
        <f>COUNTIFS(tblParticipants[ParticipantID],"&lt;&gt;",tblParticipants[ParticipantName],"&lt;&gt;",tblParticipants[EnrollQtr],"&gt;=1",tblParticipants[EnrollQtr],"&lt;=4",tblParticipants[QtrLastLegAid],4)</f>
        <v>0</v>
      </c>
      <c r="BB65" s="859"/>
      <c r="BC65" s="859"/>
      <c r="BD65" s="859"/>
      <c r="BE65" s="859"/>
      <c r="BF65" s="859"/>
      <c r="BG65" s="860"/>
      <c r="BH65" s="861"/>
      <c r="BI65" s="762"/>
      <c r="BJ65" s="760"/>
      <c r="BK65" s="760"/>
      <c r="BL65" s="760"/>
      <c r="BM65" s="760"/>
      <c r="BN65" s="760"/>
      <c r="BO65" s="760"/>
      <c r="BP65" s="763"/>
      <c r="BQ65" s="744"/>
      <c r="BR65" s="745"/>
      <c r="BS65" s="745"/>
      <c r="BT65" s="745"/>
      <c r="BU65" s="745"/>
      <c r="BV65" s="745"/>
      <c r="BW65" s="745"/>
      <c r="BX65" s="746"/>
      <c r="BY65" s="744"/>
      <c r="BZ65" s="745"/>
      <c r="CA65" s="745"/>
      <c r="CB65" s="745"/>
      <c r="CC65" s="745"/>
      <c r="CD65" s="745"/>
      <c r="CE65" s="745"/>
      <c r="CF65" s="746"/>
      <c r="CG65" s="759"/>
      <c r="CH65" s="760"/>
      <c r="CI65" s="760"/>
      <c r="CJ65" s="760"/>
      <c r="CK65" s="760"/>
      <c r="CL65" s="760"/>
      <c r="CM65" s="760"/>
      <c r="CN65" s="761"/>
      <c r="CO65" s="832">
        <f t="shared" ref="CO65" si="20">IF(outReportQtr=1,AC65,IF(outReportQtr=2,AC65+AK65,IF(outReportQtr=3,AC65+AK65+AS65,AC65+AK65+AS65+BA65)))</f>
        <v>0</v>
      </c>
      <c r="CP65" s="833"/>
      <c r="CQ65" s="833"/>
      <c r="CR65" s="833"/>
      <c r="CS65" s="833"/>
      <c r="CT65" s="833"/>
      <c r="CU65" s="833"/>
      <c r="CV65" s="970"/>
      <c r="CW65" s="27"/>
      <c r="DA65" s="260" t="s">
        <v>3102</v>
      </c>
      <c r="DB65" s="263"/>
      <c r="DC65" s="263"/>
      <c r="DD65" s="263"/>
      <c r="DE65" s="263"/>
      <c r="DF65" s="263"/>
      <c r="DG65" s="263"/>
      <c r="DH65" s="263"/>
      <c r="DI65" s="263"/>
      <c r="DJ65" s="259"/>
    </row>
    <row r="66" spans="1:114" ht="15.6" x14ac:dyDescent="0.3">
      <c r="A66" s="27"/>
      <c r="B66" s="27"/>
      <c r="C66" s="102" t="s">
        <v>2660</v>
      </c>
      <c r="D66" s="943" t="s">
        <v>2742</v>
      </c>
      <c r="E66" s="919"/>
      <c r="F66" s="919"/>
      <c r="G66" s="919"/>
      <c r="H66" s="919"/>
      <c r="I66" s="919"/>
      <c r="J66" s="919"/>
      <c r="K66" s="919"/>
      <c r="L66" s="919"/>
      <c r="M66" s="919"/>
      <c r="N66" s="919"/>
      <c r="O66" s="919"/>
      <c r="P66" s="919"/>
      <c r="Q66" s="919"/>
      <c r="R66" s="919"/>
      <c r="S66" s="919"/>
      <c r="T66" s="919"/>
      <c r="U66" s="919"/>
      <c r="V66" s="919"/>
      <c r="W66" s="919"/>
      <c r="X66" s="919"/>
      <c r="Y66" s="919"/>
      <c r="Z66" s="919"/>
      <c r="AA66" s="984"/>
      <c r="AB66" s="87"/>
      <c r="AC66" s="862">
        <f>COUNTIFS(tblParticipants[ParticipantID],"&lt;&gt;",tblParticipants[ParticipantName],"&lt;&gt;",tblParticipants[EnrollQtr],1,tblParticipants[QtrLastDrugAlcCouns],1)</f>
        <v>0</v>
      </c>
      <c r="AD66" s="859"/>
      <c r="AE66" s="859"/>
      <c r="AF66" s="859"/>
      <c r="AG66" s="859"/>
      <c r="AH66" s="859"/>
      <c r="AI66" s="860"/>
      <c r="AJ66" s="861"/>
      <c r="AK66" s="858">
        <f>COUNTIFS(tblParticipants[ParticipantID],"&lt;&gt;",tblParticipants[ParticipantName],"&lt;&gt;",tblParticipants[EnrollQtr],"&gt;=1",tblParticipants[EnrollQtr],"&lt;=2",tblParticipants[QtrLastDrugAlcCouns],2)</f>
        <v>0</v>
      </c>
      <c r="AL66" s="859"/>
      <c r="AM66" s="859"/>
      <c r="AN66" s="859"/>
      <c r="AO66" s="859"/>
      <c r="AP66" s="859"/>
      <c r="AQ66" s="860"/>
      <c r="AR66" s="861"/>
      <c r="AS66" s="858">
        <f>COUNTIFS(tblParticipants[ParticipantID],"&lt;&gt;",tblParticipants[ParticipantName],"&lt;&gt;",tblParticipants[EnrollQtr],"&gt;=1",tblParticipants[EnrollQtr],"&lt;=3",tblParticipants[QtrLastDrugAlcCouns],3)</f>
        <v>0</v>
      </c>
      <c r="AT66" s="859"/>
      <c r="AU66" s="859"/>
      <c r="AV66" s="859"/>
      <c r="AW66" s="859"/>
      <c r="AX66" s="859"/>
      <c r="AY66" s="860"/>
      <c r="AZ66" s="861"/>
      <c r="BA66" s="858">
        <f>COUNTIFS(tblParticipants[ParticipantID],"&lt;&gt;",tblParticipants[ParticipantName],"&lt;&gt;",tblParticipants[EnrollQtr],"&gt;=1",tblParticipants[EnrollQtr],"&lt;=4",tblParticipants[QtrLastDrugAlcCouns],4)</f>
        <v>0</v>
      </c>
      <c r="BB66" s="859"/>
      <c r="BC66" s="859"/>
      <c r="BD66" s="859"/>
      <c r="BE66" s="859"/>
      <c r="BF66" s="859"/>
      <c r="BG66" s="860"/>
      <c r="BH66" s="861"/>
      <c r="BI66" s="762"/>
      <c r="BJ66" s="760"/>
      <c r="BK66" s="760"/>
      <c r="BL66" s="760"/>
      <c r="BM66" s="760"/>
      <c r="BN66" s="760"/>
      <c r="BO66" s="760"/>
      <c r="BP66" s="763"/>
      <c r="BQ66" s="744"/>
      <c r="BR66" s="745"/>
      <c r="BS66" s="745"/>
      <c r="BT66" s="745"/>
      <c r="BU66" s="745"/>
      <c r="BV66" s="745"/>
      <c r="BW66" s="745"/>
      <c r="BX66" s="746"/>
      <c r="BY66" s="744"/>
      <c r="BZ66" s="745"/>
      <c r="CA66" s="745"/>
      <c r="CB66" s="745"/>
      <c r="CC66" s="745"/>
      <c r="CD66" s="745"/>
      <c r="CE66" s="745"/>
      <c r="CF66" s="746"/>
      <c r="CG66" s="759"/>
      <c r="CH66" s="760"/>
      <c r="CI66" s="760"/>
      <c r="CJ66" s="760"/>
      <c r="CK66" s="760"/>
      <c r="CL66" s="760"/>
      <c r="CM66" s="760"/>
      <c r="CN66" s="761"/>
      <c r="CO66" s="832">
        <f t="shared" ref="CO66" si="21">IF(outReportQtr=1,AC66,IF(outReportQtr=2,AC66+AK66,IF(outReportQtr=3,AC66+AK66+AS66,AC66+AK66+AS66+BA66)))</f>
        <v>0</v>
      </c>
      <c r="CP66" s="833"/>
      <c r="CQ66" s="833"/>
      <c r="CR66" s="833"/>
      <c r="CS66" s="833"/>
      <c r="CT66" s="833"/>
      <c r="CU66" s="833"/>
      <c r="CV66" s="970"/>
      <c r="CW66" s="27"/>
      <c r="DA66" s="260" t="s">
        <v>3103</v>
      </c>
      <c r="DB66" s="263"/>
      <c r="DC66" s="263"/>
      <c r="DD66" s="263"/>
      <c r="DE66" s="263"/>
      <c r="DF66" s="263"/>
      <c r="DG66" s="263"/>
      <c r="DH66" s="263"/>
      <c r="DI66" s="263"/>
      <c r="DJ66" s="259"/>
    </row>
    <row r="67" spans="1:114" ht="15.6" x14ac:dyDescent="0.3">
      <c r="A67" s="27"/>
      <c r="B67" s="27"/>
      <c r="C67" s="102" t="s">
        <v>2661</v>
      </c>
      <c r="D67" s="943" t="s">
        <v>2743</v>
      </c>
      <c r="E67" s="919"/>
      <c r="F67" s="919"/>
      <c r="G67" s="919"/>
      <c r="H67" s="919"/>
      <c r="I67" s="919"/>
      <c r="J67" s="919"/>
      <c r="K67" s="919"/>
      <c r="L67" s="919"/>
      <c r="M67" s="919"/>
      <c r="N67" s="919"/>
      <c r="O67" s="919"/>
      <c r="P67" s="919"/>
      <c r="Q67" s="919"/>
      <c r="R67" s="919"/>
      <c r="S67" s="919"/>
      <c r="T67" s="919"/>
      <c r="U67" s="919"/>
      <c r="V67" s="919"/>
      <c r="W67" s="919"/>
      <c r="X67" s="919"/>
      <c r="Y67" s="919"/>
      <c r="Z67" s="919"/>
      <c r="AA67" s="984"/>
      <c r="AB67" s="87"/>
      <c r="AC67" s="862">
        <f>COUNTIFS(tblParticipants[ParticipantID],"&lt;&gt;",tblParticipants[ParticipantName],"&lt;&gt;",tblParticipants[EnrollQtr],1,tblParticipants[QtrLastFinCouns],1)</f>
        <v>0</v>
      </c>
      <c r="AD67" s="859"/>
      <c r="AE67" s="859"/>
      <c r="AF67" s="859"/>
      <c r="AG67" s="859"/>
      <c r="AH67" s="859"/>
      <c r="AI67" s="860"/>
      <c r="AJ67" s="861"/>
      <c r="AK67" s="858">
        <f>COUNTIFS(tblParticipants[ParticipantID],"&lt;&gt;",tblParticipants[ParticipantName],"&lt;&gt;",tblParticipants[EnrollQtr],"&gt;=1",tblParticipants[EnrollQtr],"&lt;=2",tblParticipants[QtrLastFinCouns],2)</f>
        <v>0</v>
      </c>
      <c r="AL67" s="859"/>
      <c r="AM67" s="859"/>
      <c r="AN67" s="859"/>
      <c r="AO67" s="859"/>
      <c r="AP67" s="859"/>
      <c r="AQ67" s="860"/>
      <c r="AR67" s="861"/>
      <c r="AS67" s="858">
        <f>COUNTIFS(tblParticipants[ParticipantID],"&lt;&gt;",tblParticipants[ParticipantName],"&lt;&gt;",tblParticipants[EnrollQtr],"&gt;=1",tblParticipants[EnrollQtr],"&lt;=3",tblParticipants[QtrLastFinCouns],3)</f>
        <v>0</v>
      </c>
      <c r="AT67" s="859"/>
      <c r="AU67" s="859"/>
      <c r="AV67" s="859"/>
      <c r="AW67" s="859"/>
      <c r="AX67" s="859"/>
      <c r="AY67" s="860"/>
      <c r="AZ67" s="861"/>
      <c r="BA67" s="858">
        <f>COUNTIFS(tblParticipants[ParticipantID],"&lt;&gt;",tblParticipants[ParticipantName],"&lt;&gt;",tblParticipants[EnrollQtr],"&gt;=1",tblParticipants[EnrollQtr],"&lt;=4",tblParticipants[QtrLastFinCouns],4)</f>
        <v>0</v>
      </c>
      <c r="BB67" s="859"/>
      <c r="BC67" s="859"/>
      <c r="BD67" s="859"/>
      <c r="BE67" s="859"/>
      <c r="BF67" s="859"/>
      <c r="BG67" s="860"/>
      <c r="BH67" s="861"/>
      <c r="BI67" s="762"/>
      <c r="BJ67" s="760"/>
      <c r="BK67" s="760"/>
      <c r="BL67" s="760"/>
      <c r="BM67" s="760"/>
      <c r="BN67" s="760"/>
      <c r="BO67" s="760"/>
      <c r="BP67" s="763"/>
      <c r="BQ67" s="744"/>
      <c r="BR67" s="745"/>
      <c r="BS67" s="745"/>
      <c r="BT67" s="745"/>
      <c r="BU67" s="745"/>
      <c r="BV67" s="745"/>
      <c r="BW67" s="745"/>
      <c r="BX67" s="746"/>
      <c r="BY67" s="744"/>
      <c r="BZ67" s="745"/>
      <c r="CA67" s="745"/>
      <c r="CB67" s="745"/>
      <c r="CC67" s="745"/>
      <c r="CD67" s="745"/>
      <c r="CE67" s="745"/>
      <c r="CF67" s="746"/>
      <c r="CG67" s="759"/>
      <c r="CH67" s="760"/>
      <c r="CI67" s="760"/>
      <c r="CJ67" s="760"/>
      <c r="CK67" s="760"/>
      <c r="CL67" s="760"/>
      <c r="CM67" s="760"/>
      <c r="CN67" s="761"/>
      <c r="CO67" s="832">
        <f t="shared" ref="CO67" si="22">IF(outReportQtr=1,AC67,IF(outReportQtr=2,AC67+AK67,IF(outReportQtr=3,AC67+AK67+AS67,AC67+AK67+AS67+BA67)))</f>
        <v>0</v>
      </c>
      <c r="CP67" s="833"/>
      <c r="CQ67" s="833"/>
      <c r="CR67" s="833"/>
      <c r="CS67" s="833"/>
      <c r="CT67" s="833"/>
      <c r="CU67" s="833"/>
      <c r="CV67" s="970"/>
      <c r="CW67" s="27"/>
      <c r="DA67" s="260" t="s">
        <v>3104</v>
      </c>
      <c r="DB67" s="263"/>
      <c r="DC67" s="263"/>
      <c r="DD67" s="263"/>
      <c r="DE67" s="263"/>
      <c r="DF67" s="263"/>
      <c r="DG67" s="263"/>
      <c r="DH67" s="263"/>
      <c r="DI67" s="263"/>
      <c r="DJ67" s="259"/>
    </row>
    <row r="68" spans="1:114" ht="15.6" x14ac:dyDescent="0.3">
      <c r="A68" s="27"/>
      <c r="B68" s="27"/>
      <c r="C68" s="103" t="s">
        <v>2662</v>
      </c>
      <c r="D68" s="943" t="s">
        <v>2514</v>
      </c>
      <c r="E68" s="919"/>
      <c r="F68" s="919"/>
      <c r="G68" s="919"/>
      <c r="H68" s="919"/>
      <c r="I68" s="919"/>
      <c r="J68" s="919"/>
      <c r="K68" s="919"/>
      <c r="L68" s="919"/>
      <c r="M68" s="919"/>
      <c r="N68" s="919"/>
      <c r="O68" s="919"/>
      <c r="P68" s="919"/>
      <c r="Q68" s="919"/>
      <c r="R68" s="919"/>
      <c r="S68" s="919"/>
      <c r="T68" s="919"/>
      <c r="U68" s="919"/>
      <c r="V68" s="919"/>
      <c r="W68" s="919"/>
      <c r="X68" s="919"/>
      <c r="Y68" s="919"/>
      <c r="Z68" s="919"/>
      <c r="AA68" s="984"/>
      <c r="AB68" s="87"/>
      <c r="AC68" s="862">
        <f>COUNTIFS(tblParticipants[ParticipantID],"&lt;&gt;",tblParticipants[ParticipantName],"&lt;&gt;",tblParticipants[EnrollQtr],1,tblParticipants[QtrLastJobSrchAsst],1)</f>
        <v>0</v>
      </c>
      <c r="AD68" s="859"/>
      <c r="AE68" s="859"/>
      <c r="AF68" s="859"/>
      <c r="AG68" s="859"/>
      <c r="AH68" s="859"/>
      <c r="AI68" s="860"/>
      <c r="AJ68" s="861"/>
      <c r="AK68" s="862">
        <f>COUNTIFS(tblParticipants[ParticipantID],"&lt;&gt;",tblParticipants[ParticipantName],"&lt;&gt;",tblParticipants[EnrollQtr],"&gt;=1",tblParticipants[EnrollQtr],"&lt;=2",tblParticipants[QtrLastJobSrchAsst],2)</f>
        <v>0</v>
      </c>
      <c r="AL68" s="859"/>
      <c r="AM68" s="859"/>
      <c r="AN68" s="859"/>
      <c r="AO68" s="859"/>
      <c r="AP68" s="859"/>
      <c r="AQ68" s="860"/>
      <c r="AR68" s="861"/>
      <c r="AS68" s="862">
        <f>COUNTIFS(tblParticipants[ParticipantID],"&lt;&gt;",tblParticipants[ParticipantName],"&lt;&gt;",tblParticipants[EnrollQtr],"&gt;=1",tblParticipants[EnrollQtr],"&lt;=3",tblParticipants[QtrLastJobSrchAsst],3)</f>
        <v>0</v>
      </c>
      <c r="AT68" s="859"/>
      <c r="AU68" s="859"/>
      <c r="AV68" s="859"/>
      <c r="AW68" s="859"/>
      <c r="AX68" s="859"/>
      <c r="AY68" s="860"/>
      <c r="AZ68" s="861"/>
      <c r="BA68" s="862">
        <f>COUNTIFS(tblParticipants[ParticipantID],"&lt;&gt;",tblParticipants[ParticipantName],"&lt;&gt;",tblParticipants[EnrollQtr],"&gt;=1",tblParticipants[EnrollQtr],"&lt;=4",tblParticipants[QtrLastJobSrchAsst],4)</f>
        <v>0</v>
      </c>
      <c r="BB68" s="859"/>
      <c r="BC68" s="859"/>
      <c r="BD68" s="859"/>
      <c r="BE68" s="859"/>
      <c r="BF68" s="859"/>
      <c r="BG68" s="860"/>
      <c r="BH68" s="861"/>
      <c r="BI68" s="751"/>
      <c r="BJ68" s="742"/>
      <c r="BK68" s="742"/>
      <c r="BL68" s="742"/>
      <c r="BM68" s="742"/>
      <c r="BN68" s="742"/>
      <c r="BO68" s="742"/>
      <c r="BP68" s="752"/>
      <c r="BQ68" s="779"/>
      <c r="BR68" s="780"/>
      <c r="BS68" s="780"/>
      <c r="BT68" s="780"/>
      <c r="BU68" s="780"/>
      <c r="BV68" s="780"/>
      <c r="BW68" s="780"/>
      <c r="BX68" s="781"/>
      <c r="BY68" s="779"/>
      <c r="BZ68" s="780"/>
      <c r="CA68" s="780"/>
      <c r="CB68" s="780"/>
      <c r="CC68" s="780"/>
      <c r="CD68" s="780"/>
      <c r="CE68" s="780"/>
      <c r="CF68" s="781"/>
      <c r="CG68" s="741"/>
      <c r="CH68" s="742"/>
      <c r="CI68" s="742"/>
      <c r="CJ68" s="742"/>
      <c r="CK68" s="742"/>
      <c r="CL68" s="742"/>
      <c r="CM68" s="742"/>
      <c r="CN68" s="743"/>
      <c r="CO68" s="994">
        <f t="shared" ref="CO68" si="23">IF(outReportQtr=1,AC68,IF(outReportQtr=2,AC68+AK68,IF(outReportQtr=3,AC68+AK68+AS68,AC68+AK68+AS68+BA68)))</f>
        <v>0</v>
      </c>
      <c r="CP68" s="995"/>
      <c r="CQ68" s="995"/>
      <c r="CR68" s="995"/>
      <c r="CS68" s="995"/>
      <c r="CT68" s="995"/>
      <c r="CU68" s="995"/>
      <c r="CV68" s="996"/>
      <c r="CW68" s="27"/>
      <c r="DA68" s="260" t="s">
        <v>2912</v>
      </c>
      <c r="DB68" s="263">
        <f t="shared" ref="DB68" si="24">AC68</f>
        <v>0</v>
      </c>
      <c r="DC68" s="263">
        <f t="shared" ref="DC68" si="25">AC68+AK68</f>
        <v>0</v>
      </c>
      <c r="DD68" s="263">
        <f t="shared" ref="DD68" si="26">AC68+AK68+AS68</f>
        <v>0</v>
      </c>
      <c r="DE68" s="263">
        <f t="shared" ref="DE68" si="27">AC68+AK68+AS68+BA68</f>
        <v>0</v>
      </c>
      <c r="DF68" s="263">
        <f t="shared" ref="DF68" si="28">DE68</f>
        <v>0</v>
      </c>
      <c r="DG68" s="263">
        <f t="shared" ref="DG68" si="29">DE68</f>
        <v>0</v>
      </c>
      <c r="DH68" s="263">
        <f t="shared" ref="DH68" si="30">DE68</f>
        <v>0</v>
      </c>
      <c r="DI68" s="263">
        <f t="shared" ref="DI68" si="31">DE68</f>
        <v>0</v>
      </c>
      <c r="DJ68" s="259">
        <f t="shared" ref="DJ68" ca="1" si="32">OFFSET(DA68,0,outReportQtr)</f>
        <v>0</v>
      </c>
    </row>
    <row r="69" spans="1:114" ht="15.6" x14ac:dyDescent="0.3">
      <c r="A69" s="27"/>
      <c r="B69" s="27"/>
      <c r="C69" s="218" t="s">
        <v>2811</v>
      </c>
      <c r="D69" s="1151" t="s">
        <v>2812</v>
      </c>
      <c r="E69" s="1151"/>
      <c r="F69" s="1151"/>
      <c r="G69" s="1151"/>
      <c r="H69" s="1151"/>
      <c r="I69" s="1151"/>
      <c r="J69" s="1151"/>
      <c r="K69" s="1151"/>
      <c r="L69" s="1151"/>
      <c r="M69" s="1151"/>
      <c r="N69" s="1151"/>
      <c r="O69" s="1151"/>
      <c r="P69" s="1151"/>
      <c r="Q69" s="1151"/>
      <c r="R69" s="1151"/>
      <c r="S69" s="1151"/>
      <c r="T69" s="1151"/>
      <c r="U69" s="1151"/>
      <c r="V69" s="1151"/>
      <c r="W69" s="1151"/>
      <c r="X69" s="1151"/>
      <c r="Y69" s="1151"/>
      <c r="Z69" s="1151"/>
      <c r="AA69" s="1151"/>
      <c r="AB69" s="52"/>
      <c r="AC69" s="858">
        <f>COUNTIFS(tblParticipants[ParticipantID],"&lt;&gt;",tblParticipants[ParticipantName],"&lt;&gt;",tblParticipants[EnrollQtr],1,tblParticipants[QtrLastOthSupSvc],CONCATENATE("&gt;=",DATE(conProgYear,7,1)),tblParticipants[DtLastEntrepTrn],CONCATENATE("&lt;=",DATE(conProgYear,9,30)))</f>
        <v>0</v>
      </c>
      <c r="AD69" s="858"/>
      <c r="AE69" s="858"/>
      <c r="AF69" s="858"/>
      <c r="AG69" s="858"/>
      <c r="AH69" s="858"/>
      <c r="AI69" s="858"/>
      <c r="AJ69" s="858"/>
      <c r="AK69" s="858">
        <f>COUNTIFS(tblParticipants[ParticipantID],"&lt;&gt;",tblParticipants[ParticipantName],"&lt;&gt;",tblParticipants[EnrollQtr],"&gt;=1",tblParticipants[EnrollQtr],"&lt;=2",tblParticipants[QtrLastOthSupSvc],CONCATENATE("&gt;=",DATE(conProgYear,10,1)),tblParticipants[DtLastEntrepTrn],CONCATENATE("&lt;=",DATE(conProgYear,12,31)))</f>
        <v>0</v>
      </c>
      <c r="AL69" s="858"/>
      <c r="AM69" s="858"/>
      <c r="AN69" s="858"/>
      <c r="AO69" s="858"/>
      <c r="AP69" s="858"/>
      <c r="AQ69" s="858"/>
      <c r="AR69" s="858"/>
      <c r="AS69" s="858">
        <f>COUNTIFS(tblParticipants[ParticipantID],"&lt;&gt;",tblParticipants[ParticipantName],"&lt;&gt;",tblParticipants[EnrollQtr],"&gt;=1",tblParticipants[EnrollQtr],"&lt;=3",tblParticipants[QtrLastOthSupSvc],CONCATENATE("&gt;=",DATE(conProgYear+1,1,1)),tblParticipants[DtLastEntrepTrn],CONCATENATE("&lt;=",DATE(conProgYear+1,3,31)))</f>
        <v>0</v>
      </c>
      <c r="AT69" s="858"/>
      <c r="AU69" s="858"/>
      <c r="AV69" s="858"/>
      <c r="AW69" s="858"/>
      <c r="AX69" s="858"/>
      <c r="AY69" s="858"/>
      <c r="AZ69" s="858"/>
      <c r="BA69" s="858">
        <f>COUNTIFS(tblParticipants[ParticipantID],"&lt;&gt;",tblParticipants[ParticipantName],"&lt;&gt;",tblParticipants[EnrollQtr],"&gt;=1",tblParticipants[EnrollQtr],"&lt;=4",tblParticipants[QtrLastOthSupSvc],CONCATENATE("&gt;=",DATE(conProgYear+1,4,1)),tblParticipants[DtLastEntrepTrn],CONCATENATE("&lt;=",DATE(conProgYear+1,6,30)))</f>
        <v>0</v>
      </c>
      <c r="BB69" s="858"/>
      <c r="BC69" s="858"/>
      <c r="BD69" s="858"/>
      <c r="BE69" s="858"/>
      <c r="BF69" s="858"/>
      <c r="BG69" s="858"/>
      <c r="BH69" s="858"/>
      <c r="BI69" s="874"/>
      <c r="BJ69" s="813"/>
      <c r="BK69" s="813"/>
      <c r="BL69" s="813"/>
      <c r="BM69" s="813"/>
      <c r="BN69" s="813"/>
      <c r="BO69" s="813"/>
      <c r="BP69" s="813"/>
      <c r="BQ69" s="876"/>
      <c r="BR69" s="801"/>
      <c r="BS69" s="801"/>
      <c r="BT69" s="801"/>
      <c r="BU69" s="801"/>
      <c r="BV69" s="801"/>
      <c r="BW69" s="801"/>
      <c r="BX69" s="801"/>
      <c r="BY69" s="876"/>
      <c r="BZ69" s="801"/>
      <c r="CA69" s="801"/>
      <c r="CB69" s="801"/>
      <c r="CC69" s="801"/>
      <c r="CD69" s="801"/>
      <c r="CE69" s="801"/>
      <c r="CF69" s="801"/>
      <c r="CG69" s="812"/>
      <c r="CH69" s="813"/>
      <c r="CI69" s="813"/>
      <c r="CJ69" s="813"/>
      <c r="CK69" s="813"/>
      <c r="CL69" s="813"/>
      <c r="CM69" s="813"/>
      <c r="CN69" s="887"/>
      <c r="CO69" s="850">
        <f t="shared" ref="CO69" si="33">IF(outReportQtr=1,AC69,IF(outReportQtr=2,AC69+AK69,IF(outReportQtr=3,AC69+AK69+AS69,AC69+AK69+AS69+BA69)))</f>
        <v>0</v>
      </c>
      <c r="CP69" s="851"/>
      <c r="CQ69" s="851"/>
      <c r="CR69" s="851"/>
      <c r="CS69" s="851"/>
      <c r="CT69" s="851"/>
      <c r="CU69" s="851"/>
      <c r="CV69" s="852"/>
      <c r="CW69" s="27"/>
      <c r="DA69" s="260" t="s">
        <v>3105</v>
      </c>
      <c r="DB69" s="262"/>
      <c r="DC69" s="262"/>
      <c r="DD69" s="262"/>
      <c r="DE69" s="262"/>
      <c r="DF69" s="262"/>
      <c r="DG69" s="262"/>
      <c r="DH69" s="262"/>
      <c r="DI69" s="262"/>
      <c r="DJ69" s="258"/>
    </row>
    <row r="70" spans="1:114" ht="11.25" customHeight="1" x14ac:dyDescent="0.3">
      <c r="A70" s="27"/>
      <c r="B70" s="27"/>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7"/>
      <c r="DA70" s="260"/>
      <c r="DB70" s="262"/>
      <c r="DC70" s="262"/>
      <c r="DD70" s="262"/>
      <c r="DE70" s="262"/>
      <c r="DF70" s="262"/>
      <c r="DG70" s="262"/>
      <c r="DH70" s="262"/>
      <c r="DI70" s="262"/>
      <c r="DJ70" s="258"/>
    </row>
    <row r="71" spans="1:114" ht="15.6" x14ac:dyDescent="0.3">
      <c r="A71" s="27"/>
      <c r="B71" s="42"/>
      <c r="C71" s="938" t="s">
        <v>2840</v>
      </c>
      <c r="D71" s="939"/>
      <c r="E71" s="939"/>
      <c r="F71" s="939"/>
      <c r="G71" s="939"/>
      <c r="H71" s="939"/>
      <c r="I71" s="939"/>
      <c r="J71" s="939"/>
      <c r="K71" s="939"/>
      <c r="L71" s="939"/>
      <c r="M71" s="939"/>
      <c r="N71" s="939"/>
      <c r="O71" s="939"/>
      <c r="P71" s="940"/>
      <c r="Q71" s="940"/>
      <c r="R71" s="940"/>
      <c r="S71" s="940"/>
      <c r="T71" s="940"/>
      <c r="U71" s="940"/>
      <c r="V71" s="940"/>
      <c r="W71" s="940"/>
      <c r="X71" s="940"/>
      <c r="Y71" s="940"/>
      <c r="Z71" s="940"/>
      <c r="AA71" s="940"/>
      <c r="AB71" s="133"/>
      <c r="AC71" s="776"/>
      <c r="AD71" s="777"/>
      <c r="AE71" s="777"/>
      <c r="AF71" s="777"/>
      <c r="AG71" s="777"/>
      <c r="AH71" s="777"/>
      <c r="AI71" s="777"/>
      <c r="AJ71" s="778"/>
      <c r="AK71" s="776"/>
      <c r="AL71" s="777"/>
      <c r="AM71" s="777"/>
      <c r="AN71" s="777"/>
      <c r="AO71" s="777"/>
      <c r="AP71" s="777"/>
      <c r="AQ71" s="777"/>
      <c r="AR71" s="778"/>
      <c r="AS71" s="776"/>
      <c r="AT71" s="777"/>
      <c r="AU71" s="777"/>
      <c r="AV71" s="777"/>
      <c r="AW71" s="777"/>
      <c r="AX71" s="777"/>
      <c r="AY71" s="777"/>
      <c r="AZ71" s="778"/>
      <c r="BA71" s="776"/>
      <c r="BB71" s="777"/>
      <c r="BC71" s="777"/>
      <c r="BD71" s="777"/>
      <c r="BE71" s="777"/>
      <c r="BF71" s="777"/>
      <c r="BG71" s="777"/>
      <c r="BH71" s="778"/>
      <c r="BI71" s="776"/>
      <c r="BJ71" s="777"/>
      <c r="BK71" s="777"/>
      <c r="BL71" s="777"/>
      <c r="BM71" s="777"/>
      <c r="BN71" s="777"/>
      <c r="BO71" s="777"/>
      <c r="BP71" s="778"/>
      <c r="BQ71" s="776"/>
      <c r="BR71" s="777"/>
      <c r="BS71" s="777"/>
      <c r="BT71" s="777"/>
      <c r="BU71" s="777"/>
      <c r="BV71" s="777"/>
      <c r="BW71" s="777"/>
      <c r="BX71" s="778"/>
      <c r="BY71" s="776"/>
      <c r="BZ71" s="777"/>
      <c r="CA71" s="777"/>
      <c r="CB71" s="777"/>
      <c r="CC71" s="777"/>
      <c r="CD71" s="777"/>
      <c r="CE71" s="777"/>
      <c r="CF71" s="778"/>
      <c r="CG71" s="776"/>
      <c r="CH71" s="777"/>
      <c r="CI71" s="777"/>
      <c r="CJ71" s="777"/>
      <c r="CK71" s="777"/>
      <c r="CL71" s="777"/>
      <c r="CM71" s="777"/>
      <c r="CN71" s="778"/>
      <c r="CO71" s="777"/>
      <c r="CP71" s="777"/>
      <c r="CQ71" s="777"/>
      <c r="CR71" s="777"/>
      <c r="CS71" s="777"/>
      <c r="CT71" s="777"/>
      <c r="CU71" s="777"/>
      <c r="CV71" s="1149"/>
      <c r="CW71" s="27"/>
      <c r="DA71" s="260"/>
      <c r="DB71" s="262"/>
      <c r="DC71" s="262"/>
      <c r="DD71" s="262"/>
      <c r="DE71" s="262"/>
      <c r="DF71" s="262"/>
      <c r="DG71" s="262"/>
      <c r="DH71" s="262"/>
      <c r="DI71" s="262"/>
      <c r="DJ71" s="258"/>
    </row>
    <row r="72" spans="1:114" ht="15.6" x14ac:dyDescent="0.3">
      <c r="A72" s="27"/>
      <c r="B72" s="34"/>
      <c r="C72" s="90" t="s">
        <v>2643</v>
      </c>
      <c r="D72" s="997" t="s">
        <v>2769</v>
      </c>
      <c r="E72" s="998"/>
      <c r="F72" s="998"/>
      <c r="G72" s="998"/>
      <c r="H72" s="998"/>
      <c r="I72" s="998"/>
      <c r="J72" s="998"/>
      <c r="K72" s="998"/>
      <c r="L72" s="998"/>
      <c r="M72" s="998"/>
      <c r="N72" s="998"/>
      <c r="O72" s="998"/>
      <c r="P72" s="998"/>
      <c r="Q72" s="998"/>
      <c r="R72" s="998"/>
      <c r="S72" s="998"/>
      <c r="T72" s="998"/>
      <c r="U72" s="998"/>
      <c r="V72" s="998"/>
      <c r="W72" s="998"/>
      <c r="X72" s="998"/>
      <c r="Y72" s="998"/>
      <c r="Z72" s="998"/>
      <c r="AA72" s="998"/>
      <c r="AB72" s="87"/>
      <c r="AC72" s="898"/>
      <c r="AD72" s="899"/>
      <c r="AE72" s="899"/>
      <c r="AF72" s="899"/>
      <c r="AG72" s="899"/>
      <c r="AH72" s="899"/>
      <c r="AI72" s="899"/>
      <c r="AJ72" s="900"/>
      <c r="AK72" s="898"/>
      <c r="AL72" s="899"/>
      <c r="AM72" s="899"/>
      <c r="AN72" s="899"/>
      <c r="AO72" s="899"/>
      <c r="AP72" s="899"/>
      <c r="AQ72" s="899"/>
      <c r="AR72" s="900"/>
      <c r="AS72" s="901"/>
      <c r="AT72" s="902"/>
      <c r="AU72" s="902"/>
      <c r="AV72" s="902"/>
      <c r="AW72" s="902"/>
      <c r="AX72" s="902"/>
      <c r="AY72" s="903"/>
      <c r="AZ72" s="904"/>
      <c r="BA72" s="901"/>
      <c r="BB72" s="902"/>
      <c r="BC72" s="902"/>
      <c r="BD72" s="902"/>
      <c r="BE72" s="902"/>
      <c r="BF72" s="902"/>
      <c r="BG72" s="903"/>
      <c r="BH72" s="904"/>
      <c r="BI72" s="872"/>
      <c r="BJ72" s="797"/>
      <c r="BK72" s="797"/>
      <c r="BL72" s="797"/>
      <c r="BM72" s="797"/>
      <c r="BN72" s="797"/>
      <c r="BO72" s="797"/>
      <c r="BP72" s="864"/>
      <c r="BQ72" s="796"/>
      <c r="BR72" s="797"/>
      <c r="BS72" s="797"/>
      <c r="BT72" s="797"/>
      <c r="BU72" s="797"/>
      <c r="BV72" s="797"/>
      <c r="BW72" s="797"/>
      <c r="BX72" s="864"/>
      <c r="BY72" s="873"/>
      <c r="BZ72" s="866"/>
      <c r="CA72" s="866"/>
      <c r="CB72" s="866"/>
      <c r="CC72" s="866"/>
      <c r="CD72" s="866"/>
      <c r="CE72" s="866"/>
      <c r="CF72" s="867"/>
      <c r="CG72" s="796"/>
      <c r="CH72" s="797"/>
      <c r="CI72" s="797"/>
      <c r="CJ72" s="797"/>
      <c r="CK72" s="797"/>
      <c r="CL72" s="797"/>
      <c r="CM72" s="797"/>
      <c r="CN72" s="798"/>
      <c r="CO72" s="1003">
        <f>IF(outReportQtr=1,IFERROR(ROUND(AC72,2),0),IF(outReportQtr=2,IFERROR(ROUND(AC72,2),0)+IFERROR(ROUND(AK72,2),0),IF(outReportQtr=3,IFERROR(ROUND(AC72,2),0)+IFERROR(ROUND(AK72,2),0)+IFERROR(ROUND(AS72,2),0),IFERROR(ROUND(AC72,2),0)+IFERROR(ROUND(AK72,2),0)+IFERROR(ROUND(AS72,2),0)+IFERROR(ROUND(BA72,2),0))))</f>
        <v>0</v>
      </c>
      <c r="CP72" s="1004"/>
      <c r="CQ72" s="1004"/>
      <c r="CR72" s="1004"/>
      <c r="CS72" s="1004"/>
      <c r="CT72" s="1004"/>
      <c r="CU72" s="1004"/>
      <c r="CV72" s="1005"/>
      <c r="CW72" s="27"/>
      <c r="DA72" s="260" t="s">
        <v>2883</v>
      </c>
      <c r="DB72" s="264">
        <f>IFERROR(ROUND(AC72,2),0)</f>
        <v>0</v>
      </c>
      <c r="DC72" s="264">
        <f>IFERROR(ROUND(AC72,2),0)+IFERROR(ROUND(AK72,2),0)</f>
        <v>0</v>
      </c>
      <c r="DD72" s="264">
        <f>IFERROR(ROUND(AC72,2),0)+IFERROR(ROUND(AK72,2),0)+IFERROR(ROUND(AS72,2),0)</f>
        <v>0</v>
      </c>
      <c r="DE72" s="264">
        <f>IFERROR(ROUND(AC72,2),0)+IFERROR(ROUND(AK72,2),0)+IFERROR(ROUND(AS72,2),0)+IFERROR(ROUND(BA72,2),0)</f>
        <v>0</v>
      </c>
      <c r="DF72" s="264">
        <f>DE72</f>
        <v>0</v>
      </c>
      <c r="DG72" s="264">
        <f>DE72</f>
        <v>0</v>
      </c>
      <c r="DH72" s="264">
        <f>DE72</f>
        <v>0</v>
      </c>
      <c r="DI72" s="264">
        <f>DE72</f>
        <v>0</v>
      </c>
      <c r="DJ72" s="261">
        <f t="shared" ca="1" si="5"/>
        <v>0</v>
      </c>
    </row>
    <row r="73" spans="1:114" ht="15.6" x14ac:dyDescent="0.3">
      <c r="A73" s="27"/>
      <c r="B73" s="34"/>
      <c r="C73" s="89" t="s">
        <v>2644</v>
      </c>
      <c r="D73" s="1006" t="s">
        <v>2786</v>
      </c>
      <c r="E73" s="1007"/>
      <c r="F73" s="1007"/>
      <c r="G73" s="1007"/>
      <c r="H73" s="1007"/>
      <c r="I73" s="1007"/>
      <c r="J73" s="1007"/>
      <c r="K73" s="1007"/>
      <c r="L73" s="1007"/>
      <c r="M73" s="1007"/>
      <c r="N73" s="1007"/>
      <c r="O73" s="1007"/>
      <c r="P73" s="1007"/>
      <c r="Q73" s="1007"/>
      <c r="R73" s="1007"/>
      <c r="S73" s="1007"/>
      <c r="T73" s="1007"/>
      <c r="U73" s="1007"/>
      <c r="V73" s="1007"/>
      <c r="W73" s="1007"/>
      <c r="X73" s="1007"/>
      <c r="Y73" s="1007"/>
      <c r="Z73" s="1007"/>
      <c r="AA73" s="1007"/>
      <c r="AB73" s="87"/>
      <c r="AC73" s="901"/>
      <c r="AD73" s="902"/>
      <c r="AE73" s="902"/>
      <c r="AF73" s="902"/>
      <c r="AG73" s="902"/>
      <c r="AH73" s="902"/>
      <c r="AI73" s="903"/>
      <c r="AJ73" s="904"/>
      <c r="AK73" s="901"/>
      <c r="AL73" s="902"/>
      <c r="AM73" s="902"/>
      <c r="AN73" s="902"/>
      <c r="AO73" s="902"/>
      <c r="AP73" s="902"/>
      <c r="AQ73" s="903"/>
      <c r="AR73" s="904"/>
      <c r="AS73" s="901"/>
      <c r="AT73" s="902"/>
      <c r="AU73" s="902"/>
      <c r="AV73" s="902"/>
      <c r="AW73" s="902"/>
      <c r="AX73" s="902"/>
      <c r="AY73" s="903"/>
      <c r="AZ73" s="904"/>
      <c r="BA73" s="901"/>
      <c r="BB73" s="902"/>
      <c r="BC73" s="902"/>
      <c r="BD73" s="902"/>
      <c r="BE73" s="902"/>
      <c r="BF73" s="902"/>
      <c r="BG73" s="903"/>
      <c r="BH73" s="904"/>
      <c r="BI73" s="762"/>
      <c r="BJ73" s="760"/>
      <c r="BK73" s="760"/>
      <c r="BL73" s="760"/>
      <c r="BM73" s="760"/>
      <c r="BN73" s="760"/>
      <c r="BO73" s="760"/>
      <c r="BP73" s="763"/>
      <c r="BQ73" s="759"/>
      <c r="BR73" s="760"/>
      <c r="BS73" s="760"/>
      <c r="BT73" s="760"/>
      <c r="BU73" s="760"/>
      <c r="BV73" s="760"/>
      <c r="BW73" s="760"/>
      <c r="BX73" s="763"/>
      <c r="BY73" s="744"/>
      <c r="BZ73" s="745"/>
      <c r="CA73" s="745"/>
      <c r="CB73" s="745"/>
      <c r="CC73" s="745"/>
      <c r="CD73" s="745"/>
      <c r="CE73" s="745"/>
      <c r="CF73" s="746"/>
      <c r="CG73" s="759"/>
      <c r="CH73" s="760"/>
      <c r="CI73" s="760"/>
      <c r="CJ73" s="760"/>
      <c r="CK73" s="760"/>
      <c r="CL73" s="760"/>
      <c r="CM73" s="760"/>
      <c r="CN73" s="761"/>
      <c r="CO73" s="1001">
        <f>IF(outReportQtr=1,IFERROR(ROUND(AC73,2),0),IF(outReportQtr=2,IFERROR(ROUND(AC73,2),0)+IFERROR(ROUND(AK73,2),0),IF(outReportQtr=3,IFERROR(ROUND(AC73,2),0)+IFERROR(ROUND(AK73,2),0)+IFERROR(ROUND(AS73,2),0),IFERROR(ROUND(AC73,2),0)+IFERROR(ROUND(AK73,2),0)+IFERROR(ROUND(AS73,2),0)+IFERROR(ROUND(BA73,2),0))))</f>
        <v>0</v>
      </c>
      <c r="CP73" s="1001"/>
      <c r="CQ73" s="1001"/>
      <c r="CR73" s="1001"/>
      <c r="CS73" s="1001"/>
      <c r="CT73" s="1001"/>
      <c r="CU73" s="1001"/>
      <c r="CV73" s="1002"/>
      <c r="CW73" s="27"/>
      <c r="DA73" s="260" t="s">
        <v>2884</v>
      </c>
      <c r="DB73" s="264">
        <f t="shared" ref="DB73:DB76" si="34">IFERROR(ROUND(AC73,2),0)</f>
        <v>0</v>
      </c>
      <c r="DC73" s="264">
        <f t="shared" ref="DC73:DC76" si="35">IFERROR(ROUND(AC73,2),0)+IFERROR(ROUND(AK73,2),0)</f>
        <v>0</v>
      </c>
      <c r="DD73" s="264">
        <f t="shared" ref="DD73:DD76" si="36">IFERROR(ROUND(AC73,2),0)+IFERROR(ROUND(AK73,2),0)+IFERROR(ROUND(AS73,2),0)</f>
        <v>0</v>
      </c>
      <c r="DE73" s="264">
        <f t="shared" ref="DE73:DE76" si="37">IFERROR(ROUND(AC73,2),0)+IFERROR(ROUND(AK73,2),0)+IFERROR(ROUND(AS73,2),0)+IFERROR(ROUND(BA73,2),0)</f>
        <v>0</v>
      </c>
      <c r="DF73" s="264">
        <f t="shared" ref="DF73:DF76" si="38">DE73</f>
        <v>0</v>
      </c>
      <c r="DG73" s="264">
        <f t="shared" ref="DG73:DG76" si="39">DE73</f>
        <v>0</v>
      </c>
      <c r="DH73" s="264">
        <f t="shared" ref="DH73:DH76" si="40">DE73</f>
        <v>0</v>
      </c>
      <c r="DI73" s="264">
        <f t="shared" ref="DI73:DI76" si="41">DE73</f>
        <v>0</v>
      </c>
      <c r="DJ73" s="261">
        <f t="shared" ca="1" si="5"/>
        <v>0</v>
      </c>
    </row>
    <row r="74" spans="1:114" ht="15.6" x14ac:dyDescent="0.3">
      <c r="A74" s="27"/>
      <c r="B74" s="34"/>
      <c r="C74" s="89" t="s">
        <v>2645</v>
      </c>
      <c r="D74" s="1150" t="s">
        <v>2787</v>
      </c>
      <c r="E74" s="993"/>
      <c r="F74" s="993"/>
      <c r="G74" s="993"/>
      <c r="H74" s="993"/>
      <c r="I74" s="993"/>
      <c r="J74" s="993"/>
      <c r="K74" s="993"/>
      <c r="L74" s="993"/>
      <c r="M74" s="993"/>
      <c r="N74" s="993"/>
      <c r="O74" s="993"/>
      <c r="P74" s="993"/>
      <c r="Q74" s="993"/>
      <c r="R74" s="993"/>
      <c r="S74" s="993"/>
      <c r="T74" s="993"/>
      <c r="U74" s="993"/>
      <c r="V74" s="993"/>
      <c r="W74" s="993"/>
      <c r="X74" s="993"/>
      <c r="Y74" s="993"/>
      <c r="Z74" s="993"/>
      <c r="AA74" s="920"/>
      <c r="AB74" s="87"/>
      <c r="AC74" s="898"/>
      <c r="AD74" s="899"/>
      <c r="AE74" s="899"/>
      <c r="AF74" s="899"/>
      <c r="AG74" s="899"/>
      <c r="AH74" s="899"/>
      <c r="AI74" s="899"/>
      <c r="AJ74" s="900"/>
      <c r="AK74" s="898"/>
      <c r="AL74" s="899"/>
      <c r="AM74" s="899"/>
      <c r="AN74" s="899"/>
      <c r="AO74" s="899"/>
      <c r="AP74" s="899"/>
      <c r="AQ74" s="899"/>
      <c r="AR74" s="900"/>
      <c r="AS74" s="898"/>
      <c r="AT74" s="899"/>
      <c r="AU74" s="899"/>
      <c r="AV74" s="899"/>
      <c r="AW74" s="899"/>
      <c r="AX74" s="899"/>
      <c r="AY74" s="899"/>
      <c r="AZ74" s="900"/>
      <c r="BA74" s="898"/>
      <c r="BB74" s="899"/>
      <c r="BC74" s="899"/>
      <c r="BD74" s="899"/>
      <c r="BE74" s="899"/>
      <c r="BF74" s="899"/>
      <c r="BG74" s="899"/>
      <c r="BH74" s="900"/>
      <c r="BI74" s="762"/>
      <c r="BJ74" s="760"/>
      <c r="BK74" s="760"/>
      <c r="BL74" s="760"/>
      <c r="BM74" s="760"/>
      <c r="BN74" s="760"/>
      <c r="BO74" s="760"/>
      <c r="BP74" s="763"/>
      <c r="BQ74" s="759"/>
      <c r="BR74" s="760"/>
      <c r="BS74" s="760"/>
      <c r="BT74" s="760"/>
      <c r="BU74" s="760"/>
      <c r="BV74" s="760"/>
      <c r="BW74" s="760"/>
      <c r="BX74" s="763"/>
      <c r="BY74" s="744"/>
      <c r="BZ74" s="745"/>
      <c r="CA74" s="745"/>
      <c r="CB74" s="745"/>
      <c r="CC74" s="745"/>
      <c r="CD74" s="745"/>
      <c r="CE74" s="745"/>
      <c r="CF74" s="746"/>
      <c r="CG74" s="759"/>
      <c r="CH74" s="760"/>
      <c r="CI74" s="760"/>
      <c r="CJ74" s="760"/>
      <c r="CK74" s="760"/>
      <c r="CL74" s="760"/>
      <c r="CM74" s="760"/>
      <c r="CN74" s="761"/>
      <c r="CO74" s="844">
        <f>IF(outReportQtr=1,IFERROR(ROUND(AC74,2),0),IF(outReportQtr=2,IFERROR(ROUND(AC74,2),0)+IFERROR(ROUND(AK74,2),0),IF(outReportQtr=3,IFERROR(ROUND(AC74,2),0)+IFERROR(ROUND(AK74,2),0)+IFERROR(ROUND(AS74,2),0),IFERROR(ROUND(AC74,2),0)+IFERROR(ROUND(AK74,2),0)+IFERROR(ROUND(AS74,2),0)+IFERROR(ROUND(BA74,2),0))))</f>
        <v>0</v>
      </c>
      <c r="CP74" s="845"/>
      <c r="CQ74" s="845"/>
      <c r="CR74" s="845"/>
      <c r="CS74" s="845"/>
      <c r="CT74" s="845"/>
      <c r="CU74" s="845"/>
      <c r="CV74" s="846"/>
      <c r="CW74" s="27"/>
      <c r="DA74" s="260" t="s">
        <v>2886</v>
      </c>
      <c r="DB74" s="264">
        <f t="shared" si="34"/>
        <v>0</v>
      </c>
      <c r="DC74" s="264">
        <f t="shared" si="35"/>
        <v>0</v>
      </c>
      <c r="DD74" s="264">
        <f t="shared" si="36"/>
        <v>0</v>
      </c>
      <c r="DE74" s="264">
        <f t="shared" si="37"/>
        <v>0</v>
      </c>
      <c r="DF74" s="264">
        <f t="shared" si="38"/>
        <v>0</v>
      </c>
      <c r="DG74" s="264">
        <f t="shared" si="39"/>
        <v>0</v>
      </c>
      <c r="DH74" s="264">
        <f t="shared" si="40"/>
        <v>0</v>
      </c>
      <c r="DI74" s="264">
        <f t="shared" si="41"/>
        <v>0</v>
      </c>
      <c r="DJ74" s="261">
        <f t="shared" ca="1" si="5"/>
        <v>0</v>
      </c>
    </row>
    <row r="75" spans="1:114" ht="15.6" x14ac:dyDescent="0.3">
      <c r="A75" s="27"/>
      <c r="B75" s="34"/>
      <c r="C75" s="102" t="s">
        <v>2646</v>
      </c>
      <c r="D75" s="1008" t="s">
        <v>2788</v>
      </c>
      <c r="E75" s="1009"/>
      <c r="F75" s="1009"/>
      <c r="G75" s="1009"/>
      <c r="H75" s="1009"/>
      <c r="I75" s="1009"/>
      <c r="J75" s="1009"/>
      <c r="K75" s="1009"/>
      <c r="L75" s="1009"/>
      <c r="M75" s="1009"/>
      <c r="N75" s="1009"/>
      <c r="O75" s="1009"/>
      <c r="P75" s="1009"/>
      <c r="Q75" s="1009"/>
      <c r="R75" s="1009"/>
      <c r="S75" s="1009"/>
      <c r="T75" s="1009"/>
      <c r="U75" s="1009"/>
      <c r="V75" s="1009"/>
      <c r="W75" s="1009"/>
      <c r="X75" s="1009"/>
      <c r="Y75" s="1009"/>
      <c r="Z75" s="1009"/>
      <c r="AA75" s="1009"/>
      <c r="AB75" s="87"/>
      <c r="AC75" s="895">
        <f>IFERROR(ROUND(AC73,2),0)+IFERROR(ROUND(AC74,2),0)</f>
        <v>0</v>
      </c>
      <c r="AD75" s="896"/>
      <c r="AE75" s="896"/>
      <c r="AF75" s="896"/>
      <c r="AG75" s="896"/>
      <c r="AH75" s="896"/>
      <c r="AI75" s="897"/>
      <c r="AJ75" s="897"/>
      <c r="AK75" s="895">
        <f>IFERROR(ROUND(AK73,2),0)+IFERROR(ROUND(AK74,2),0)</f>
        <v>0</v>
      </c>
      <c r="AL75" s="896"/>
      <c r="AM75" s="896"/>
      <c r="AN75" s="896"/>
      <c r="AO75" s="896"/>
      <c r="AP75" s="896"/>
      <c r="AQ75" s="897"/>
      <c r="AR75" s="897"/>
      <c r="AS75" s="895">
        <f>IFERROR(ROUND(AS73,2),0)+IFERROR(ROUND(AS74,2),0)</f>
        <v>0</v>
      </c>
      <c r="AT75" s="896"/>
      <c r="AU75" s="896"/>
      <c r="AV75" s="896"/>
      <c r="AW75" s="896"/>
      <c r="AX75" s="896"/>
      <c r="AY75" s="897"/>
      <c r="AZ75" s="897"/>
      <c r="BA75" s="895">
        <f>IFERROR(ROUND(BA73,2),0)+IFERROR(ROUND(BA74,2),0)</f>
        <v>0</v>
      </c>
      <c r="BB75" s="895"/>
      <c r="BC75" s="895"/>
      <c r="BD75" s="895"/>
      <c r="BE75" s="895"/>
      <c r="BF75" s="895"/>
      <c r="BG75" s="895"/>
      <c r="BH75" s="897"/>
      <c r="BI75" s="762"/>
      <c r="BJ75" s="760"/>
      <c r="BK75" s="760"/>
      <c r="BL75" s="760"/>
      <c r="BM75" s="760"/>
      <c r="BN75" s="760"/>
      <c r="BO75" s="760"/>
      <c r="BP75" s="763"/>
      <c r="BQ75" s="759"/>
      <c r="BR75" s="760"/>
      <c r="BS75" s="760"/>
      <c r="BT75" s="760"/>
      <c r="BU75" s="760"/>
      <c r="BV75" s="760"/>
      <c r="BW75" s="760"/>
      <c r="BX75" s="763"/>
      <c r="BY75" s="744"/>
      <c r="BZ75" s="745"/>
      <c r="CA75" s="745"/>
      <c r="CB75" s="745"/>
      <c r="CC75" s="745"/>
      <c r="CD75" s="745"/>
      <c r="CE75" s="745"/>
      <c r="CF75" s="746"/>
      <c r="CG75" s="759"/>
      <c r="CH75" s="760"/>
      <c r="CI75" s="760"/>
      <c r="CJ75" s="760"/>
      <c r="CK75" s="760"/>
      <c r="CL75" s="760"/>
      <c r="CM75" s="760"/>
      <c r="CN75" s="761"/>
      <c r="CO75" s="1001">
        <f ca="1">DJ75</f>
        <v>0</v>
      </c>
      <c r="CP75" s="1001"/>
      <c r="CQ75" s="1001"/>
      <c r="CR75" s="1001"/>
      <c r="CS75" s="1001"/>
      <c r="CT75" s="1001"/>
      <c r="CU75" s="1001"/>
      <c r="CV75" s="1002"/>
      <c r="CW75" s="27"/>
      <c r="DA75" s="260" t="s">
        <v>2885</v>
      </c>
      <c r="DB75" s="264">
        <f t="shared" si="34"/>
        <v>0</v>
      </c>
      <c r="DC75" s="264">
        <f t="shared" si="35"/>
        <v>0</v>
      </c>
      <c r="DD75" s="264">
        <f t="shared" si="36"/>
        <v>0</v>
      </c>
      <c r="DE75" s="264">
        <f t="shared" si="37"/>
        <v>0</v>
      </c>
      <c r="DF75" s="264">
        <f t="shared" si="38"/>
        <v>0</v>
      </c>
      <c r="DG75" s="264">
        <f t="shared" si="39"/>
        <v>0</v>
      </c>
      <c r="DH75" s="264">
        <f t="shared" si="40"/>
        <v>0</v>
      </c>
      <c r="DI75" s="264">
        <f t="shared" si="41"/>
        <v>0</v>
      </c>
      <c r="DJ75" s="261">
        <f t="shared" ca="1" si="5"/>
        <v>0</v>
      </c>
    </row>
    <row r="76" spans="1:114" ht="15.6" x14ac:dyDescent="0.3">
      <c r="A76" s="27"/>
      <c r="B76" s="34"/>
      <c r="C76" s="103" t="s">
        <v>2647</v>
      </c>
      <c r="D76" s="1010" t="s">
        <v>2638</v>
      </c>
      <c r="E76" s="1011"/>
      <c r="F76" s="1011"/>
      <c r="G76" s="1011"/>
      <c r="H76" s="1011"/>
      <c r="I76" s="1011"/>
      <c r="J76" s="1011"/>
      <c r="K76" s="1011"/>
      <c r="L76" s="1011"/>
      <c r="M76" s="1011"/>
      <c r="N76" s="1011"/>
      <c r="O76" s="1011"/>
      <c r="P76" s="1011"/>
      <c r="Q76" s="1011"/>
      <c r="R76" s="1011"/>
      <c r="S76" s="1011"/>
      <c r="T76" s="1011"/>
      <c r="U76" s="1011"/>
      <c r="V76" s="1011"/>
      <c r="W76" s="1011"/>
      <c r="X76" s="1011"/>
      <c r="Y76" s="1011"/>
      <c r="Z76" s="1011"/>
      <c r="AA76" s="1011"/>
      <c r="AB76" s="88">
        <f ca="1">IF('VETS-700 Planned Goals'!DI55&lt;=DJ76,1,IF(AND(outReportQtr&gt;=2,outReportQtr&lt;=3,'VETS-700 Planned Goals'!DI55*0.85&gt;DJ76),-1,0))</f>
        <v>1</v>
      </c>
      <c r="AC76" s="893">
        <f>IFERROR(ROUND(AC72,2),0)+AC75</f>
        <v>0</v>
      </c>
      <c r="AD76" s="894"/>
      <c r="AE76" s="894"/>
      <c r="AF76" s="894"/>
      <c r="AG76" s="894"/>
      <c r="AH76" s="894"/>
      <c r="AI76" s="852"/>
      <c r="AJ76" s="853"/>
      <c r="AK76" s="893">
        <f>IFERROR(ROUND(AK72,2),0)+AK75</f>
        <v>0</v>
      </c>
      <c r="AL76" s="894"/>
      <c r="AM76" s="894"/>
      <c r="AN76" s="894"/>
      <c r="AO76" s="894"/>
      <c r="AP76" s="894"/>
      <c r="AQ76" s="852"/>
      <c r="AR76" s="853"/>
      <c r="AS76" s="893">
        <f>IFERROR(ROUND(AS72,2),0)+AS75</f>
        <v>0</v>
      </c>
      <c r="AT76" s="894"/>
      <c r="AU76" s="894"/>
      <c r="AV76" s="894"/>
      <c r="AW76" s="894"/>
      <c r="AX76" s="894"/>
      <c r="AY76" s="852"/>
      <c r="AZ76" s="853"/>
      <c r="BA76" s="893">
        <f>IFERROR(ROUND(BA72,2),0)+BA75</f>
        <v>0</v>
      </c>
      <c r="BB76" s="894"/>
      <c r="BC76" s="894"/>
      <c r="BD76" s="894"/>
      <c r="BE76" s="894"/>
      <c r="BF76" s="894"/>
      <c r="BG76" s="852"/>
      <c r="BH76" s="853"/>
      <c r="BI76" s="874"/>
      <c r="BJ76" s="813"/>
      <c r="BK76" s="813"/>
      <c r="BL76" s="813"/>
      <c r="BM76" s="813"/>
      <c r="BN76" s="813"/>
      <c r="BO76" s="813"/>
      <c r="BP76" s="875"/>
      <c r="BQ76" s="812"/>
      <c r="BR76" s="813"/>
      <c r="BS76" s="813"/>
      <c r="BT76" s="813"/>
      <c r="BU76" s="813"/>
      <c r="BV76" s="813"/>
      <c r="BW76" s="813"/>
      <c r="BX76" s="875"/>
      <c r="BY76" s="876"/>
      <c r="BZ76" s="801"/>
      <c r="CA76" s="801"/>
      <c r="CB76" s="801"/>
      <c r="CC76" s="801"/>
      <c r="CD76" s="801"/>
      <c r="CE76" s="801"/>
      <c r="CF76" s="802"/>
      <c r="CG76" s="812"/>
      <c r="CH76" s="813"/>
      <c r="CI76" s="813"/>
      <c r="CJ76" s="813"/>
      <c r="CK76" s="813"/>
      <c r="CL76" s="813"/>
      <c r="CM76" s="813"/>
      <c r="CN76" s="814"/>
      <c r="CO76" s="999">
        <f ca="1">DJ76</f>
        <v>0</v>
      </c>
      <c r="CP76" s="999"/>
      <c r="CQ76" s="999"/>
      <c r="CR76" s="999"/>
      <c r="CS76" s="999"/>
      <c r="CT76" s="999"/>
      <c r="CU76" s="999"/>
      <c r="CV76" s="1000"/>
      <c r="CW76" s="27"/>
      <c r="DA76" s="260" t="s">
        <v>2887</v>
      </c>
      <c r="DB76" s="264">
        <f t="shared" si="34"/>
        <v>0</v>
      </c>
      <c r="DC76" s="264">
        <f t="shared" si="35"/>
        <v>0</v>
      </c>
      <c r="DD76" s="264">
        <f t="shared" si="36"/>
        <v>0</v>
      </c>
      <c r="DE76" s="264">
        <f t="shared" si="37"/>
        <v>0</v>
      </c>
      <c r="DF76" s="264">
        <f t="shared" si="38"/>
        <v>0</v>
      </c>
      <c r="DG76" s="264">
        <f t="shared" si="39"/>
        <v>0</v>
      </c>
      <c r="DH76" s="264">
        <f t="shared" si="40"/>
        <v>0</v>
      </c>
      <c r="DI76" s="264">
        <f t="shared" si="41"/>
        <v>0</v>
      </c>
      <c r="DJ76" s="261">
        <f t="shared" ca="1" si="5"/>
        <v>0</v>
      </c>
    </row>
    <row r="77" spans="1:114" ht="11.25" customHeight="1" x14ac:dyDescent="0.3">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row>
    <row r="78" spans="1:114" x14ac:dyDescent="0.3">
      <c r="A78" s="27"/>
      <c r="B78" s="27"/>
      <c r="C78" s="981" t="s">
        <v>2627</v>
      </c>
      <c r="D78" s="982"/>
      <c r="E78" s="982"/>
      <c r="F78" s="982"/>
      <c r="G78" s="982"/>
      <c r="H78" s="982"/>
      <c r="I78" s="982"/>
      <c r="J78" s="982"/>
      <c r="K78" s="982"/>
      <c r="L78" s="982"/>
      <c r="M78" s="982"/>
      <c r="N78" s="982"/>
      <c r="O78" s="982"/>
      <c r="P78" s="982"/>
      <c r="Q78" s="982"/>
      <c r="R78" s="982"/>
      <c r="S78" s="982"/>
      <c r="T78" s="982"/>
      <c r="U78" s="982"/>
      <c r="V78" s="982"/>
      <c r="W78" s="982"/>
      <c r="X78" s="982"/>
      <c r="Y78" s="982"/>
      <c r="Z78" s="982"/>
      <c r="AA78" s="982"/>
      <c r="AB78" s="982"/>
      <c r="AC78" s="982"/>
      <c r="AD78" s="982"/>
      <c r="AE78" s="982"/>
      <c r="AF78" s="982"/>
      <c r="AG78" s="982"/>
      <c r="AH78" s="982"/>
      <c r="AI78" s="982"/>
      <c r="AJ78" s="982"/>
      <c r="AK78" s="982"/>
      <c r="AL78" s="982"/>
      <c r="AM78" s="982"/>
      <c r="AN78" s="982"/>
      <c r="AO78" s="982"/>
      <c r="AP78" s="982"/>
      <c r="AQ78" s="982"/>
      <c r="AR78" s="982"/>
      <c r="AS78" s="982"/>
      <c r="AT78" s="982"/>
      <c r="AU78" s="982"/>
      <c r="AV78" s="982"/>
      <c r="AW78" s="982"/>
      <c r="AX78" s="982"/>
      <c r="AY78" s="982"/>
      <c r="AZ78" s="982"/>
      <c r="BA78" s="982"/>
      <c r="BB78" s="982"/>
      <c r="BC78" s="982"/>
      <c r="BD78" s="982"/>
      <c r="BE78" s="982"/>
      <c r="BF78" s="982"/>
      <c r="BG78" s="982"/>
      <c r="BH78" s="982"/>
      <c r="BI78" s="982"/>
      <c r="BJ78" s="982"/>
      <c r="BK78" s="982"/>
      <c r="BL78" s="982"/>
      <c r="BM78" s="982"/>
      <c r="BN78" s="982"/>
      <c r="BO78" s="982"/>
      <c r="BP78" s="982"/>
      <c r="BQ78" s="982"/>
      <c r="BR78" s="982"/>
      <c r="BS78" s="982"/>
      <c r="BT78" s="982"/>
      <c r="BU78" s="982"/>
      <c r="BV78" s="982"/>
      <c r="BW78" s="982"/>
      <c r="BX78" s="982"/>
      <c r="BY78" s="982"/>
      <c r="BZ78" s="982"/>
      <c r="CA78" s="982"/>
      <c r="CB78" s="982"/>
      <c r="CC78" s="982"/>
      <c r="CD78" s="982"/>
      <c r="CE78" s="982"/>
      <c r="CF78" s="982"/>
      <c r="CG78" s="982"/>
      <c r="CH78" s="982"/>
      <c r="CI78" s="982"/>
      <c r="CJ78" s="982"/>
      <c r="CK78" s="982"/>
      <c r="CL78" s="982"/>
      <c r="CM78" s="982"/>
      <c r="CN78" s="982"/>
      <c r="CO78" s="982"/>
      <c r="CP78" s="982"/>
      <c r="CQ78" s="982"/>
      <c r="CR78" s="982"/>
      <c r="CS78" s="982"/>
      <c r="CT78" s="982"/>
      <c r="CU78" s="982"/>
      <c r="CV78" s="982"/>
      <c r="CW78" s="27"/>
    </row>
    <row r="79" spans="1:114" x14ac:dyDescent="0.3">
      <c r="A79" s="31"/>
      <c r="B79" s="37"/>
      <c r="C79" s="982"/>
      <c r="D79" s="982"/>
      <c r="E79" s="982"/>
      <c r="F79" s="982"/>
      <c r="G79" s="982"/>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982"/>
      <c r="AN79" s="982"/>
      <c r="AO79" s="982"/>
      <c r="AP79" s="982"/>
      <c r="AQ79" s="982"/>
      <c r="AR79" s="982"/>
      <c r="AS79" s="982"/>
      <c r="AT79" s="982"/>
      <c r="AU79" s="982"/>
      <c r="AV79" s="982"/>
      <c r="AW79" s="982"/>
      <c r="AX79" s="982"/>
      <c r="AY79" s="982"/>
      <c r="AZ79" s="982"/>
      <c r="BA79" s="982"/>
      <c r="BB79" s="982"/>
      <c r="BC79" s="982"/>
      <c r="BD79" s="982"/>
      <c r="BE79" s="982"/>
      <c r="BF79" s="982"/>
      <c r="BG79" s="982"/>
      <c r="BH79" s="982"/>
      <c r="BI79" s="982"/>
      <c r="BJ79" s="982"/>
      <c r="BK79" s="982"/>
      <c r="BL79" s="982"/>
      <c r="BM79" s="982"/>
      <c r="BN79" s="982"/>
      <c r="BO79" s="982"/>
      <c r="BP79" s="982"/>
      <c r="BQ79" s="982"/>
      <c r="BR79" s="982"/>
      <c r="BS79" s="982"/>
      <c r="BT79" s="982"/>
      <c r="BU79" s="982"/>
      <c r="BV79" s="982"/>
      <c r="BW79" s="982"/>
      <c r="BX79" s="982"/>
      <c r="BY79" s="982"/>
      <c r="BZ79" s="982"/>
      <c r="CA79" s="982"/>
      <c r="CB79" s="982"/>
      <c r="CC79" s="982"/>
      <c r="CD79" s="982"/>
      <c r="CE79" s="982"/>
      <c r="CF79" s="982"/>
      <c r="CG79" s="982"/>
      <c r="CH79" s="982"/>
      <c r="CI79" s="982"/>
      <c r="CJ79" s="982"/>
      <c r="CK79" s="982"/>
      <c r="CL79" s="982"/>
      <c r="CM79" s="982"/>
      <c r="CN79" s="982"/>
      <c r="CO79" s="982"/>
      <c r="CP79" s="982"/>
      <c r="CQ79" s="982"/>
      <c r="CR79" s="982"/>
      <c r="CS79" s="982"/>
      <c r="CT79" s="982"/>
      <c r="CU79" s="982"/>
      <c r="CV79" s="982"/>
      <c r="CW79" s="27"/>
    </row>
    <row r="80" spans="1:114" x14ac:dyDescent="0.3">
      <c r="A80" s="31"/>
      <c r="B80" s="37"/>
      <c r="C80" s="982"/>
      <c r="D80" s="982"/>
      <c r="E80" s="982"/>
      <c r="F80" s="982"/>
      <c r="G80" s="982"/>
      <c r="H80" s="982"/>
      <c r="I80" s="982"/>
      <c r="J80" s="982"/>
      <c r="K80" s="982"/>
      <c r="L80" s="982"/>
      <c r="M80" s="982"/>
      <c r="N80" s="982"/>
      <c r="O80" s="982"/>
      <c r="P80" s="982"/>
      <c r="Q80" s="982"/>
      <c r="R80" s="982"/>
      <c r="S80" s="982"/>
      <c r="T80" s="982"/>
      <c r="U80" s="982"/>
      <c r="V80" s="982"/>
      <c r="W80" s="982"/>
      <c r="X80" s="982"/>
      <c r="Y80" s="982"/>
      <c r="Z80" s="982"/>
      <c r="AA80" s="982"/>
      <c r="AB80" s="982"/>
      <c r="AC80" s="982"/>
      <c r="AD80" s="982"/>
      <c r="AE80" s="982"/>
      <c r="AF80" s="982"/>
      <c r="AG80" s="982"/>
      <c r="AH80" s="982"/>
      <c r="AI80" s="982"/>
      <c r="AJ80" s="982"/>
      <c r="AK80" s="982"/>
      <c r="AL80" s="982"/>
      <c r="AM80" s="982"/>
      <c r="AN80" s="982"/>
      <c r="AO80" s="982"/>
      <c r="AP80" s="982"/>
      <c r="AQ80" s="982"/>
      <c r="AR80" s="982"/>
      <c r="AS80" s="982"/>
      <c r="AT80" s="982"/>
      <c r="AU80" s="982"/>
      <c r="AV80" s="982"/>
      <c r="AW80" s="982"/>
      <c r="AX80" s="982"/>
      <c r="AY80" s="982"/>
      <c r="AZ80" s="982"/>
      <c r="BA80" s="982"/>
      <c r="BB80" s="982"/>
      <c r="BC80" s="982"/>
      <c r="BD80" s="982"/>
      <c r="BE80" s="982"/>
      <c r="BF80" s="982"/>
      <c r="BG80" s="982"/>
      <c r="BH80" s="982"/>
      <c r="BI80" s="982"/>
      <c r="BJ80" s="982"/>
      <c r="BK80" s="982"/>
      <c r="BL80" s="982"/>
      <c r="BM80" s="982"/>
      <c r="BN80" s="982"/>
      <c r="BO80" s="982"/>
      <c r="BP80" s="982"/>
      <c r="BQ80" s="982"/>
      <c r="BR80" s="982"/>
      <c r="BS80" s="982"/>
      <c r="BT80" s="982"/>
      <c r="BU80" s="982"/>
      <c r="BV80" s="982"/>
      <c r="BW80" s="982"/>
      <c r="BX80" s="982"/>
      <c r="BY80" s="982"/>
      <c r="BZ80" s="982"/>
      <c r="CA80" s="982"/>
      <c r="CB80" s="982"/>
      <c r="CC80" s="982"/>
      <c r="CD80" s="982"/>
      <c r="CE80" s="982"/>
      <c r="CF80" s="982"/>
      <c r="CG80" s="982"/>
      <c r="CH80" s="982"/>
      <c r="CI80" s="982"/>
      <c r="CJ80" s="982"/>
      <c r="CK80" s="982"/>
      <c r="CL80" s="982"/>
      <c r="CM80" s="982"/>
      <c r="CN80" s="982"/>
      <c r="CO80" s="982"/>
      <c r="CP80" s="982"/>
      <c r="CQ80" s="982"/>
      <c r="CR80" s="982"/>
      <c r="CS80" s="982"/>
      <c r="CT80" s="982"/>
      <c r="CU80" s="982"/>
      <c r="CV80" s="982"/>
      <c r="CW80" s="27"/>
    </row>
    <row r="81" spans="1:101" ht="15.6" x14ac:dyDescent="0.3">
      <c r="A81" s="31"/>
      <c r="B81" s="31"/>
      <c r="C81" s="34"/>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row>
  </sheetData>
  <sheetProtection algorithmName="SHA-512" hashValue="NSWq0DWCit/DyeR0Rv2NW6iiYQ/bLCUtcAgV/KgEzGtzGElN4Twm0rRp4ZkAKZ8n3a9l2YVUXx6zjY7i5sy+kQ==" saltValue="EpnEFtrbleUsN3MwEtvePA==" spinCount="100000" sheet="1" objects="1" scenarios="1"/>
  <mergeCells count="648">
    <mergeCell ref="D74:AA74"/>
    <mergeCell ref="AC68:AJ68"/>
    <mergeCell ref="AK68:AR68"/>
    <mergeCell ref="AS68:AZ68"/>
    <mergeCell ref="BA68:BH68"/>
    <mergeCell ref="AK62:AR62"/>
    <mergeCell ref="CO69:CV69"/>
    <mergeCell ref="D69:AA69"/>
    <mergeCell ref="AC69:AJ69"/>
    <mergeCell ref="AK69:AR69"/>
    <mergeCell ref="AS69:AZ69"/>
    <mergeCell ref="BA69:BH69"/>
    <mergeCell ref="BI69:BP69"/>
    <mergeCell ref="BQ69:BX69"/>
    <mergeCell ref="BY69:CF69"/>
    <mergeCell ref="CG69:CN69"/>
    <mergeCell ref="AC65:AJ65"/>
    <mergeCell ref="AK65:AR65"/>
    <mergeCell ref="AS65:AZ65"/>
    <mergeCell ref="BA65:BH65"/>
    <mergeCell ref="AC66:AJ66"/>
    <mergeCell ref="AK66:AR66"/>
    <mergeCell ref="AS66:AZ66"/>
    <mergeCell ref="BA66:BH66"/>
    <mergeCell ref="AC67:AJ67"/>
    <mergeCell ref="CO41:CV41"/>
    <mergeCell ref="CO48:CV48"/>
    <mergeCell ref="CO71:CV71"/>
    <mergeCell ref="CO66:CV66"/>
    <mergeCell ref="CO67:CV67"/>
    <mergeCell ref="D58:AA58"/>
    <mergeCell ref="D59:AA59"/>
    <mergeCell ref="D60:AA60"/>
    <mergeCell ref="CO58:CV58"/>
    <mergeCell ref="CO59:CV59"/>
    <mergeCell ref="CO60:CV60"/>
    <mergeCell ref="CO63:CV63"/>
    <mergeCell ref="CO64:CV64"/>
    <mergeCell ref="CO65:CV65"/>
    <mergeCell ref="BA62:BH62"/>
    <mergeCell ref="AC63:AJ63"/>
    <mergeCell ref="AK63:AR63"/>
    <mergeCell ref="AS63:AZ63"/>
    <mergeCell ref="BA63:BH63"/>
    <mergeCell ref="AC64:AJ64"/>
    <mergeCell ref="AK64:AR64"/>
    <mergeCell ref="AS64:AZ64"/>
    <mergeCell ref="BA64:BH64"/>
    <mergeCell ref="AC62:AJ62"/>
    <mergeCell ref="D54:AA54"/>
    <mergeCell ref="D55:AA55"/>
    <mergeCell ref="AC55:AJ55"/>
    <mergeCell ref="AK55:AR55"/>
    <mergeCell ref="AS55:AZ55"/>
    <mergeCell ref="AK19:AR19"/>
    <mergeCell ref="AC54:AJ54"/>
    <mergeCell ref="AK54:AR54"/>
    <mergeCell ref="AS54:AZ54"/>
    <mergeCell ref="AC28:AJ28"/>
    <mergeCell ref="AK28:AR28"/>
    <mergeCell ref="AS28:AZ28"/>
    <mergeCell ref="AS20:AZ20"/>
    <mergeCell ref="D42:AA42"/>
    <mergeCell ref="C23:AA23"/>
    <mergeCell ref="AC40:AJ40"/>
    <mergeCell ref="AK40:AR40"/>
    <mergeCell ref="D51:AA51"/>
    <mergeCell ref="AK22:AR22"/>
    <mergeCell ref="AC41:AJ41"/>
    <mergeCell ref="AC38:AJ38"/>
    <mergeCell ref="AK32:AR32"/>
    <mergeCell ref="AS32:AZ32"/>
    <mergeCell ref="D18:AA18"/>
    <mergeCell ref="D19:AA19"/>
    <mergeCell ref="U2:CB2"/>
    <mergeCell ref="AC22:AJ22"/>
    <mergeCell ref="AK41:AR41"/>
    <mergeCell ref="D24:AA24"/>
    <mergeCell ref="AK26:AR26"/>
    <mergeCell ref="AS26:AZ26"/>
    <mergeCell ref="BA26:BH26"/>
    <mergeCell ref="AK23:AR23"/>
    <mergeCell ref="D17:AA17"/>
    <mergeCell ref="AS23:AZ23"/>
    <mergeCell ref="BA23:BH23"/>
    <mergeCell ref="AS21:AZ21"/>
    <mergeCell ref="D20:AA20"/>
    <mergeCell ref="D21:AA21"/>
    <mergeCell ref="D22:AA22"/>
    <mergeCell ref="BA30:BH30"/>
    <mergeCell ref="BA27:BH27"/>
    <mergeCell ref="BA28:BH28"/>
    <mergeCell ref="BA20:BH20"/>
    <mergeCell ref="BA21:BH21"/>
    <mergeCell ref="BA29:BH29"/>
    <mergeCell ref="C13:AA13"/>
    <mergeCell ref="C11:AA12"/>
    <mergeCell ref="D14:AA14"/>
    <mergeCell ref="D15:AA15"/>
    <mergeCell ref="D16:AA16"/>
    <mergeCell ref="AC15:AJ15"/>
    <mergeCell ref="AC16:AJ16"/>
    <mergeCell ref="CG11:CN12"/>
    <mergeCell ref="AC14:AJ14"/>
    <mergeCell ref="BA14:BH14"/>
    <mergeCell ref="AS15:AZ15"/>
    <mergeCell ref="BY13:CF13"/>
    <mergeCell ref="CG13:CN13"/>
    <mergeCell ref="AC13:AJ13"/>
    <mergeCell ref="AK13:AR13"/>
    <mergeCell ref="AS13:AZ13"/>
    <mergeCell ref="BA13:BH13"/>
    <mergeCell ref="BI13:BP13"/>
    <mergeCell ref="BQ13:BX13"/>
    <mergeCell ref="BA15:BH15"/>
    <mergeCell ref="BI14:BP14"/>
    <mergeCell ref="BI15:BP15"/>
    <mergeCell ref="BI16:BP16"/>
    <mergeCell ref="BA31:BH31"/>
    <mergeCell ref="AC32:AJ32"/>
    <mergeCell ref="BA32:BH32"/>
    <mergeCell ref="AC24:AJ24"/>
    <mergeCell ref="AK24:AR24"/>
    <mergeCell ref="AS24:AZ24"/>
    <mergeCell ref="BA24:BH24"/>
    <mergeCell ref="CC2:CW2"/>
    <mergeCell ref="CO15:CV15"/>
    <mergeCell ref="CO16:CV16"/>
    <mergeCell ref="CO13:CV13"/>
    <mergeCell ref="BA16:BH16"/>
    <mergeCell ref="AS17:AZ17"/>
    <mergeCell ref="BA17:BH17"/>
    <mergeCell ref="AK14:AR14"/>
    <mergeCell ref="AK15:AR15"/>
    <mergeCell ref="AK17:AR17"/>
    <mergeCell ref="AK18:AR18"/>
    <mergeCell ref="CO24:CV24"/>
    <mergeCell ref="BI24:BP24"/>
    <mergeCell ref="BQ24:BX24"/>
    <mergeCell ref="BY24:CF24"/>
    <mergeCell ref="BQ21:BX21"/>
    <mergeCell ref="BY21:CF21"/>
    <mergeCell ref="BI17:BP17"/>
    <mergeCell ref="BI18:BP18"/>
    <mergeCell ref="BI19:BP19"/>
    <mergeCell ref="CG14:CN14"/>
    <mergeCell ref="CG15:CN15"/>
    <mergeCell ref="CG16:CN16"/>
    <mergeCell ref="CG17:CN17"/>
    <mergeCell ref="CG18:CN18"/>
    <mergeCell ref="CG19:CN19"/>
    <mergeCell ref="BQ14:CF14"/>
    <mergeCell ref="BQ15:BX15"/>
    <mergeCell ref="BQ16:BX16"/>
    <mergeCell ref="BQ17:BX17"/>
    <mergeCell ref="BY17:CF17"/>
    <mergeCell ref="BY16:CF16"/>
    <mergeCell ref="BY15:CF15"/>
    <mergeCell ref="BQ18:BX19"/>
    <mergeCell ref="BY18:CF19"/>
    <mergeCell ref="CO11:CV12"/>
    <mergeCell ref="AS14:AZ14"/>
    <mergeCell ref="CO28:CV28"/>
    <mergeCell ref="CO25:CV25"/>
    <mergeCell ref="CO26:CV26"/>
    <mergeCell ref="BI27:BP27"/>
    <mergeCell ref="CO31:CV31"/>
    <mergeCell ref="CO32:CV32"/>
    <mergeCell ref="CO29:CV29"/>
    <mergeCell ref="CO30:CV30"/>
    <mergeCell ref="CO21:CV21"/>
    <mergeCell ref="CO23:CV23"/>
    <mergeCell ref="AS22:AZ22"/>
    <mergeCell ref="BA22:BH22"/>
    <mergeCell ref="BA25:BH25"/>
    <mergeCell ref="CO18:CV18"/>
    <mergeCell ref="CO17:CV17"/>
    <mergeCell ref="BY22:CF22"/>
    <mergeCell ref="CG22:CN22"/>
    <mergeCell ref="BQ20:BX20"/>
    <mergeCell ref="BI28:BP28"/>
    <mergeCell ref="BQ28:BX28"/>
    <mergeCell ref="BY28:CF28"/>
    <mergeCell ref="CG28:CN28"/>
    <mergeCell ref="A25:B28"/>
    <mergeCell ref="D25:AA25"/>
    <mergeCell ref="D26:AA26"/>
    <mergeCell ref="D27:AA27"/>
    <mergeCell ref="D28:AA28"/>
    <mergeCell ref="AC27:AJ27"/>
    <mergeCell ref="AK27:AR27"/>
    <mergeCell ref="AS27:AZ27"/>
    <mergeCell ref="AC30:AJ30"/>
    <mergeCell ref="AK30:AR30"/>
    <mergeCell ref="AS30:AZ30"/>
    <mergeCell ref="AC25:AJ25"/>
    <mergeCell ref="AK25:AR25"/>
    <mergeCell ref="AS25:AZ25"/>
    <mergeCell ref="AC26:AJ26"/>
    <mergeCell ref="A37:B40"/>
    <mergeCell ref="D37:AA37"/>
    <mergeCell ref="D38:AA38"/>
    <mergeCell ref="D39:AA39"/>
    <mergeCell ref="D40:AA40"/>
    <mergeCell ref="AC29:AJ29"/>
    <mergeCell ref="AK29:AR29"/>
    <mergeCell ref="AS29:AZ29"/>
    <mergeCell ref="AS38:AZ38"/>
    <mergeCell ref="AC39:AJ39"/>
    <mergeCell ref="AK39:AR39"/>
    <mergeCell ref="AS39:AZ39"/>
    <mergeCell ref="AC31:AJ31"/>
    <mergeCell ref="AK31:AR31"/>
    <mergeCell ref="AS31:AZ31"/>
    <mergeCell ref="A33:B36"/>
    <mergeCell ref="D33:AA33"/>
    <mergeCell ref="D34:AA34"/>
    <mergeCell ref="D35:AA35"/>
    <mergeCell ref="D36:AA36"/>
    <mergeCell ref="AK34:AR34"/>
    <mergeCell ref="AS34:AZ34"/>
    <mergeCell ref="AC35:AJ35"/>
    <mergeCell ref="A29:B32"/>
    <mergeCell ref="D72:AA72"/>
    <mergeCell ref="CO76:CV76"/>
    <mergeCell ref="CO75:CV75"/>
    <mergeCell ref="CO72:CV72"/>
    <mergeCell ref="CO73:CV73"/>
    <mergeCell ref="D73:AA73"/>
    <mergeCell ref="D75:AA75"/>
    <mergeCell ref="D76:AA76"/>
    <mergeCell ref="D57:AA57"/>
    <mergeCell ref="D68:AA68"/>
    <mergeCell ref="D64:AA64"/>
    <mergeCell ref="D65:AA65"/>
    <mergeCell ref="D66:AA66"/>
    <mergeCell ref="D67:AA67"/>
    <mergeCell ref="BA59:BH59"/>
    <mergeCell ref="AC60:AJ60"/>
    <mergeCell ref="AK60:AR60"/>
    <mergeCell ref="AS60:AZ60"/>
    <mergeCell ref="BA60:BH60"/>
    <mergeCell ref="AC61:AJ61"/>
    <mergeCell ref="AK61:AR61"/>
    <mergeCell ref="AS61:AZ61"/>
    <mergeCell ref="BA61:BH61"/>
    <mergeCell ref="AS62:AZ62"/>
    <mergeCell ref="CO54:CV54"/>
    <mergeCell ref="CO55:CV55"/>
    <mergeCell ref="CO56:CV56"/>
    <mergeCell ref="D61:AA61"/>
    <mergeCell ref="D62:AA62"/>
    <mergeCell ref="CO61:CV61"/>
    <mergeCell ref="CO62:CV62"/>
    <mergeCell ref="D56:AA56"/>
    <mergeCell ref="D63:AA63"/>
    <mergeCell ref="AC56:AJ56"/>
    <mergeCell ref="AK56:AR56"/>
    <mergeCell ref="AS56:AZ56"/>
    <mergeCell ref="BA56:BH56"/>
    <mergeCell ref="AC57:AJ57"/>
    <mergeCell ref="AK57:AR57"/>
    <mergeCell ref="AS57:AZ57"/>
    <mergeCell ref="BA57:BH57"/>
    <mergeCell ref="AC58:AJ58"/>
    <mergeCell ref="AK58:AR58"/>
    <mergeCell ref="AS58:AZ58"/>
    <mergeCell ref="BA58:BH58"/>
    <mergeCell ref="AC59:AJ59"/>
    <mergeCell ref="AK59:AR59"/>
    <mergeCell ref="AS59:AZ59"/>
    <mergeCell ref="C78:CV80"/>
    <mergeCell ref="CO14:CV14"/>
    <mergeCell ref="CO57:CV57"/>
    <mergeCell ref="CO53:CV53"/>
    <mergeCell ref="CO52:CV52"/>
    <mergeCell ref="CO49:CV49"/>
    <mergeCell ref="D53:AA53"/>
    <mergeCell ref="CO51:CV51"/>
    <mergeCell ref="D52:AA52"/>
    <mergeCell ref="CO50:CV50"/>
    <mergeCell ref="D49:AA49"/>
    <mergeCell ref="D50:AA50"/>
    <mergeCell ref="AC49:AJ49"/>
    <mergeCell ref="AK49:AR49"/>
    <mergeCell ref="AS49:AZ49"/>
    <mergeCell ref="BA49:BH49"/>
    <mergeCell ref="AC51:AJ51"/>
    <mergeCell ref="AK51:AR51"/>
    <mergeCell ref="AS51:AZ51"/>
    <mergeCell ref="BA51:BH51"/>
    <mergeCell ref="AC52:AJ52"/>
    <mergeCell ref="AK52:AR52"/>
    <mergeCell ref="CO68:CV68"/>
    <mergeCell ref="C71:AA71"/>
    <mergeCell ref="CO35:CV35"/>
    <mergeCell ref="CO36:CV36"/>
    <mergeCell ref="CO33:CV33"/>
    <mergeCell ref="CO46:CV46"/>
    <mergeCell ref="AC33:AJ33"/>
    <mergeCell ref="AK33:AR33"/>
    <mergeCell ref="AS33:AZ33"/>
    <mergeCell ref="BA33:BH33"/>
    <mergeCell ref="AC34:AJ34"/>
    <mergeCell ref="CO38:CV38"/>
    <mergeCell ref="CO34:CV34"/>
    <mergeCell ref="CO39:CV39"/>
    <mergeCell ref="CO45:CV45"/>
    <mergeCell ref="CO44:CV44"/>
    <mergeCell ref="CO43:CV43"/>
    <mergeCell ref="BI45:BP45"/>
    <mergeCell ref="CO42:CV42"/>
    <mergeCell ref="CO40:CV40"/>
    <mergeCell ref="BA34:BH34"/>
    <mergeCell ref="AK35:AR35"/>
    <mergeCell ref="AS35:AZ35"/>
    <mergeCell ref="BA35:BH35"/>
    <mergeCell ref="AC36:AJ36"/>
    <mergeCell ref="AK38:AR38"/>
    <mergeCell ref="AK36:AR36"/>
    <mergeCell ref="AS36:AZ36"/>
    <mergeCell ref="AC37:AJ37"/>
    <mergeCell ref="AK37:AR37"/>
    <mergeCell ref="AS37:AZ37"/>
    <mergeCell ref="AK16:AR16"/>
    <mergeCell ref="AS16:AZ16"/>
    <mergeCell ref="AK48:AR48"/>
    <mergeCell ref="AK45:AR45"/>
    <mergeCell ref="AK46:AR46"/>
    <mergeCell ref="AC48:AJ48"/>
    <mergeCell ref="AC17:AJ17"/>
    <mergeCell ref="AC23:AJ23"/>
    <mergeCell ref="AC42:AJ42"/>
    <mergeCell ref="AK42:AR42"/>
    <mergeCell ref="AC43:AJ43"/>
    <mergeCell ref="AK43:AR43"/>
    <mergeCell ref="AC44:AJ44"/>
    <mergeCell ref="AK44:AR44"/>
    <mergeCell ref="AK20:AR20"/>
    <mergeCell ref="AK21:AR21"/>
    <mergeCell ref="C48:AA48"/>
    <mergeCell ref="C41:AA41"/>
    <mergeCell ref="D29:AA29"/>
    <mergeCell ref="D30:AA30"/>
    <mergeCell ref="D31:AA31"/>
    <mergeCell ref="D32:AA32"/>
    <mergeCell ref="D43:AA43"/>
    <mergeCell ref="D44:AA44"/>
    <mergeCell ref="D45:AA45"/>
    <mergeCell ref="D46:AA46"/>
    <mergeCell ref="AK71:AR71"/>
    <mergeCell ref="AS71:AZ71"/>
    <mergeCell ref="BA71:BH71"/>
    <mergeCell ref="AC10:BH10"/>
    <mergeCell ref="BI10:CN10"/>
    <mergeCell ref="CO22:CV22"/>
    <mergeCell ref="CO20:CV20"/>
    <mergeCell ref="CO19:CV19"/>
    <mergeCell ref="AC19:AJ19"/>
    <mergeCell ref="AC20:AJ20"/>
    <mergeCell ref="AC21:AJ21"/>
    <mergeCell ref="AS19:AZ19"/>
    <mergeCell ref="BA19:BH19"/>
    <mergeCell ref="AC11:AJ12"/>
    <mergeCell ref="AK11:AR12"/>
    <mergeCell ref="AS11:AZ12"/>
    <mergeCell ref="BA11:BH12"/>
    <mergeCell ref="BI11:BP12"/>
    <mergeCell ref="BQ11:BX12"/>
    <mergeCell ref="BY11:CF12"/>
    <mergeCell ref="AC18:AJ18"/>
    <mergeCell ref="AS18:AZ18"/>
    <mergeCell ref="BA18:BH18"/>
    <mergeCell ref="CO37:CV37"/>
    <mergeCell ref="AK67:AR67"/>
    <mergeCell ref="AS67:AZ67"/>
    <mergeCell ref="BA67:BH67"/>
    <mergeCell ref="BA76:BH76"/>
    <mergeCell ref="AC75:AJ75"/>
    <mergeCell ref="AC76:AJ76"/>
    <mergeCell ref="AK72:AR72"/>
    <mergeCell ref="AK73:AR73"/>
    <mergeCell ref="AK75:AR75"/>
    <mergeCell ref="AK76:AR76"/>
    <mergeCell ref="AS72:AZ72"/>
    <mergeCell ref="AS73:AZ73"/>
    <mergeCell ref="AS75:AZ75"/>
    <mergeCell ref="AS76:AZ76"/>
    <mergeCell ref="AC73:AJ73"/>
    <mergeCell ref="BA72:BH72"/>
    <mergeCell ref="BA73:BH73"/>
    <mergeCell ref="AC74:AJ74"/>
    <mergeCell ref="AK74:AR74"/>
    <mergeCell ref="AS74:AZ74"/>
    <mergeCell ref="BA74:BH74"/>
    <mergeCell ref="AC72:AJ72"/>
    <mergeCell ref="BA75:BH75"/>
    <mergeCell ref="AC71:AJ71"/>
    <mergeCell ref="BA36:BH36"/>
    <mergeCell ref="BA37:BH37"/>
    <mergeCell ref="BA39:BH39"/>
    <mergeCell ref="AS40:AZ40"/>
    <mergeCell ref="BA40:BH40"/>
    <mergeCell ref="AS48:AZ48"/>
    <mergeCell ref="AS45:AZ45"/>
    <mergeCell ref="BA45:BH45"/>
    <mergeCell ref="AS46:AZ46"/>
    <mergeCell ref="BA46:BH46"/>
    <mergeCell ref="BA41:BH41"/>
    <mergeCell ref="AS41:AZ41"/>
    <mergeCell ref="BA38:BH38"/>
    <mergeCell ref="AS42:AZ42"/>
    <mergeCell ref="AS43:AZ43"/>
    <mergeCell ref="BA42:BH42"/>
    <mergeCell ref="BA43:BH43"/>
    <mergeCell ref="AS44:AZ44"/>
    <mergeCell ref="BA44:BH44"/>
    <mergeCell ref="BQ73:BX73"/>
    <mergeCell ref="BQ75:BX75"/>
    <mergeCell ref="BQ76:BX76"/>
    <mergeCell ref="BY72:CF72"/>
    <mergeCell ref="BY73:CF73"/>
    <mergeCell ref="BY75:CF75"/>
    <mergeCell ref="BY76:CF76"/>
    <mergeCell ref="BI72:BP72"/>
    <mergeCell ref="BI73:BP73"/>
    <mergeCell ref="BI75:BP75"/>
    <mergeCell ref="CG73:CN73"/>
    <mergeCell ref="CG75:CN75"/>
    <mergeCell ref="CG76:CN76"/>
    <mergeCell ref="AC50:AJ50"/>
    <mergeCell ref="AK50:AR50"/>
    <mergeCell ref="AS50:AZ50"/>
    <mergeCell ref="BA50:BH50"/>
    <mergeCell ref="BI49:BP49"/>
    <mergeCell ref="BQ49:BX49"/>
    <mergeCell ref="BY49:CF49"/>
    <mergeCell ref="CG49:CN49"/>
    <mergeCell ref="BI50:BP50"/>
    <mergeCell ref="BQ50:BX50"/>
    <mergeCell ref="BY50:CF50"/>
    <mergeCell ref="CG50:CN50"/>
    <mergeCell ref="BI51:BP51"/>
    <mergeCell ref="BQ51:BX51"/>
    <mergeCell ref="BY51:CF51"/>
    <mergeCell ref="CG51:CN51"/>
    <mergeCell ref="BI52:BP52"/>
    <mergeCell ref="BQ52:BX52"/>
    <mergeCell ref="BY52:CF52"/>
    <mergeCell ref="CG52:CN52"/>
    <mergeCell ref="BI76:BP76"/>
    <mergeCell ref="CG72:CN72"/>
    <mergeCell ref="BQ72:BX72"/>
    <mergeCell ref="BI53:BP53"/>
    <mergeCell ref="BI54:BP54"/>
    <mergeCell ref="BI35:BP35"/>
    <mergeCell ref="BI38:BP38"/>
    <mergeCell ref="BI65:BP65"/>
    <mergeCell ref="BI68:BP68"/>
    <mergeCell ref="BI61:BP61"/>
    <mergeCell ref="BI71:BP71"/>
    <mergeCell ref="BI56:BP56"/>
    <mergeCell ref="BI59:BP59"/>
    <mergeCell ref="BI62:BP62"/>
    <mergeCell ref="CG45:CN45"/>
    <mergeCell ref="CG46:CN46"/>
    <mergeCell ref="BY42:CF42"/>
    <mergeCell ref="BQ35:BX35"/>
    <mergeCell ref="BI37:BP37"/>
    <mergeCell ref="BQ37:BX37"/>
    <mergeCell ref="BY37:CF37"/>
    <mergeCell ref="CG37:CN37"/>
    <mergeCell ref="BY46:CF46"/>
    <mergeCell ref="BQ54:BX54"/>
    <mergeCell ref="BI60:BP60"/>
    <mergeCell ref="BQ42:BX42"/>
    <mergeCell ref="BQ43:BX43"/>
    <mergeCell ref="BY45:CF45"/>
    <mergeCell ref="BI42:BP42"/>
    <mergeCell ref="BI43:BP43"/>
    <mergeCell ref="BI41:BP41"/>
    <mergeCell ref="BQ41:BX41"/>
    <mergeCell ref="BY41:CF41"/>
    <mergeCell ref="CG41:CN41"/>
    <mergeCell ref="BA55:BH55"/>
    <mergeCell ref="AC53:AJ53"/>
    <mergeCell ref="BQ53:BX53"/>
    <mergeCell ref="BY53:CF53"/>
    <mergeCell ref="CG53:CN53"/>
    <mergeCell ref="AC45:AJ45"/>
    <mergeCell ref="AC46:AJ46"/>
    <mergeCell ref="BY57:CF57"/>
    <mergeCell ref="AK53:AR53"/>
    <mergeCell ref="AS53:AZ53"/>
    <mergeCell ref="BA53:BH53"/>
    <mergeCell ref="BA48:BH48"/>
    <mergeCell ref="BI55:BP55"/>
    <mergeCell ref="BQ55:BX55"/>
    <mergeCell ref="BY55:CF55"/>
    <mergeCell ref="BA52:BH52"/>
    <mergeCell ref="BI46:BP46"/>
    <mergeCell ref="BA54:BH54"/>
    <mergeCell ref="AS52:AZ52"/>
    <mergeCell ref="BY68:CF68"/>
    <mergeCell ref="BQ45:BX45"/>
    <mergeCell ref="BQ46:BX46"/>
    <mergeCell ref="CG57:CN57"/>
    <mergeCell ref="BI58:BP58"/>
    <mergeCell ref="BQ58:BX58"/>
    <mergeCell ref="BY58:CF58"/>
    <mergeCell ref="CG58:CN58"/>
    <mergeCell ref="BQ59:BX59"/>
    <mergeCell ref="BY59:CF59"/>
    <mergeCell ref="CG54:CN54"/>
    <mergeCell ref="CG55:CN55"/>
    <mergeCell ref="BQ56:BX56"/>
    <mergeCell ref="CG59:CN59"/>
    <mergeCell ref="BY54:CF54"/>
    <mergeCell ref="BQ60:BX60"/>
    <mergeCell ref="BY60:CF60"/>
    <mergeCell ref="CG60:CN60"/>
    <mergeCell ref="BY56:CF56"/>
    <mergeCell ref="BQ48:BX48"/>
    <mergeCell ref="BI48:BP48"/>
    <mergeCell ref="CO27:CV27"/>
    <mergeCell ref="BI20:BP20"/>
    <mergeCell ref="BI21:BP21"/>
    <mergeCell ref="BY25:CF25"/>
    <mergeCell ref="CG25:CN25"/>
    <mergeCell ref="CG26:CN26"/>
    <mergeCell ref="BY26:CF26"/>
    <mergeCell ref="BQ26:BX26"/>
    <mergeCell ref="CO74:CV74"/>
    <mergeCell ref="BI74:BP74"/>
    <mergeCell ref="BQ74:BX74"/>
    <mergeCell ref="BY74:CF74"/>
    <mergeCell ref="CG74:CN74"/>
    <mergeCell ref="BI25:BP25"/>
    <mergeCell ref="BI26:BP26"/>
    <mergeCell ref="BQ25:BX25"/>
    <mergeCell ref="BI29:BP29"/>
    <mergeCell ref="BI30:BP30"/>
    <mergeCell ref="BI31:BP31"/>
    <mergeCell ref="BQ31:BX31"/>
    <mergeCell ref="BY29:CF29"/>
    <mergeCell ref="BY30:CF30"/>
    <mergeCell ref="BY31:CF31"/>
    <mergeCell ref="BY32:CF32"/>
    <mergeCell ref="BQ33:BX33"/>
    <mergeCell ref="BY33:CF33"/>
    <mergeCell ref="CG33:CN33"/>
    <mergeCell ref="BI34:BP34"/>
    <mergeCell ref="BQ27:BX27"/>
    <mergeCell ref="BY27:CF27"/>
    <mergeCell ref="CG27:CN27"/>
    <mergeCell ref="BI23:BP23"/>
    <mergeCell ref="BQ23:BX23"/>
    <mergeCell ref="BY23:CF23"/>
    <mergeCell ref="CG23:CN23"/>
    <mergeCell ref="CG29:CN29"/>
    <mergeCell ref="CG30:CN30"/>
    <mergeCell ref="CG31:CN31"/>
    <mergeCell ref="CG32:CN32"/>
    <mergeCell ref="BQ34:BX34"/>
    <mergeCell ref="BY34:CF34"/>
    <mergeCell ref="CG34:CN34"/>
    <mergeCell ref="BI33:BP33"/>
    <mergeCell ref="BQ38:BX38"/>
    <mergeCell ref="BY38:CF38"/>
    <mergeCell ref="BY35:CF35"/>
    <mergeCell ref="CG35:CN35"/>
    <mergeCell ref="BI36:BP36"/>
    <mergeCell ref="BQ36:BX36"/>
    <mergeCell ref="BY36:CF36"/>
    <mergeCell ref="CG36:CN36"/>
    <mergeCell ref="BI44:BP44"/>
    <mergeCell ref="BQ44:BX44"/>
    <mergeCell ref="CG42:CN42"/>
    <mergeCell ref="BY43:CF43"/>
    <mergeCell ref="CG43:CN43"/>
    <mergeCell ref="BY44:CF44"/>
    <mergeCell ref="CG38:CN38"/>
    <mergeCell ref="BI39:BP39"/>
    <mergeCell ref="BQ39:BX39"/>
    <mergeCell ref="BY39:CF39"/>
    <mergeCell ref="CG39:CN39"/>
    <mergeCell ref="BI40:BP40"/>
    <mergeCell ref="BQ40:BX40"/>
    <mergeCell ref="BY40:CF40"/>
    <mergeCell ref="CG40:CN40"/>
    <mergeCell ref="CG44:CN44"/>
    <mergeCell ref="BQ71:BX71"/>
    <mergeCell ref="BY71:CF71"/>
    <mergeCell ref="CG71:CN71"/>
    <mergeCell ref="CG61:CN61"/>
    <mergeCell ref="BI66:BP66"/>
    <mergeCell ref="BQ66:BX66"/>
    <mergeCell ref="BY66:CF66"/>
    <mergeCell ref="CG66:CN66"/>
    <mergeCell ref="BI67:BP67"/>
    <mergeCell ref="BQ67:BX67"/>
    <mergeCell ref="BY67:CF67"/>
    <mergeCell ref="CG67:CN67"/>
    <mergeCell ref="CG63:CN63"/>
    <mergeCell ref="BI64:BP64"/>
    <mergeCell ref="BQ64:BX64"/>
    <mergeCell ref="BY64:CF64"/>
    <mergeCell ref="CG64:CN64"/>
    <mergeCell ref="BI63:BP63"/>
    <mergeCell ref="BQ63:BX63"/>
    <mergeCell ref="BY63:CF63"/>
    <mergeCell ref="BY65:CF65"/>
    <mergeCell ref="CG65:CN65"/>
    <mergeCell ref="BQ65:BX65"/>
    <mergeCell ref="BQ68:BX68"/>
    <mergeCell ref="BB7:BI8"/>
    <mergeCell ref="BK7:CK8"/>
    <mergeCell ref="C7:J8"/>
    <mergeCell ref="L7:AZ8"/>
    <mergeCell ref="CG68:CN68"/>
    <mergeCell ref="BQ61:BX61"/>
    <mergeCell ref="BY61:CF61"/>
    <mergeCell ref="BY20:CF20"/>
    <mergeCell ref="CG20:CN20"/>
    <mergeCell ref="BI22:BP22"/>
    <mergeCell ref="BQ22:BX22"/>
    <mergeCell ref="CG21:CN21"/>
    <mergeCell ref="BQ62:BX62"/>
    <mergeCell ref="BY62:CF62"/>
    <mergeCell ref="CG62:CN62"/>
    <mergeCell ref="CG56:CN56"/>
    <mergeCell ref="BI57:BP57"/>
    <mergeCell ref="BQ57:BX57"/>
    <mergeCell ref="BQ29:BX29"/>
    <mergeCell ref="BQ30:BX30"/>
    <mergeCell ref="BQ32:BX32"/>
    <mergeCell ref="BI32:BP32"/>
    <mergeCell ref="CG48:CN48"/>
    <mergeCell ref="BY48:CF48"/>
    <mergeCell ref="CT4:CT5"/>
    <mergeCell ref="CA4:CS5"/>
    <mergeCell ref="BR4:BY5"/>
    <mergeCell ref="BK4:BP5"/>
    <mergeCell ref="BB4:BI5"/>
    <mergeCell ref="AO4:AZ5"/>
    <mergeCell ref="AF4:AM5"/>
    <mergeCell ref="L4:AD5"/>
    <mergeCell ref="C4:J5"/>
  </mergeCells>
  <conditionalFormatting sqref="AC75:AJ75">
    <cfRule type="cellIs" dxfId="309" priority="26" operator="lessThan">
      <formula>$AC$73</formula>
    </cfRule>
  </conditionalFormatting>
  <conditionalFormatting sqref="AC73:AJ73 AC74">
    <cfRule type="cellIs" dxfId="308" priority="25" operator="greaterThan">
      <formula>$AC$75</formula>
    </cfRule>
  </conditionalFormatting>
  <conditionalFormatting sqref="AC72:BH74">
    <cfRule type="expression" dxfId="307" priority="23">
      <formula>NOT(ISNUMBER(AC72:BH74))</formula>
    </cfRule>
  </conditionalFormatting>
  <conditionalFormatting sqref="BY24:CF24">
    <cfRule type="cellIs" dxfId="306" priority="20" operator="greaterThan">
      <formula>0.1</formula>
    </cfRule>
  </conditionalFormatting>
  <conditionalFormatting sqref="AB50">
    <cfRule type="iconSet" priority="14">
      <iconSet iconSet="3Symbols2" showValue="0">
        <cfvo type="percent" val="0"/>
        <cfvo type="num" val="0"/>
        <cfvo type="num" val="1"/>
      </iconSet>
    </cfRule>
  </conditionalFormatting>
  <conditionalFormatting sqref="AB76">
    <cfRule type="iconSet" priority="13">
      <iconSet iconSet="3Symbols2" showValue="0">
        <cfvo type="percent" val="0"/>
        <cfvo type="num" val="0"/>
        <cfvo type="num" val="1"/>
      </iconSet>
    </cfRule>
  </conditionalFormatting>
  <conditionalFormatting sqref="BQ15:CF19">
    <cfRule type="expression" dxfId="305" priority="3" stopIfTrue="1">
      <formula>IF($DB$5&lt;&gt;4,TRUE,FALSE)</formula>
    </cfRule>
  </conditionalFormatting>
  <conditionalFormatting sqref="CO76:CV76">
    <cfRule type="cellIs" dxfId="304" priority="56" operator="greaterThan">
      <formula>$AO$4</formula>
    </cfRule>
  </conditionalFormatting>
  <conditionalFormatting sqref="BQ14:CF14">
    <cfRule type="expression" dxfId="303" priority="8">
      <formula>$DB$5=4</formula>
    </cfRule>
  </conditionalFormatting>
  <conditionalFormatting sqref="BY15:CF19">
    <cfRule type="expression" dxfId="302" priority="4">
      <formula>BY15="Met"</formula>
    </cfRule>
    <cfRule type="expression" dxfId="301" priority="5">
      <formula>OR(ISERROR(BY15),AND(IFERROR(BY15,0)&lt;&gt;"Failed",IFERROR(BY15,0)&lt;&gt;"Met"))</formula>
    </cfRule>
    <cfRule type="expression" dxfId="300" priority="7">
      <formula>BY15="Failed"</formula>
    </cfRule>
  </conditionalFormatting>
  <dataValidations count="2">
    <dataValidation type="list" allowBlank="1" showInputMessage="1" showErrorMessage="1" sqref="CA4">
      <formula1>INDIRECT("tblReportPd[Display]")</formula1>
    </dataValidation>
    <dataValidation type="list" allowBlank="1" showInputMessage="1" showErrorMessage="1" sqref="BK4">
      <formula1>"Select Year,Initial,First,Second"</formula1>
    </dataValidation>
  </dataValidations>
  <pageMargins left="0.2" right="0.2" top="0.25" bottom="0.25" header="0.5" footer="0.3"/>
  <pageSetup scale="44"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17" id="{1EF2C752-8E5A-49DF-92B1-15B52FFB5C2E}">
            <x14:iconSet iconSet="3Symbols2" showValue="0" custom="1">
              <x14:cfvo type="percent">
                <xm:f>0</xm:f>
              </x14:cfvo>
              <x14:cfvo type="num">
                <xm:f>0</xm:f>
              </x14:cfvo>
              <x14:cfvo type="num">
                <xm:f>1</xm:f>
              </x14:cfvo>
              <x14:cfIcon iconSet="3Symbols2" iconId="0"/>
              <x14:cfIcon iconSet="3Symbols2" iconId="1"/>
              <x14:cfIcon iconSet="3Symbols2" iconId="2"/>
            </x14:iconSet>
          </x14:cfRule>
          <xm:sqref>AB43</xm:sqref>
        </x14:conditionalFormatting>
        <x14:conditionalFormatting xmlns:xm="http://schemas.microsoft.com/office/excel/2006/main">
          <x14:cfRule type="iconSet" priority="16" id="{642B940A-E580-40EA-8035-74B80C04DBB5}">
            <x14:iconSet iconSet="3Symbols2" showValue="0" custom="1">
              <x14:cfvo type="percent">
                <xm:f>0</xm:f>
              </x14:cfvo>
              <x14:cfvo type="num">
                <xm:f>0</xm:f>
              </x14:cfvo>
              <x14:cfvo type="num">
                <xm:f>1</xm:f>
              </x14:cfvo>
              <x14:cfIcon iconSet="3Symbols2" iconId="0"/>
              <x14:cfIcon iconSet="3Symbols2" iconId="1"/>
              <x14:cfIcon iconSet="3Symbols2" iconId="2"/>
            </x14:iconSet>
          </x14:cfRule>
          <xm:sqref>AB46</xm:sqref>
        </x14:conditionalFormatting>
        <x14:conditionalFormatting xmlns:xm="http://schemas.microsoft.com/office/excel/2006/main">
          <x14:cfRule type="iconSet" priority="15" id="{A7B7B3AD-0A72-4FAB-8058-29900D3D2C1D}">
            <x14:iconSet iconSet="3Symbols2" showValue="0" custom="1">
              <x14:cfvo type="percent">
                <xm:f>0</xm:f>
              </x14:cfvo>
              <x14:cfvo type="num">
                <xm:f>0</xm:f>
              </x14:cfvo>
              <x14:cfvo type="num">
                <xm:f>1</xm:f>
              </x14:cfvo>
              <x14:cfIcon iconSet="3Symbols2" iconId="0"/>
              <x14:cfIcon iconSet="3Symbols2" iconId="1"/>
              <x14:cfIcon iconSet="3Symbols2" iconId="2"/>
            </x14:iconSet>
          </x14:cfRule>
          <xm:sqref>AB44</xm:sqref>
        </x14:conditionalFormatting>
        <x14:conditionalFormatting xmlns:xm="http://schemas.microsoft.com/office/excel/2006/main">
          <x14:cfRule type="iconSet" priority="18" id="{FA479FCB-945D-4B4F-9CE2-DF5B3FB065B3}">
            <x14:iconSet iconSet="3Symbols2" showValue="0" custom="1">
              <x14:cfvo type="percent">
                <xm:f>0</xm:f>
              </x14:cfvo>
              <x14:cfvo type="num">
                <xm:f>0</xm:f>
              </x14:cfvo>
              <x14:cfvo type="num">
                <xm:f>1</xm:f>
              </x14:cfvo>
              <x14:cfIcon iconSet="3Symbols2" iconId="0"/>
              <x14:cfIcon iconSet="3Symbols2" iconId="1"/>
              <x14:cfIcon iconSet="3Symbols2" iconId="2"/>
            </x14:iconSet>
          </x14:cfRule>
          <xm:sqref>AB28</xm:sqref>
        </x14:conditionalFormatting>
        <x14:conditionalFormatting xmlns:xm="http://schemas.microsoft.com/office/excel/2006/main">
          <x14:cfRule type="iconSet" priority="28" id="{D7CBE7DE-B896-455E-A61F-98C93AB67D43}">
            <x14:iconSet iconSet="3Symbols2" showValue="0" custom="1">
              <x14:cfvo type="percent">
                <xm:f>0</xm:f>
              </x14:cfvo>
              <x14:cfvo type="num">
                <xm:f>0</xm:f>
              </x14:cfvo>
              <x14:cfvo type="num">
                <xm:f>1</xm:f>
              </x14:cfvo>
              <x14:cfIcon iconSet="3Symbols2" iconId="0"/>
              <x14:cfIcon iconSet="3Symbols2" iconId="1"/>
              <x14:cfIcon iconSet="3Symbols2" iconId="2"/>
            </x14:iconSet>
          </x14:cfRule>
          <xm:sqref>AB15</xm:sqref>
        </x14:conditionalFormatting>
        <x14:conditionalFormatting xmlns:xm="http://schemas.microsoft.com/office/excel/2006/main">
          <x14:cfRule type="iconSet" priority="21" id="{6FD1D208-07A6-4FE9-AEAC-563373431A23}">
            <x14:iconSet iconSet="3Symbols2" showValue="0" custom="1">
              <x14:cfvo type="percent">
                <xm:f>0</xm:f>
              </x14:cfvo>
              <x14:cfvo type="num">
                <xm:f>0.1</xm:f>
              </x14:cfvo>
              <x14:cfvo type="num" gte="0">
                <xm:f>0.1</xm:f>
              </x14:cfvo>
              <x14:cfIcon iconSet="NoIcons" iconId="0"/>
              <x14:cfIcon iconSet="NoIcons" iconId="0"/>
              <x14:cfIcon iconSet="3Symbols2" iconId="0"/>
            </x14:iconSet>
          </x14:cfRule>
          <xm:sqref>AB24</xm:sqref>
        </x14:conditionalFormatting>
        <x14:conditionalFormatting xmlns:xm="http://schemas.microsoft.com/office/excel/2006/main">
          <x14:cfRule type="iconSet" priority="2" id="{80939306-2B01-4E6E-9333-DD13187B40DB}">
            <x14:iconSet iconSet="3Symbols2" showValue="0" custom="1">
              <x14:cfvo type="percent">
                <xm:f>0</xm:f>
              </x14:cfvo>
              <x14:cfvo type="num">
                <xm:f>0</xm:f>
              </x14:cfvo>
              <x14:cfvo type="num">
                <xm:f>1</xm:f>
              </x14:cfvo>
              <x14:cfIcon iconSet="3Symbols2" iconId="0"/>
              <x14:cfIcon iconSet="3Symbols2" iconId="1"/>
              <x14:cfIcon iconSet="3Symbols2" iconId="2"/>
            </x14:iconSet>
          </x14:cfRule>
          <xm:sqref>AB20</xm:sqref>
        </x14:conditionalFormatting>
        <x14:conditionalFormatting xmlns:xm="http://schemas.microsoft.com/office/excel/2006/main">
          <x14:cfRule type="iconSet" priority="1" id="{FF01432C-1A78-453D-BFE8-B725A8DF99C9}">
            <x14:iconSet iconSet="3Symbols2" showValue="0" custom="1">
              <x14:cfvo type="percent">
                <xm:f>0</xm:f>
              </x14:cfvo>
              <x14:cfvo type="num">
                <xm:f>0</xm:f>
              </x14:cfvo>
              <x14:cfvo type="num">
                <xm:f>1</xm:f>
              </x14:cfvo>
              <x14:cfIcon iconSet="3Symbols2" iconId="0"/>
              <x14:cfIcon iconSet="3Symbols2" iconId="1"/>
              <x14:cfIcon iconSet="3Symbols2" iconId="2"/>
            </x14:iconSet>
          </x14:cfRule>
          <xm:sqref>AB21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Demo">
    <tabColor rgb="FFE26B0A"/>
  </sheetPr>
  <dimension ref="A1:Z76"/>
  <sheetViews>
    <sheetView showGridLines="0" zoomScaleNormal="100" workbookViewId="0">
      <pane ySplit="5" topLeftCell="A6" activePane="bottomLeft" state="frozen"/>
      <selection pane="bottomLeft" activeCell="B7" sqref="B7"/>
    </sheetView>
  </sheetViews>
  <sheetFormatPr defaultRowHeight="14.4" x14ac:dyDescent="0.3"/>
  <cols>
    <col min="1" max="1" width="44" customWidth="1"/>
    <col min="2" max="2" width="9.109375" customWidth="1"/>
    <col min="5" max="5" width="11.44140625" customWidth="1"/>
    <col min="6" max="6" width="1.6640625" customWidth="1"/>
    <col min="10" max="10" width="12" customWidth="1"/>
    <col min="11" max="11" width="1.6640625" customWidth="1"/>
    <col min="15" max="15" width="11.44140625" customWidth="1"/>
    <col min="16" max="16" width="1.6640625" customWidth="1"/>
    <col min="18" max="18" width="9.5546875" customWidth="1"/>
    <col min="20" max="20" width="10.6640625" customWidth="1"/>
    <col min="21" max="21" width="1.6640625" customWidth="1"/>
    <col min="26" max="26" width="10.88671875" customWidth="1"/>
  </cols>
  <sheetData>
    <row r="1" spans="1:26" x14ac:dyDescent="0.3">
      <c r="A1" s="138"/>
      <c r="B1" s="138"/>
      <c r="C1" s="138"/>
      <c r="D1" s="138"/>
      <c r="E1" s="138"/>
      <c r="F1" s="138"/>
      <c r="G1" s="138"/>
      <c r="H1" s="138"/>
      <c r="I1" s="138"/>
      <c r="J1" s="138"/>
      <c r="K1" s="138"/>
      <c r="L1" s="138"/>
      <c r="M1" s="138"/>
      <c r="N1" s="138"/>
      <c r="O1" s="138"/>
      <c r="P1" s="138"/>
      <c r="Q1" s="138"/>
      <c r="R1" s="138"/>
      <c r="S1" s="138"/>
      <c r="T1" s="138"/>
      <c r="U1" s="138"/>
      <c r="V1" s="138"/>
      <c r="W1" s="138"/>
      <c r="X1" s="138"/>
      <c r="Y1" s="138"/>
      <c r="Z1" s="138"/>
    </row>
    <row r="2" spans="1:26" ht="42" customHeight="1" x14ac:dyDescent="0.3">
      <c r="A2" s="139" t="s">
        <v>2780</v>
      </c>
      <c r="B2" s="140"/>
      <c r="C2" s="140"/>
      <c r="D2" s="140"/>
      <c r="E2" s="140"/>
      <c r="F2" s="138"/>
      <c r="G2" s="140"/>
      <c r="H2" s="140"/>
      <c r="I2" s="140"/>
      <c r="J2" s="140"/>
      <c r="K2" s="138"/>
      <c r="L2" s="140"/>
      <c r="M2" s="140"/>
      <c r="N2" s="140"/>
      <c r="O2" s="140"/>
      <c r="P2" s="138"/>
      <c r="Q2" s="140"/>
      <c r="R2" s="140"/>
      <c r="S2" s="140"/>
      <c r="T2" s="140"/>
      <c r="U2" s="138"/>
      <c r="V2" s="140"/>
      <c r="W2" s="140"/>
      <c r="X2" s="140"/>
      <c r="Y2" s="140"/>
      <c r="Z2" s="140"/>
    </row>
    <row r="3" spans="1:26" ht="27" customHeight="1" x14ac:dyDescent="0.3">
      <c r="A3" s="1152" t="s">
        <v>2666</v>
      </c>
      <c r="B3" s="1163" t="s">
        <v>2702</v>
      </c>
      <c r="C3" s="1163"/>
      <c r="D3" s="1163"/>
      <c r="E3" s="1164"/>
      <c r="F3" s="142"/>
      <c r="G3" s="1163" t="s">
        <v>2702</v>
      </c>
      <c r="H3" s="1163"/>
      <c r="I3" s="1163"/>
      <c r="J3" s="1164"/>
      <c r="K3" s="142"/>
      <c r="L3" s="1163" t="s">
        <v>2702</v>
      </c>
      <c r="M3" s="1163"/>
      <c r="N3" s="1163"/>
      <c r="O3" s="1164"/>
      <c r="P3" s="142"/>
      <c r="Q3" s="1163" t="s">
        <v>2702</v>
      </c>
      <c r="R3" s="1163"/>
      <c r="S3" s="1163"/>
      <c r="T3" s="1164"/>
      <c r="U3" s="144"/>
      <c r="V3" s="1154" t="s">
        <v>2703</v>
      </c>
      <c r="W3" s="1155"/>
      <c r="X3" s="1155"/>
      <c r="Y3" s="1155"/>
      <c r="Z3" s="1156"/>
    </row>
    <row r="4" spans="1:26" ht="15.75" customHeight="1" x14ac:dyDescent="0.3">
      <c r="A4" s="1153"/>
      <c r="B4" s="1160" t="s">
        <v>2698</v>
      </c>
      <c r="C4" s="1161"/>
      <c r="D4" s="1161"/>
      <c r="E4" s="1162"/>
      <c r="F4" s="142"/>
      <c r="G4" s="1160" t="s">
        <v>2699</v>
      </c>
      <c r="H4" s="1161"/>
      <c r="I4" s="1161"/>
      <c r="J4" s="1162"/>
      <c r="K4" s="142"/>
      <c r="L4" s="1160" t="s">
        <v>2700</v>
      </c>
      <c r="M4" s="1161"/>
      <c r="N4" s="1161"/>
      <c r="O4" s="1162"/>
      <c r="P4" s="142"/>
      <c r="Q4" s="1160" t="s">
        <v>2701</v>
      </c>
      <c r="R4" s="1161"/>
      <c r="S4" s="1161"/>
      <c r="T4" s="1162"/>
      <c r="U4" s="144"/>
      <c r="V4" s="1157"/>
      <c r="W4" s="1158"/>
      <c r="X4" s="1158"/>
      <c r="Y4" s="1158"/>
      <c r="Z4" s="1159"/>
    </row>
    <row r="5" spans="1:26" x14ac:dyDescent="0.3">
      <c r="A5" s="143"/>
      <c r="B5" s="162" t="s">
        <v>2694</v>
      </c>
      <c r="C5" s="183" t="s">
        <v>2695</v>
      </c>
      <c r="D5" s="183" t="s">
        <v>2696</v>
      </c>
      <c r="E5" s="184" t="s">
        <v>2697</v>
      </c>
      <c r="F5" s="142"/>
      <c r="G5" s="169" t="s">
        <v>2694</v>
      </c>
      <c r="H5" s="185" t="s">
        <v>2695</v>
      </c>
      <c r="I5" s="185" t="s">
        <v>2696</v>
      </c>
      <c r="J5" s="186" t="s">
        <v>2697</v>
      </c>
      <c r="K5" s="142"/>
      <c r="L5" s="169" t="s">
        <v>2694</v>
      </c>
      <c r="M5" s="185" t="s">
        <v>2695</v>
      </c>
      <c r="N5" s="187" t="s">
        <v>2696</v>
      </c>
      <c r="O5" s="170" t="s">
        <v>2697</v>
      </c>
      <c r="P5" s="141"/>
      <c r="Q5" s="169" t="s">
        <v>2694</v>
      </c>
      <c r="R5" s="185" t="s">
        <v>2695</v>
      </c>
      <c r="S5" s="187" t="s">
        <v>2696</v>
      </c>
      <c r="T5" s="170" t="s">
        <v>2697</v>
      </c>
      <c r="U5" s="144"/>
      <c r="V5" s="45" t="s">
        <v>2694</v>
      </c>
      <c r="W5" s="188" t="s">
        <v>2695</v>
      </c>
      <c r="X5" s="188" t="s">
        <v>2696</v>
      </c>
      <c r="Y5" s="188" t="s">
        <v>2704</v>
      </c>
      <c r="Z5" s="189" t="s">
        <v>2697</v>
      </c>
    </row>
    <row r="6" spans="1:26" x14ac:dyDescent="0.3">
      <c r="A6" s="202" t="s">
        <v>2667</v>
      </c>
      <c r="B6" s="177"/>
      <c r="C6" s="176"/>
      <c r="D6" s="176"/>
      <c r="E6" s="176"/>
      <c r="F6" s="178"/>
      <c r="G6" s="179"/>
      <c r="H6" s="157"/>
      <c r="I6" s="178"/>
      <c r="J6" s="179"/>
      <c r="K6" s="157"/>
      <c r="L6" s="178"/>
      <c r="M6" s="178"/>
      <c r="N6" s="178"/>
      <c r="O6" s="178"/>
      <c r="P6" s="178"/>
      <c r="Q6" s="178"/>
      <c r="R6" s="178"/>
      <c r="S6" s="179"/>
      <c r="T6" s="157"/>
      <c r="U6" s="181"/>
      <c r="V6" s="161" t="s">
        <v>2705</v>
      </c>
      <c r="W6" s="159"/>
      <c r="X6" s="159"/>
      <c r="Y6" s="159"/>
      <c r="Z6" s="160"/>
    </row>
    <row r="7" spans="1:26" x14ac:dyDescent="0.3">
      <c r="A7" s="203" t="s">
        <v>2530</v>
      </c>
      <c r="B7" s="163">
        <f>COUNTIFS(tblParticipants[ParticipantID],"&lt;&gt;",tblParticipants[ParticipantName],"&lt;&gt;",tblParticipants[EnrollQtr],1,tblParticipants[Gender],1)</f>
        <v>0</v>
      </c>
      <c r="C7" s="164">
        <f>COUNTIFS(tblParticipants[ParticipantID],"&lt;&gt;",tblParticipants[ParticipantName],"&lt;&gt;",tblParticipants[EnrollQtr],1,tblParticipants[ExitQtr],1,tblParticipants[Gender],1)</f>
        <v>0</v>
      </c>
      <c r="D7" s="164">
        <f>COUNTIFS(tblParticipants[ParticipantID],"&lt;&gt;",tblParticipants[ParticipantName],"&lt;&gt;",tblParticipants[EnrollQtr],1,tblParticipants[HrlyWgPlmt],"&gt;0",tblParticipants[EmployQtr],1,tblParticipants[ExitQtr],1,tblParticipants[Gender],1)</f>
        <v>0</v>
      </c>
      <c r="E7" s="165">
        <f>IFERROR(AVERAGEIFS(tblParticipants[HrlyWgPlmt],tblParticipants[ParticipantID],"&lt;&gt;",tblParticipants[ParticipantName],"&lt;&gt;",tblParticipants[EnrollQtr],1,tblParticipants[HrlyWgPlmt],"&gt;0",tblParticipants[EmployQtr],1,tblParticipants[ExitQtr],1,tblParticipants[Gender],1),0)</f>
        <v>0</v>
      </c>
      <c r="G7" s="163">
        <f>COUNTIFS(tblParticipants[ParticipantID],"&lt;&gt;",tblParticipants[ParticipantName],"&lt;&gt;",tblParticipants[EnrollQtr],2,tblParticipants[Gender],1)</f>
        <v>0</v>
      </c>
      <c r="H7" s="164">
        <f>COUNTIFS(tblParticipants[ParticipantID],"&lt;&gt;",tblParticipants[ParticipantName],"&lt;&gt;",tblParticipants[EnrollQtr],"&gt;=1",tblParticipants[EnrollQtr],"&lt;=2",tblParticipants[ExitQtr],2,tblParticipants[Gender],1)</f>
        <v>0</v>
      </c>
      <c r="I7" s="164">
        <f>COUNTIFS(tblParticipants[ParticipantID],"&lt;&gt;",tblParticipants[ParticipantName],"&lt;&gt;",tblParticipants[EnrollQtr],"&gt;=1",tblParticipants[EnrollQtr],"&lt;=2",tblParticipants[HrlyWgPlmt],"&gt;0",tblParticipants[EmployQtr],2,tblParticipants[ExitQtr],2,tblParticipants[Gender],1)</f>
        <v>0</v>
      </c>
      <c r="J7" s="165">
        <f>IFERROR(AVERAGEIFS(tblParticipants[HrlyWgPlmt],tblParticipants[ParticipantID],"&lt;&gt;",tblParticipants[ParticipantName],"&lt;&gt;",tblParticipants[EnrollQtr],"&gt;=1",tblParticipants[EnrollQtr],"&lt;=2",tblParticipants[HrlyWgPlmt],"&gt;0",tblParticipants[EmployQtr],2,tblParticipants[ExitQtr],2,tblParticipants[Gender],1),0)</f>
        <v>0</v>
      </c>
      <c r="L7" s="163">
        <f>COUNTIFS(tblParticipants[ParticipantID],"&lt;&gt;",tblParticipants[ParticipantName],"&lt;&gt;",tblParticipants[EnrollQtr],3,tblParticipants[Gender],1)</f>
        <v>0</v>
      </c>
      <c r="M7" s="173">
        <f>COUNTIFS(tblParticipants[ParticipantID],"&lt;&gt;",tblParticipants[ParticipantName],"&lt;&gt;",tblParticipants[EnrollQtr],"&gt;=1",tblParticipants[EnrollQtr],"&lt;=3",tblParticipants[ExitQtr],3,tblParticipants[Gender],1)</f>
        <v>0</v>
      </c>
      <c r="N7" s="173">
        <f>COUNTIFS(tblParticipants[ParticipantID],"&lt;&gt;",tblParticipants[ParticipantName],"&lt;&gt;",tblParticipants[EnrollQtr],"&gt;=1",tblParticipants[EnrollQtr],"&lt;=3",tblParticipants[HrlyWgPlmt],"&gt;0",tblParticipants[EmployQtr],3,tblParticipants[ExitQtr],3,tblParticipants[Gender],1)</f>
        <v>0</v>
      </c>
      <c r="O7" s="192">
        <f>IFERROR(AVERAGEIFS(tblParticipants[HrlyWgPlmt],tblParticipants[ParticipantID],"&lt;&gt;",tblParticipants[ParticipantName],"&lt;&gt;",tblParticipants[EnrollQtr],"&gt;=1",tblParticipants[EnrollQtr],"&lt;=3",tblParticipants[HrlyWgPlmt],"&gt;0",tblParticipants[EmployQtr],3,tblParticipants[ExitQtr],3,tblParticipants[Gender],1),0)</f>
        <v>0</v>
      </c>
      <c r="Q7" s="163">
        <f>COUNTIFS(tblParticipants[ParticipantID],"&lt;&gt;",tblParticipants[ParticipantName],"&lt;&gt;",tblParticipants[EnrollQtr],4,tblParticipants[Gender],1)</f>
        <v>0</v>
      </c>
      <c r="R7" s="164">
        <f>COUNTIFS(tblParticipants[ParticipantID],"&lt;&gt;",tblParticipants[ParticipantName],"&lt;&gt;",tblParticipants[EnrollQtr],"&gt;=1",tblParticipants[EnrollQtr],"&lt;=4",tblParticipants[ExitQtr],4,tblParticipants[Gender],1)</f>
        <v>0</v>
      </c>
      <c r="S7" s="164">
        <f>COUNTIFS(tblParticipants[ParticipantID],"&lt;&gt;",tblParticipants[ParticipantName],"&lt;&gt;",tblParticipants[EnrollQtr],"&gt;=1",tblParticipants[EnrollQtr],"&lt;=4",tblParticipants[HrlyWgPlmt],"&gt;0",tblParticipants[EmployQtr],4,tblParticipants[ExitQtr],4,tblParticipants[Gender],1)</f>
        <v>0</v>
      </c>
      <c r="T7" s="165">
        <f>IFERROR(AVERAGEIFS(tblParticipants[HrlyWgPlmt],tblParticipants[ParticipantID],"&lt;&gt;",tblParticipants[ParticipantName],"&lt;&gt;",tblParticipants[EnrollQtr],"&gt;=1",tblParticipants[EnrollQtr],"&lt;=4",tblParticipants[HrlyWgPlmt],"&gt;0",tblParticipants[EmployQtr],4,tblParticipants[ExitQtr],4,tblParticipants[Gender],1),0)</f>
        <v>0</v>
      </c>
      <c r="V7" s="146">
        <f>$B7+$G7+$L7+$Q7</f>
        <v>0</v>
      </c>
      <c r="W7" s="148">
        <f>$C7+$H7+$M7+$R7</f>
        <v>0</v>
      </c>
      <c r="X7" s="148">
        <f>$D7+$I7+$N7+$S7</f>
        <v>0</v>
      </c>
      <c r="Y7" s="150">
        <f>IF($W7=0,0,$X7/$W7)</f>
        <v>0</v>
      </c>
      <c r="Z7" s="190">
        <f>IF($X7=0,0,(($D7*$E7)+($I7*$J7)+($N7*$O7)+($S7*$T7))/$X7)</f>
        <v>0</v>
      </c>
    </row>
    <row r="8" spans="1:26" x14ac:dyDescent="0.3">
      <c r="A8" s="203" t="s">
        <v>2531</v>
      </c>
      <c r="B8" s="166">
        <f>COUNTIFS(tblParticipants[ParticipantID],"&lt;&gt;",tblParticipants[ParticipantName],"&lt;&gt;",tblParticipants[EnrollQtr],1,tblParticipants[Gender],2)</f>
        <v>0</v>
      </c>
      <c r="C8" s="167">
        <f>COUNTIFS(tblParticipants[ParticipantID],"&lt;&gt;",tblParticipants[ParticipantName],"&lt;&gt;",tblParticipants[EnrollQtr],1,tblParticipants[ExitQtr],1,tblParticipants[Gender],2)</f>
        <v>0</v>
      </c>
      <c r="D8" s="167">
        <f>COUNTIFS(tblParticipants[ParticipantID],"&lt;&gt;",tblParticipants[ParticipantName],"&lt;&gt;",tblParticipants[EnrollQtr],1,tblParticipants[HrlyWgPlmt],"&gt;0",tblParticipants[EmployQtr],1,tblParticipants[ExitQtr],1,tblParticipants[Gender],2)</f>
        <v>0</v>
      </c>
      <c r="E8" s="168">
        <f>IFERROR(AVERAGEIFS(tblParticipants[HrlyWgPlmt],tblParticipants[ParticipantID],"&lt;&gt;",tblParticipants[ParticipantName],"&lt;&gt;",tblParticipants[EnrollQtr],1,tblParticipants[HrlyWgPlmt],"&gt;0",tblParticipants[EmployQtr],1,tblParticipants[ExitQtr],1,tblParticipants[Gender],2),0)</f>
        <v>0</v>
      </c>
      <c r="G8" s="166">
        <f>COUNTIFS(tblParticipants[ParticipantID],"&lt;&gt;",tblParticipants[ParticipantName],"&lt;&gt;",tblParticipants[EnrollQtr],2,tblParticipants[Gender],2)</f>
        <v>0</v>
      </c>
      <c r="H8" s="167">
        <f>COUNTIFS(tblParticipants[ParticipantID],"&lt;&gt;",tblParticipants[ParticipantName],"&lt;&gt;",tblParticipants[EnrollQtr],"&gt;=1",tblParticipants[EnrollQtr],"&lt;=2",tblParticipants[ExitQtr],2,tblParticipants[Gender],2)</f>
        <v>0</v>
      </c>
      <c r="I8" s="167">
        <f>COUNTIFS(tblParticipants[ParticipantID],"&lt;&gt;",tblParticipants[ParticipantName],"&lt;&gt;",tblParticipants[EnrollQtr],"&gt;=1",tblParticipants[EnrollQtr],"&lt;=2",tblParticipants[HrlyWgPlmt],"&gt;0",tblParticipants[EmployQtr],2,tblParticipants[ExitQtr],2,tblParticipants[Gender],2)</f>
        <v>0</v>
      </c>
      <c r="J8" s="168">
        <f>IFERROR(AVERAGEIFS(tblParticipants[HrlyWgPlmt],tblParticipants[ParticipantID],"&lt;&gt;",tblParticipants[ParticipantName],"&lt;&gt;",tblParticipants[EnrollQtr],"&gt;=1",tblParticipants[EnrollQtr],"&lt;=2",tblParticipants[HrlyWgPlmt],"&gt;0",tblParticipants[EmployQtr],2,tblParticipants[ExitQtr],2,tblParticipants[Gender],2),0)</f>
        <v>0</v>
      </c>
      <c r="L8" s="166">
        <f>COUNTIFS(tblParticipants[ParticipantID],"&lt;&gt;",tblParticipants[ParticipantName],"&lt;&gt;",tblParticipants[EnrollQtr],3,tblParticipants[Gender],2)</f>
        <v>0</v>
      </c>
      <c r="M8" s="167">
        <f>COUNTIFS(tblParticipants[ParticipantID],"&lt;&gt;",tblParticipants[ParticipantName],"&lt;&gt;",tblParticipants[EnrollQtr],"&gt;=1",tblParticipants[EnrollQtr],"&lt;=3",tblParticipants[ExitQtr],3,tblParticipants[Gender],2)</f>
        <v>0</v>
      </c>
      <c r="N8" s="167">
        <f>COUNTIFS(tblParticipants[ParticipantID],"&lt;&gt;",tblParticipants[ParticipantName],"&lt;&gt;",tblParticipants[EnrollQtr],"&gt;=1",tblParticipants[EnrollQtr],"&lt;=3",tblParticipants[HrlyWgPlmt],"&gt;0",tblParticipants[EmployQtr],3,tblParticipants[ExitQtr],3,tblParticipants[Gender],2)</f>
        <v>0</v>
      </c>
      <c r="O8" s="197">
        <f>IFERROR(AVERAGEIFS(tblParticipants[HrlyWgPlmt],tblParticipants[ParticipantID],"&lt;&gt;",tblParticipants[ParticipantName],"&lt;&gt;",tblParticipants[EnrollQtr],"&gt;=1",tblParticipants[EnrollQtr],"&lt;=3",tblParticipants[HrlyWgPlmt],"&gt;0",tblParticipants[EmployQtr],3,tblParticipants[ExitQtr],3,tblParticipants[Gender],2),0)</f>
        <v>0</v>
      </c>
      <c r="Q8" s="166">
        <f>COUNTIFS(tblParticipants[ParticipantID],"&lt;&gt;",tblParticipants[ParticipantName],"&lt;&gt;",tblParticipants[EnrollQtr],4,tblParticipants[Gender],2)</f>
        <v>0</v>
      </c>
      <c r="R8" s="167">
        <f>COUNTIFS(tblParticipants[ParticipantID],"&lt;&gt;",tblParticipants[ParticipantName],"&lt;&gt;",tblParticipants[EnrollQtr],"&gt;=1",tblParticipants[EnrollQtr],"&lt;=4",tblParticipants[ExitQtr],4,tblParticipants[Gender],2)</f>
        <v>0</v>
      </c>
      <c r="S8" s="167">
        <f>COUNTIFS(tblParticipants[ParticipantID],"&lt;&gt;",tblParticipants[ParticipantName],"&lt;&gt;",tblParticipants[EnrollQtr],"&gt;=1",tblParticipants[EnrollQtr],"&lt;=4",tblParticipants[HrlyWgPlmt],"&gt;0",tblParticipants[EmployQtr],4,tblParticipants[ExitQtr],4,tblParticipants[Gender],2)</f>
        <v>0</v>
      </c>
      <c r="T8" s="168">
        <f>IFERROR(AVERAGEIFS(tblParticipants[HrlyWgPlmt],tblParticipants[ParticipantID],"&lt;&gt;",tblParticipants[ParticipantName],"&lt;&gt;",tblParticipants[EnrollQtr],"&gt;=1",tblParticipants[EnrollQtr],"&lt;=4",tblParticipants[HrlyWgPlmt],"&gt;0",tblParticipants[EmployQtr],4,tblParticipants[ExitQtr],4,tblParticipants[Gender],2),0)</f>
        <v>0</v>
      </c>
      <c r="V8" s="147">
        <f>$B8+$G8+$L8+$Q8</f>
        <v>0</v>
      </c>
      <c r="W8" s="149">
        <f>$C8+$H8+$M8+$R8</f>
        <v>0</v>
      </c>
      <c r="X8" s="149">
        <f>$D8+$I8+$N8+$S8</f>
        <v>0</v>
      </c>
      <c r="Y8" s="151">
        <f>IF($W8=0,0,$X8/$W8)</f>
        <v>0</v>
      </c>
      <c r="Z8" s="191">
        <f>IF($X8=0,0,(($D8*$E8)+($I8*$J8)+($N8*$O8)+($S8*$T8))/$X8)</f>
        <v>0</v>
      </c>
    </row>
    <row r="9" spans="1:26" x14ac:dyDescent="0.3">
      <c r="A9" s="204" t="s">
        <v>2668</v>
      </c>
      <c r="N9" s="46"/>
      <c r="V9" s="48"/>
      <c r="W9" s="46"/>
      <c r="X9" s="46"/>
      <c r="Y9" s="46"/>
      <c r="Z9" s="47"/>
    </row>
    <row r="10" spans="1:26" x14ac:dyDescent="0.3">
      <c r="A10" s="205" t="s">
        <v>2669</v>
      </c>
      <c r="B10" s="178"/>
      <c r="C10" s="178"/>
      <c r="D10" s="178"/>
      <c r="E10" s="179"/>
      <c r="F10" s="157"/>
      <c r="G10" s="178"/>
      <c r="H10" s="178"/>
      <c r="I10" s="178"/>
      <c r="J10" s="179"/>
      <c r="K10" s="157"/>
      <c r="L10" s="179"/>
      <c r="M10" s="157"/>
      <c r="N10" s="178"/>
      <c r="O10" s="179"/>
      <c r="P10" s="157"/>
      <c r="Q10" s="178"/>
      <c r="R10" s="178"/>
      <c r="S10" s="178"/>
      <c r="T10" s="178"/>
      <c r="U10" s="181"/>
      <c r="V10" s="158"/>
      <c r="W10" s="178"/>
      <c r="X10" s="179"/>
      <c r="Y10" s="159"/>
      <c r="Z10" s="181"/>
    </row>
    <row r="11" spans="1:26" x14ac:dyDescent="0.3">
      <c r="A11" s="203" t="s">
        <v>2536</v>
      </c>
      <c r="B11" s="163">
        <f>COUNTIFS(tblParticipants[ParticipantID],"&lt;&gt;",tblParticipants[ParticipantName],"&lt;&gt;",tblParticipants[EnrollQtr],1,tblParticipants[Ethnicity],1)</f>
        <v>0</v>
      </c>
      <c r="C11" s="164">
        <f>COUNTIFS(tblParticipants[ParticipantID],"&lt;&gt;",tblParticipants[ParticipantName],"&lt;&gt;",tblParticipants[EnrollQtr],1,tblParticipants[ExitQtr],1,tblParticipants[Ethnicity],1)</f>
        <v>0</v>
      </c>
      <c r="D11" s="164">
        <f>COUNTIFS(tblParticipants[ParticipantID],"&lt;&gt;",tblParticipants[ParticipantName],"&lt;&gt;",tblParticipants[EnrollQtr],1,tblParticipants[HrlyWgPlmt],"&gt;0",tblParticipants[EmployQtr],1,tblParticipants[ExitQtr],1,tblParticipants[Ethnicity],1)</f>
        <v>0</v>
      </c>
      <c r="E11" s="165">
        <f>IFERROR(AVERAGEIFS(tblParticipants[HrlyWgPlmt],tblParticipants[ParticipantID],"&lt;&gt;",tblParticipants[ParticipantName],"&lt;&gt;",tblParticipants[EnrollQtr],1,tblParticipants[HrlyWgPlmt],"&gt;0",tblParticipants[EmployQtr],1,tblParticipants[ExitQtr],1,tblParticipants[Ethnicity],1),0)</f>
        <v>0</v>
      </c>
      <c r="G11" s="163">
        <f>COUNTIFS(tblParticipants[ParticipantID],"&lt;&gt;",tblParticipants[ParticipantName],"&lt;&gt;",tblParticipants[EnrollQtr],2,tblParticipants[Ethnicity],1)</f>
        <v>0</v>
      </c>
      <c r="H11" s="164">
        <f>COUNTIFS(tblParticipants[ParticipantID],"&lt;&gt;",tblParticipants[ParticipantName],"&lt;&gt;",tblParticipants[EnrollQtr],"&gt;=1",tblParticipants[EnrollQtr],"&lt;=2",tblParticipants[ExitQtr],2,tblParticipants[Ethnicity],1)</f>
        <v>0</v>
      </c>
      <c r="I11" s="164">
        <f>COUNTIFS(tblParticipants[ParticipantID],"&lt;&gt;",tblParticipants[ParticipantName],"&lt;&gt;",tblParticipants[EnrollQtr],"&gt;=1",tblParticipants[EnrollQtr],"&lt;=2",tblParticipants[HrlyWgPlmt],"&gt;0",tblParticipants[EmployQtr],2,tblParticipants[ExitQtr],2,tblParticipants[Ethnicity],1)</f>
        <v>0</v>
      </c>
      <c r="J11" s="165">
        <f>IFERROR(AVERAGEIFS(tblParticipants[HrlyWgPlmt],tblParticipants[ParticipantID],"&lt;&gt;",tblParticipants[ParticipantName],"&lt;&gt;",tblParticipants[EnrollQtr],"&gt;=1",tblParticipants[EnrollQtr],"&lt;=2",tblParticipants[HrlyWgPlmt],"&gt;0",tblParticipants[EmployQtr],2,tblParticipants[ExitQtr],2,tblParticipants[Ethnicity],1),0)</f>
        <v>0</v>
      </c>
      <c r="L11" s="163">
        <f>COUNTIFS(tblParticipants[ParticipantID],"&lt;&gt;",tblParticipants[ParticipantName],"&lt;&gt;",tblParticipants[EnrollQtr],3,tblParticipants[Ethnicity],1)</f>
        <v>0</v>
      </c>
      <c r="M11" s="164">
        <f>COUNTIFS(tblParticipants[ParticipantID],"&lt;&gt;",tblParticipants[ParticipantName],"&lt;&gt;",tblParticipants[EnrollQtr],"&gt;=1",tblParticipants[EnrollQtr],"&lt;=3",tblParticipants[ExitQtr],3,tblParticipants[Ethnicity],1)</f>
        <v>0</v>
      </c>
      <c r="N11" s="171">
        <f>COUNTIFS(tblParticipants[ParticipantID],"&lt;&gt;",tblParticipants[ParticipantName],"&lt;&gt;",tblParticipants[EnrollQtr],"&gt;=1",tblParticipants[EnrollQtr],"&lt;=3",tblParticipants[HrlyWgPlmt],"&gt;0",tblParticipants[EmployQtr],3,tblParticipants[ExitQtr],3,tblParticipants[Ethnicity],1)</f>
        <v>0</v>
      </c>
      <c r="O11" s="192">
        <f>IFERROR(AVERAGEIFS(tblParticipants[HrlyWgPlmt],tblParticipants[ParticipantID],"&lt;&gt;",tblParticipants[ParticipantName],"&lt;&gt;",tblParticipants[EnrollQtr],"&gt;=1",tblParticipants[EnrollQtr],"&lt;=3",tblParticipants[HrlyWgPlmt],"&gt;0",tblParticipants[EmployQtr],3,tblParticipants[ExitQtr],3,tblParticipants[Ethnicity],1),0)</f>
        <v>0</v>
      </c>
      <c r="Q11" s="163">
        <f>COUNTIFS(tblParticipants[ParticipantID],"&lt;&gt;",tblParticipants[ParticipantName],"&lt;&gt;",tblParticipants[EnrollQtr],4,tblParticipants[Ethnicity],1)</f>
        <v>0</v>
      </c>
      <c r="R11" s="164">
        <f>COUNTIFS(tblParticipants[ParticipantID],"&lt;&gt;",tblParticipants[ParticipantName],"&lt;&gt;",tblParticipants[EnrollQtr],"&gt;=1",tblParticipants[EnrollQtr],"&lt;=4",tblParticipants[ExitQtr],4,tblParticipants[Ethnicity],1)</f>
        <v>0</v>
      </c>
      <c r="S11" s="164">
        <f>COUNTIFS(tblParticipants[ParticipantID],"&lt;&gt;",tblParticipants[ParticipantName],"&lt;&gt;",tblParticipants[EnrollQtr],"&gt;=1",tblParticipants[EnrollQtr],"&lt;=4",tblParticipants[HrlyWgPlmt],"&gt;0",tblParticipants[EmployQtr],4,tblParticipants[ExitQtr],4,tblParticipants[Ethnicity],1)</f>
        <v>0</v>
      </c>
      <c r="T11" s="165">
        <f>IFERROR(AVERAGEIFS(tblParticipants[HrlyWgPlmt],tblParticipants[ParticipantID],"&lt;&gt;",tblParticipants[ParticipantName],"&lt;&gt;",tblParticipants[EnrollQtr],"&gt;=1",tblParticipants[EnrollQtr],"&lt;=4",tblParticipants[HrlyWgPlmt],"&gt;0",tblParticipants[EmployQtr],4,tblParticipants[ExitQtr],4,tblParticipants[Ethnicity],1),0)</f>
        <v>0</v>
      </c>
      <c r="V11" s="146">
        <f>$B11+$G11+$L11+$Q11</f>
        <v>0</v>
      </c>
      <c r="W11" s="148">
        <f>$C11+$H11+$M11+$R11</f>
        <v>0</v>
      </c>
      <c r="X11" s="148">
        <f>$D11+$I11+$N11+$S11</f>
        <v>0</v>
      </c>
      <c r="Y11" s="150">
        <f>IF($W11=0,0,$X11/$W11)</f>
        <v>0</v>
      </c>
      <c r="Z11" s="190">
        <f>IF($X11=0,0,(($D11*$E11)+($I11*$J11)+($N11*$O11)+($S11*$T11))/$X11)</f>
        <v>0</v>
      </c>
    </row>
    <row r="12" spans="1:26" x14ac:dyDescent="0.3">
      <c r="A12" s="203" t="s">
        <v>2537</v>
      </c>
      <c r="B12" s="166">
        <f>COUNTIFS(tblParticipants[ParticipantID],"&lt;&gt;",tblParticipants[ParticipantName],"&lt;&gt;",tblParticipants[EnrollQtr],1,tblParticipants[Ethnicity],"&lt;&gt;1")</f>
        <v>0</v>
      </c>
      <c r="C12" s="167">
        <f>COUNTIFS(tblParticipants[ParticipantID],"&lt;&gt;",tblParticipants[ParticipantName],"&lt;&gt;",tblParticipants[EnrollQtr],1,tblParticipants[ExitQtr],1,tblParticipants[Ethnicity],"&lt;&gt;1")</f>
        <v>0</v>
      </c>
      <c r="D12" s="167">
        <f>COUNTIFS(tblParticipants[ParticipantID],"&lt;&gt;",tblParticipants[ParticipantName],"&lt;&gt;",tblParticipants[EnrollQtr],1,tblParticipants[HrlyWgPlmt],"&gt;0",tblParticipants[EmployQtr],1,tblParticipants[ExitQtr],1,tblParticipants[Ethnicity],"&lt;&gt;1")</f>
        <v>0</v>
      </c>
      <c r="E12" s="168">
        <f>IFERROR(AVERAGEIFS(tblParticipants[HrlyWgPlmt],tblParticipants[ParticipantID],"&lt;&gt;",tblParticipants[ParticipantName],"&lt;&gt;",tblParticipants[EnrollQtr],1,tblParticipants[HrlyWgPlmt],"&gt;0",tblParticipants[EmployQtr],1,tblParticipants[ExitQtr],1,tblParticipants[Ethnicity],"&lt;&gt;1"),0)</f>
        <v>0</v>
      </c>
      <c r="G12" s="166">
        <f>COUNTIFS(tblParticipants[ParticipantID],"&lt;&gt;",tblParticipants[ParticipantName],"&lt;&gt;",tblParticipants[EnrollQtr],2,tblParticipants[Ethnicity],"&lt;&gt;1")</f>
        <v>0</v>
      </c>
      <c r="H12" s="167">
        <f>COUNTIFS(tblParticipants[ParticipantID],"&lt;&gt;",tblParticipants[ParticipantName],"&lt;&gt;",tblParticipants[EnrollQtr],"&gt;=1",tblParticipants[EnrollQtr],"&lt;=2",tblParticipants[ExitQtr],2,tblParticipants[Ethnicity],"&lt;&gt;1")</f>
        <v>0</v>
      </c>
      <c r="I12" s="167">
        <f>COUNTIFS(tblParticipants[ParticipantID],"&lt;&gt;",tblParticipants[ParticipantName],"&lt;&gt;",tblParticipants[EnrollQtr],"&gt;=1",tblParticipants[EnrollQtr],"&lt;=2",tblParticipants[HrlyWgPlmt],"&gt;0",tblParticipants[EmployQtr],2,tblParticipants[ExitQtr],2,tblParticipants[Ethnicity],"&lt;&gt;1")</f>
        <v>0</v>
      </c>
      <c r="J12" s="168">
        <f>IFERROR(AVERAGEIFS(tblParticipants[HrlyWgPlmt],tblParticipants[ParticipantID],"&lt;&gt;",tblParticipants[ParticipantName],"&lt;&gt;",tblParticipants[EnrollQtr],"&gt;=1",tblParticipants[EnrollQtr],"&lt;=4",tblParticipants[HrlyWgPlmt],"&gt;0",tblParticipants[EmployQtr],2,tblParticipants[ExitQtr],2,tblParticipants[Ethnicity],"&lt;&gt;1"),0)</f>
        <v>0</v>
      </c>
      <c r="L12" s="166">
        <f>COUNTIFS(tblParticipants[ParticipantID],"&lt;&gt;",tblParticipants[ParticipantName],"&lt;&gt;",tblParticipants[EnrollQtr],3,tblParticipants[Ethnicity],"&lt;&gt;1")</f>
        <v>0</v>
      </c>
      <c r="M12" s="172">
        <f>COUNTIFS(tblParticipants[ParticipantID],"&lt;&gt;",tblParticipants[ParticipantName],"&lt;&gt;",tblParticipants[EnrollQtr],"&gt;=1",tblParticipants[EnrollQtr],"&lt;=3",tblParticipants[ExitQtr],3,tblParticipants[Ethnicity],"&lt;&gt;1")</f>
        <v>0</v>
      </c>
      <c r="N12" s="196">
        <f>COUNTIFS(tblParticipants[ParticipantID],"&lt;&gt;",tblParticipants[ParticipantName],"&lt;&gt;",tblParticipants[EnrollQtr],"&gt;=1",tblParticipants[EnrollQtr],"&lt;=3",tblParticipants[HrlyWgPlmt],"&gt;0",tblParticipants[EmployQtr],3,tblParticipants[ExitQtr],3,tblParticipants[Ethnicity],"&lt;&gt;1")</f>
        <v>0</v>
      </c>
      <c r="O12" s="193">
        <f>IFERROR(AVERAGEIFS(tblParticipants[HrlyWgPlmt],tblParticipants[ParticipantID],"&lt;&gt;",tblParticipants[ParticipantName],"&lt;&gt;",tblParticipants[EnrollQtr],"&gt;=1",tblParticipants[EnrollQtr],"&lt;=3",tblParticipants[HrlyWgPlmt],"&gt;0",tblParticipants[EmployQtr],3,tblParticipants[ExitQtr],3,tblParticipants[Ethnicity],"&lt;&gt;1"),0)</f>
        <v>0</v>
      </c>
      <c r="P12" s="46"/>
      <c r="Q12" s="166">
        <f>COUNTIFS(tblParticipants[ParticipantID],"&lt;&gt;",tblParticipants[ParticipantName],"&lt;&gt;",tblParticipants[EnrollQtr],4,tblParticipants[Ethnicity],"&lt;&gt;1")</f>
        <v>0</v>
      </c>
      <c r="R12" s="167">
        <f>COUNTIFS(tblParticipants[ParticipantID],"&lt;&gt;",tblParticipants[ParticipantName],"&lt;&gt;",tblParticipants[EnrollQtr],"&gt;=1",tblParticipants[EnrollQtr],"&lt;=4",tblParticipants[ExitQtr],4,tblParticipants[Ethnicity],"&lt;&gt;1")</f>
        <v>0</v>
      </c>
      <c r="S12" s="167">
        <f>COUNTIFS(tblParticipants[ParticipantID],"&lt;&gt;",tblParticipants[ParticipantName],"&lt;&gt;",tblParticipants[EnrollQtr],"&gt;=1",tblParticipants[EnrollQtr],"&lt;=4",tblParticipants[HrlyWgPlmt],"&gt;0",tblParticipants[EmployQtr],4,tblParticipants[ExitQtr],4,tblParticipants[Ethnicity],"&lt;&gt;1")</f>
        <v>0</v>
      </c>
      <c r="T12" s="168">
        <f>IFERROR(AVERAGEIFS(tblParticipants[HrlyWgPlmt],tblParticipants[ParticipantID],"&lt;&gt;",tblParticipants[ParticipantName],"&lt;&gt;",tblParticipants[EnrollQtr],"&gt;=1",tblParticipants[EnrollQtr],"&lt;=4",tblParticipants[HrlyWgPlmt],"&gt;0",tblParticipants[EmployQtr],4,tblParticipants[ExitQtr],4,tblParticipants[Ethnicity],"&lt;&gt;1"),0)</f>
        <v>0</v>
      </c>
      <c r="V12" s="146">
        <f>$B12+$G12+$L12+$Q12</f>
        <v>0</v>
      </c>
      <c r="W12" s="148">
        <f>$C12+$H12+$M12+$R12</f>
        <v>0</v>
      </c>
      <c r="X12" s="148">
        <f>$D12+$I12+$N12+$S12</f>
        <v>0</v>
      </c>
      <c r="Y12" s="150">
        <f>IF($W12=0,0,$X12/$W12)</f>
        <v>0</v>
      </c>
      <c r="Z12" s="190">
        <f>IF($X12=0,0,(($D12*$E12)+($I12*$J12)+($N12*$O12)+($S12*$T12))/$X12)</f>
        <v>0</v>
      </c>
    </row>
    <row r="13" spans="1:26" x14ac:dyDescent="0.3">
      <c r="A13" s="206" t="s">
        <v>2668</v>
      </c>
      <c r="D13" s="8"/>
      <c r="I13" s="8"/>
      <c r="N13" s="50"/>
      <c r="O13" s="50"/>
      <c r="V13" s="48"/>
      <c r="W13" s="46"/>
      <c r="X13" s="46"/>
      <c r="Y13" s="46"/>
      <c r="Z13" s="47"/>
    </row>
    <row r="14" spans="1:26" ht="25.8" x14ac:dyDescent="0.3">
      <c r="A14" s="207" t="s">
        <v>2799</v>
      </c>
      <c r="B14" s="179"/>
      <c r="C14" s="179"/>
      <c r="D14" s="179"/>
      <c r="E14" s="179"/>
      <c r="F14" s="157"/>
      <c r="G14" s="178"/>
      <c r="H14" s="178"/>
      <c r="I14" s="178"/>
      <c r="J14" s="178"/>
      <c r="K14" s="178"/>
      <c r="L14" s="178"/>
      <c r="M14" s="178"/>
      <c r="N14" s="179"/>
      <c r="O14" s="157"/>
      <c r="P14" s="178"/>
      <c r="Q14" s="178"/>
      <c r="R14" s="178"/>
      <c r="S14" s="178"/>
      <c r="T14" s="178"/>
      <c r="U14" s="181"/>
      <c r="V14" s="158"/>
      <c r="W14" s="178"/>
      <c r="X14" s="178"/>
      <c r="Y14" s="178"/>
      <c r="Z14" s="181"/>
    </row>
    <row r="15" spans="1:26" x14ac:dyDescent="0.3">
      <c r="A15" s="203" t="s">
        <v>2670</v>
      </c>
      <c r="B15" s="163">
        <f>COUNTIFS(tblParticipants[ParticipantID],"&lt;&gt;",tblParticipants[ParticipantName],"&lt;&gt;",tblParticipants[EnrollQtr],1,tblParticipants[AmIndOrAkNtv],1)</f>
        <v>0</v>
      </c>
      <c r="C15" s="164">
        <f>COUNTIFS(tblParticipants[ParticipantID],"&lt;&gt;",tblParticipants[ParticipantName],"&lt;&gt;",tblParticipants[EnrollQtr],1,tblParticipants[ExitQtr],1,tblParticipants[AmIndOrAkNtv],1)</f>
        <v>0</v>
      </c>
      <c r="D15" s="164">
        <f>COUNTIFS(tblParticipants[ParticipantID],"&lt;&gt;",tblParticipants[ParticipantName],"&lt;&gt;",tblParticipants[EnrollQtr],1,tblParticipants[HrlyWgPlmt],"&gt;0",tblParticipants[EmployQtr],1,tblParticipants[ExitQtr],1,tblParticipants[AmIndOrAkNtv],1)</f>
        <v>0</v>
      </c>
      <c r="E15" s="192">
        <f>IFERROR(AVERAGEIFS(tblParticipants[HrlyWgPlmt],tblParticipants[ParticipantID],"&lt;&gt;",tblParticipants[ParticipantName],"&lt;&gt;",tblParticipants[EnrollQtr],1,tblParticipants[HrlyWgPlmt],"&gt;0",tblParticipants[EmployQtr],1,tblParticipants[ExitQtr],1,tblParticipants[AmIndOrAkNtv],1),0)</f>
        <v>0</v>
      </c>
      <c r="G15" s="163">
        <f>COUNTIFS(tblParticipants[ParticipantID],"&lt;&gt;",tblParticipants[ParticipantName],"&lt;&gt;",tblParticipants[EnrollQtr],2,tblParticipants[AmIndOrAkNtv],1)</f>
        <v>0</v>
      </c>
      <c r="H15" s="164">
        <f>COUNTIFS(tblParticipants[ParticipantID],"&lt;&gt;",tblParticipants[ParticipantName],"&lt;&gt;",tblParticipants[EnrollQtr],"&gt;=1",tblParticipants[EnrollQtr],"&lt;=2",tblParticipants[ExitQtr],2,tblParticipants[AmIndOrAkNtv],1)</f>
        <v>0</v>
      </c>
      <c r="I15" s="164">
        <f>COUNTIFS(tblParticipants[ParticipantID],"&lt;&gt;",tblParticipants[ParticipantName],"&lt;&gt;",tblParticipants[EnrollQtr],"&gt;=1",tblParticipants[EnrollQtr],"&lt;=2",tblParticipants[HrlyWgPlmt],"&gt;0",tblParticipants[EmployQtr],2,tblParticipants[ExitQtr],2,tblParticipants[AmIndOrAkNtv],1)</f>
        <v>0</v>
      </c>
      <c r="J15" s="165">
        <f>IFERROR(AVERAGEIFS(tblParticipants[HrlyWgPlmt],tblParticipants[ParticipantID],"&lt;&gt;",tblParticipants[ParticipantName],"&lt;&gt;",tblParticipants[EnrollQtr],"&gt;=1",tblParticipants[EnrollQtr],"&lt;=2",tblParticipants[HrlyWgPlmt],"&gt;0",tblParticipants[EmployQtr],2,tblParticipants[ExitQtr],2,tblParticipants[AmIndOrAkNtv],1),0)</f>
        <v>0</v>
      </c>
      <c r="L15" s="163">
        <f>COUNTIFS(tblParticipants[ParticipantID],"&lt;&gt;",tblParticipants[ParticipantName],"&lt;&gt;",tblParticipants[EnrollQtr],3,tblParticipants[AmIndOrAkNtv],1)</f>
        <v>0</v>
      </c>
      <c r="M15" s="164">
        <f>COUNTIFS(tblParticipants[ParticipantID],"&lt;&gt;",tblParticipants[ParticipantName],"&lt;&gt;",tblParticipants[EnrollQtr],"&gt;=1",tblParticipants[EnrollQtr],"&lt;=3",tblParticipants[ExitQtr],3,tblParticipants[AmIndOrAkNtv],1)</f>
        <v>0</v>
      </c>
      <c r="N15" s="164">
        <f>COUNTIFS(tblParticipants[ParticipantID],"&lt;&gt;",tblParticipants[ParticipantName],"&lt;&gt;",tblParticipants[EnrollQtr],"&gt;=1",tblParticipants[EnrollQtr],"&lt;=3",tblParticipants[HrlyWgPlmt],"&gt;0",tblParticipants[EmployQtr],3,tblParticipants[ExitQtr],3,tblParticipants[AmIndOrAkNtv],1)</f>
        <v>0</v>
      </c>
      <c r="O15" s="165">
        <f>IFERROR(AVERAGEIFS(tblParticipants[HrlyWgPlmt],tblParticipants[ParticipantID],"&lt;&gt;",tblParticipants[ParticipantName],"&lt;&gt;",tblParticipants[EnrollQtr],"&gt;=1",tblParticipants[EnrollQtr],"&lt;=3",tblParticipants[HrlyWgPlmt],"&gt;0",tblParticipants[EmployQtr],3,tblParticipants[ExitQtr],3,tblParticipants[AmIndOrAkNtv],1),0)</f>
        <v>0</v>
      </c>
      <c r="Q15" s="163">
        <f>COUNTIFS(tblParticipants[ParticipantID],"&lt;&gt;",tblParticipants[ParticipantName],"&lt;&gt;",tblParticipants[EnrollQtr],4,tblParticipants[AmIndOrAkNtv],1)</f>
        <v>0</v>
      </c>
      <c r="R15" s="164">
        <f>COUNTIFS(tblParticipants[ParticipantID],"&lt;&gt;",tblParticipants[ParticipantName],"&lt;&gt;",tblParticipants[EnrollQtr],"&gt;=1",tblParticipants[EnrollQtr],"&lt;=4",tblParticipants[ExitQtr],4,tblParticipants[AmIndOrAkNtv],1)</f>
        <v>0</v>
      </c>
      <c r="S15" s="164">
        <f>COUNTIFS(tblParticipants[ParticipantID],"&lt;&gt;",tblParticipants[ParticipantName],"&lt;&gt;",tblParticipants[EnrollQtr],"&gt;=1",tblParticipants[EnrollQtr],"&lt;=4",tblParticipants[HrlyWgPlmt],"&gt;0",tblParticipants[EmployQtr],4,tblParticipants[ExitQtr],4,tblParticipants[AmIndOrAkNtv],1)</f>
        <v>0</v>
      </c>
      <c r="T15" s="165">
        <f>IFERROR(AVERAGEIFS(tblParticipants[HrlyWgPlmt],tblParticipants[ParticipantID],"&lt;&gt;",tblParticipants[ParticipantName],"&lt;&gt;",tblParticipants[EnrollQtr],"&gt;=1",tblParticipants[EnrollQtr],"&lt;=4",tblParticipants[HrlyWgPlmt],"&gt;0",tblParticipants[EmployQtr],4,tblParticipants[ExitQtr],4,tblParticipants[AmIndOrAkNtv],1),0)</f>
        <v>0</v>
      </c>
      <c r="V15" s="146">
        <f>$B15+$G15+$L15+$Q15</f>
        <v>0</v>
      </c>
      <c r="W15" s="148">
        <f>$C15+$H15+$M15+$R15</f>
        <v>0</v>
      </c>
      <c r="X15" s="148">
        <f>$D15+$I15+$N15+$S15</f>
        <v>0</v>
      </c>
      <c r="Y15" s="150">
        <f>IF($W15=0,0,$X15/$W15)</f>
        <v>0</v>
      </c>
      <c r="Z15" s="190">
        <f>IF($X15=0,0,(($D15*$E15)+($I15*$J15)+($N15*$O15)+($S15*$T15))/$X15)</f>
        <v>0</v>
      </c>
    </row>
    <row r="16" spans="1:26" x14ac:dyDescent="0.3">
      <c r="A16" s="203" t="s">
        <v>2</v>
      </c>
      <c r="B16" s="163">
        <f>COUNTIFS(tblParticipants[ParticipantID],"&lt;&gt;",tblParticipants[ParticipantName],"&lt;&gt;",tblParticipants[EnrollQtr],1,tblParticipants[Asian],1)</f>
        <v>0</v>
      </c>
      <c r="C16" s="164">
        <f>COUNTIFS(tblParticipants[ParticipantID],"&lt;&gt;",tblParticipants[ParticipantName],"&lt;&gt;",tblParticipants[EnrollQtr],1,tblParticipants[ExitQtr],1,tblParticipants[Asian],1)</f>
        <v>0</v>
      </c>
      <c r="D16" s="164">
        <f>COUNTIFS(tblParticipants[ParticipantID],"&lt;&gt;",tblParticipants[ParticipantName],"&lt;&gt;",tblParticipants[EnrollQtr],1,tblParticipants[HrlyWgPlmt],"&gt;0",tblParticipants[EmployQtr],1,tblParticipants[ExitQtr],1,tblParticipants[Asian],1)</f>
        <v>0</v>
      </c>
      <c r="E16" s="192">
        <f>IFERROR(AVERAGEIFS(tblParticipants[HrlyWgPlmt],tblParticipants[ParticipantID],"&lt;&gt;",tblParticipants[ParticipantName],"&lt;&gt;",tblParticipants[EnrollQtr],1,tblParticipants[HrlyWgPlmt],"&gt;0",tblParticipants[EmployQtr],1,tblParticipants[ExitQtr],1,tblParticipants[Asian],1),0)</f>
        <v>0</v>
      </c>
      <c r="G16" s="163">
        <f>COUNTIFS(tblParticipants[ParticipantID],"&lt;&gt;",tblParticipants[ParticipantName],"&lt;&gt;",tblParticipants[EnrollQtr],2,tblParticipants[Asian],1)</f>
        <v>0</v>
      </c>
      <c r="H16" s="164">
        <f>COUNTIFS(tblParticipants[ParticipantID],"&lt;&gt;",tblParticipants[ParticipantName],"&lt;&gt;",tblParticipants[EnrollQtr],"&gt;=1",tblParticipants[EnrollQtr],"&lt;=2",tblParticipants[ExitQtr],2,tblParticipants[Asian],1)</f>
        <v>0</v>
      </c>
      <c r="I16" s="164">
        <f>COUNTIFS(tblParticipants[ParticipantID],"&lt;&gt;",tblParticipants[ParticipantName],"&lt;&gt;",tblParticipants[EnrollQtr],"&gt;=1",tblParticipants[EnrollQtr],"&lt;=2",tblParticipants[HrlyWgPlmt],"&gt;0",tblParticipants[EmployQtr],2,tblParticipants[ExitQtr],2,tblParticipants[Asian],1)</f>
        <v>0</v>
      </c>
      <c r="J16" s="165">
        <f>IFERROR(AVERAGEIFS(tblParticipants[HrlyWgPlmt],tblParticipants[ParticipantID],"&lt;&gt;",tblParticipants[ParticipantName],"&lt;&gt;",tblParticipants[EnrollQtr],"&gt;=1",tblParticipants[EnrollQtr],"&lt;=2",tblParticipants[HrlyWgPlmt],"&gt;0",tblParticipants[EmployQtr],2,tblParticipants[ExitQtr],2,tblParticipants[Asian],1),0)</f>
        <v>0</v>
      </c>
      <c r="L16" s="163">
        <f>COUNTIFS(tblParticipants[ParticipantID],"&lt;&gt;",tblParticipants[ParticipantName],"&lt;&gt;",tblParticipants[EnrollQtr],3,tblParticipants[Asian],1)</f>
        <v>0</v>
      </c>
      <c r="M16" s="164">
        <f>COUNTIFS(tblParticipants[ParticipantID],"&lt;&gt;",tblParticipants[ParticipantName],"&lt;&gt;",tblParticipants[EnrollQtr],"&gt;=1",tblParticipants[EnrollQtr],"&lt;=3",tblParticipants[ExitQtr],3,tblParticipants[Asian],1)</f>
        <v>0</v>
      </c>
      <c r="N16" s="164">
        <f>COUNTIFS(tblParticipants[ParticipantID],"&lt;&gt;",tblParticipants[ParticipantName],"&lt;&gt;",tblParticipants[EnrollQtr],"&gt;=1",tblParticipants[EnrollQtr],"&lt;=3",tblParticipants[HrlyWgPlmt],"&gt;0",tblParticipants[EmployQtr],3,tblParticipants[ExitQtr],3,tblParticipants[Asian],1)</f>
        <v>0</v>
      </c>
      <c r="O16" s="165">
        <f>IFERROR(AVERAGEIFS(tblParticipants[HrlyWgPlmt],tblParticipants[ParticipantID],"&lt;&gt;",tblParticipants[ParticipantName],"&lt;&gt;",tblParticipants[EnrollQtr],"&gt;=1",tblParticipants[EnrollQtr],"&lt;=3",tblParticipants[HrlyWgPlmt],"&gt;0",tblParticipants[EmployQtr],3,tblParticipants[ExitQtr],3,tblParticipants[Asian],1),0)</f>
        <v>0</v>
      </c>
      <c r="Q16" s="163">
        <f>COUNTIFS(tblParticipants[ParticipantID],"&lt;&gt;",tblParticipants[ParticipantName],"&lt;&gt;",tblParticipants[EnrollQtr],4,tblParticipants[Asian],1)</f>
        <v>0</v>
      </c>
      <c r="R16" s="164">
        <f>COUNTIFS(tblParticipants[ParticipantID],"&lt;&gt;",tblParticipants[ParticipantName],"&lt;&gt;",tblParticipants[EnrollQtr],"&gt;=1",tblParticipants[EnrollQtr],"&lt;=4",tblParticipants[ExitQtr],4,tblParticipants[Asian],1)</f>
        <v>0</v>
      </c>
      <c r="S16" s="164">
        <f>COUNTIFS(tblParticipants[ParticipantID],"&lt;&gt;",tblParticipants[ParticipantName],"&lt;&gt;",tblParticipants[EnrollQtr],"&gt;=1",tblParticipants[EnrollQtr],"&lt;=4",tblParticipants[HrlyWgPlmt],"&gt;0",tblParticipants[EmployQtr],4,tblParticipants[ExitQtr],4,tblParticipants[Asian],1)</f>
        <v>0</v>
      </c>
      <c r="T16" s="165">
        <f>IFERROR(AVERAGEIFS(tblParticipants[HrlyWgPlmt],tblParticipants[ParticipantID],"&lt;&gt;",tblParticipants[ParticipantName],"&lt;&gt;",tblParticipants[EnrollQtr],"&gt;=1",tblParticipants[EnrollQtr],"&lt;=4",tblParticipants[HrlyWgPlmt],"&gt;0",tblParticipants[EmployQtr],4,tblParticipants[ExitQtr],4,tblParticipants[Asian],1),0)</f>
        <v>0</v>
      </c>
      <c r="V16" s="146">
        <f>$B16+$G16+$L16+$Q16</f>
        <v>0</v>
      </c>
      <c r="W16" s="148">
        <f>$C16+$H16+$M16+$R16</f>
        <v>0</v>
      </c>
      <c r="X16" s="148">
        <f>$D16+$I16+$N16+$S16</f>
        <v>0</v>
      </c>
      <c r="Y16" s="150">
        <f>IF($W16=0,0,$X16/$W16)</f>
        <v>0</v>
      </c>
      <c r="Z16" s="190">
        <f>IF($X16=0,0,(($D16*$E16)+($I16*$J16)+($N16*$O16)+($S16*$T16))/$X16)</f>
        <v>0</v>
      </c>
    </row>
    <row r="17" spans="1:26" x14ac:dyDescent="0.3">
      <c r="A17" s="203" t="s">
        <v>2671</v>
      </c>
      <c r="B17" s="163">
        <f>COUNTIFS(tblParticipants[ParticipantID],"&lt;&gt;",tblParticipants[ParticipantName],"&lt;&gt;",tblParticipants[EnrollQtr],1,tblParticipants[BlkOrAfAmer],1)</f>
        <v>0</v>
      </c>
      <c r="C17" s="164">
        <f>COUNTIFS(tblParticipants[ParticipantID],"&lt;&gt;",tblParticipants[ParticipantName],"&lt;&gt;",tblParticipants[EnrollQtr],1,tblParticipants[ExitQtr],1,tblParticipants[BlkOrAfAmer],1)</f>
        <v>0</v>
      </c>
      <c r="D17" s="164">
        <f>COUNTIFS(tblParticipants[ParticipantID],"&lt;&gt;",tblParticipants[ParticipantName],"&lt;&gt;",tblParticipants[EnrollQtr],1,tblParticipants[HrlyWgPlmt],"&gt;0",tblParticipants[EmployQtr],1,tblParticipants[ExitQtr],1,tblParticipants[BlkOrAfAmer],1)</f>
        <v>0</v>
      </c>
      <c r="E17" s="192">
        <f>IFERROR(AVERAGEIFS(tblParticipants[HrlyWgPlmt],tblParticipants[ParticipantID],"&lt;&gt;",tblParticipants[ParticipantName],"&lt;&gt;",tblParticipants[EnrollQtr],1,tblParticipants[HrlyWgPlmt],"&gt;0",tblParticipants[EmployQtr],1,tblParticipants[ExitQtr],1,tblParticipants[BlkOrAfAmer],1),0)</f>
        <v>0</v>
      </c>
      <c r="G17" s="163">
        <f>COUNTIFS(tblParticipants[ParticipantID],"&lt;&gt;",tblParticipants[ParticipantName],"&lt;&gt;",tblParticipants[EnrollQtr],2,tblParticipants[BlkOrAfAmer],1)</f>
        <v>0</v>
      </c>
      <c r="H17" s="164">
        <f>COUNTIFS(tblParticipants[ParticipantID],"&lt;&gt;",tblParticipants[ParticipantName],"&lt;&gt;",tblParticipants[EnrollQtr],"&gt;=1",tblParticipants[EnrollQtr],"&lt;=2",tblParticipants[ExitQtr],2,tblParticipants[BlkOrAfAmer],1)</f>
        <v>0</v>
      </c>
      <c r="I17" s="164">
        <f>COUNTIFS(tblParticipants[ParticipantID],"&lt;&gt;",tblParticipants[ParticipantName],"&lt;&gt;",tblParticipants[EnrollQtr],"&gt;=1",tblParticipants[EnrollQtr],"&lt;=2",tblParticipants[HrlyWgPlmt],"&gt;0",tblParticipants[EmployQtr],2,tblParticipants[ExitQtr],2,tblParticipants[BlkOrAfAmer],1)</f>
        <v>0</v>
      </c>
      <c r="J17" s="165">
        <f>IFERROR(AVERAGEIFS(tblParticipants[HrlyWgPlmt],tblParticipants[ParticipantID],"&lt;&gt;",tblParticipants[ParticipantName],"&lt;&gt;",tblParticipants[EnrollQtr],"&gt;=1",tblParticipants[EnrollQtr],"&lt;=2",tblParticipants[HrlyWgPlmt],"&gt;0",tblParticipants[EmployQtr],2,tblParticipants[ExitQtr],2,tblParticipants[BlkOrAfAmer],1),0)</f>
        <v>0</v>
      </c>
      <c r="L17" s="163">
        <f>COUNTIFS(tblParticipants[ParticipantID],"&lt;&gt;",tblParticipants[ParticipantName],"&lt;&gt;",tblParticipants[EnrollQtr],3,tblParticipants[BlkOrAfAmer],1)</f>
        <v>0</v>
      </c>
      <c r="M17" s="164">
        <f>COUNTIFS(tblParticipants[ParticipantID],"&lt;&gt;",tblParticipants[ParticipantName],"&lt;&gt;",tblParticipants[EnrollQtr],"&gt;=1",tblParticipants[EnrollQtr],"&lt;=3",tblParticipants[ExitQtr],3,tblParticipants[BlkOrAfAmer],1)</f>
        <v>0</v>
      </c>
      <c r="N17" s="164">
        <f>COUNTIFS(tblParticipants[ParticipantID],"&lt;&gt;",tblParticipants[ParticipantName],"&lt;&gt;",tblParticipants[EnrollQtr],"&gt;=1",tblParticipants[EnrollQtr],"&lt;=3",tblParticipants[HrlyWgPlmt],"&gt;0",tblParticipants[EmployQtr],3,tblParticipants[ExitQtr],3,tblParticipants[BlkOrAfAmer],1)</f>
        <v>0</v>
      </c>
      <c r="O17" s="165">
        <f>IFERROR(AVERAGEIFS(tblParticipants[HrlyWgPlmt],tblParticipants[ParticipantID],"&lt;&gt;",tblParticipants[ParticipantName],"&lt;&gt;",tblParticipants[EnrollQtr],"&gt;=1",tblParticipants[EnrollQtr],"&lt;=3",tblParticipants[HrlyWgPlmt],"&gt;0",tblParticipants[EmployQtr],3,tblParticipants[ExitQtr],3,tblParticipants[BlkOrAfAmer],1),0)</f>
        <v>0</v>
      </c>
      <c r="Q17" s="163">
        <f>COUNTIFS(tblParticipants[ParticipantID],"&lt;&gt;",tblParticipants[ParticipantName],"&lt;&gt;",tblParticipants[EnrollQtr],4,tblParticipants[BlkOrAfAmer],1)</f>
        <v>0</v>
      </c>
      <c r="R17" s="164">
        <f>COUNTIFS(tblParticipants[ParticipantID],"&lt;&gt;",tblParticipants[ParticipantName],"&lt;&gt;",tblParticipants[EnrollQtr],"&gt;=1",tblParticipants[EnrollQtr],"&lt;=4",tblParticipants[ExitQtr],4,tblParticipants[BlkOrAfAmer],1)</f>
        <v>0</v>
      </c>
      <c r="S17" s="164">
        <f>COUNTIFS(tblParticipants[ParticipantID],"&lt;&gt;",tblParticipants[ParticipantName],"&lt;&gt;",tblParticipants[EnrollQtr],"&gt;=1",tblParticipants[EnrollQtr],"&lt;=4",tblParticipants[HrlyWgPlmt],"&gt;0",tblParticipants[EmployQtr],4,tblParticipants[ExitQtr],4,tblParticipants[BlkOrAfAmer],1)</f>
        <v>0</v>
      </c>
      <c r="T17" s="165">
        <f>IFERROR(AVERAGEIFS(tblParticipants[HrlyWgPlmt],tblParticipants[ParticipantID],"&lt;&gt;",tblParticipants[ParticipantName],"&lt;&gt;",tblParticipants[EnrollQtr],"&gt;=1",tblParticipants[EnrollQtr],"&lt;=4",tblParticipants[HrlyWgPlmt],"&gt;0",tblParticipants[EmployQtr],4,tblParticipants[ExitQtr],4,tblParticipants[BlkOrAfAmer],1),0)</f>
        <v>0</v>
      </c>
      <c r="V17" s="146">
        <f>$B17+$G17+$L17+$Q17</f>
        <v>0</v>
      </c>
      <c r="W17" s="148">
        <f>$C17+$H17+$M17+$R17</f>
        <v>0</v>
      </c>
      <c r="X17" s="148">
        <f>$D17+$I17+$N17+$S17</f>
        <v>0</v>
      </c>
      <c r="Y17" s="150">
        <f>IF($W17=0,0,$X17/$W17)</f>
        <v>0</v>
      </c>
      <c r="Z17" s="190">
        <f>IF($X17=0,0,(($D17*$E17)+($I17*$J17)+($N17*$O17)+($S17*$T17))/$X17)</f>
        <v>0</v>
      </c>
    </row>
    <row r="18" spans="1:26" x14ac:dyDescent="0.3">
      <c r="A18" s="203" t="s">
        <v>2672</v>
      </c>
      <c r="B18" s="163">
        <f>COUNTIFS(tblParticipants[ParticipantID],"&lt;&gt;",tblParticipants[ParticipantName],"&lt;&gt;",tblParticipants[EnrollQtr],1,tblParticipants[NtvHawOrPacIsl],1)</f>
        <v>0</v>
      </c>
      <c r="C18" s="164">
        <f>COUNTIFS(tblParticipants[ParticipantID],"&lt;&gt;",tblParticipants[ParticipantName],"&lt;&gt;",tblParticipants[EnrollQtr],1,tblParticipants[ExitQtr],1,tblParticipants[NtvHawOrPacIsl],1)</f>
        <v>0</v>
      </c>
      <c r="D18" s="164">
        <f>COUNTIFS(tblParticipants[ParticipantID],"&lt;&gt;",tblParticipants[ParticipantName],"&lt;&gt;",tblParticipants[EnrollQtr],1,tblParticipants[HrlyWgPlmt],"&gt;0",tblParticipants[EmployQtr],1,tblParticipants[ExitQtr],1,tblParticipants[NtvHawOrPacIsl],1)</f>
        <v>0</v>
      </c>
      <c r="E18" s="192">
        <f>IFERROR(AVERAGEIFS(tblParticipants[HrlyWgPlmt],tblParticipants[ParticipantID],"&lt;&gt;",tblParticipants[ParticipantName],"&lt;&gt;",tblParticipants[EnrollQtr],1,tblParticipants[HrlyWgPlmt],"&gt;0",tblParticipants[EmployQtr],1,tblParticipants[ExitQtr],1,tblParticipants[NtvHawOrPacIsl],1),0)</f>
        <v>0</v>
      </c>
      <c r="G18" s="163">
        <f>COUNTIFS(tblParticipants[ParticipantID],"&lt;&gt;",tblParticipants[ParticipantName],"&lt;&gt;",tblParticipants[EnrollQtr],2,tblParticipants[NtvHawOrPacIsl],1)</f>
        <v>0</v>
      </c>
      <c r="H18" s="164">
        <f>COUNTIFS(tblParticipants[ParticipantID],"&lt;&gt;",tblParticipants[ParticipantName],"&lt;&gt;",tblParticipants[EnrollQtr],"&gt;=1",tblParticipants[EnrollQtr],"&lt;=2",tblParticipants[ExitQtr],2,tblParticipants[NtvHawOrPacIsl],1)</f>
        <v>0</v>
      </c>
      <c r="I18" s="164">
        <f>COUNTIFS(tblParticipants[ParticipantID],"&lt;&gt;",tblParticipants[ParticipantName],"&lt;&gt;",tblParticipants[EnrollQtr],"&gt;=1",tblParticipants[EnrollQtr],"&lt;=2",tblParticipants[HrlyWgPlmt],"&gt;0",tblParticipants[EmployQtr],2,tblParticipants[ExitQtr],2,tblParticipants[NtvHawOrPacIsl],1)</f>
        <v>0</v>
      </c>
      <c r="J18" s="165">
        <f>IFERROR(AVERAGEIFS(tblParticipants[HrlyWgPlmt],tblParticipants[ParticipantID],"&lt;&gt;",tblParticipants[ParticipantName],"&lt;&gt;",tblParticipants[EnrollQtr],"&gt;=1",tblParticipants[EnrollQtr],"&lt;=2",tblParticipants[HrlyWgPlmt],"&gt;0",tblParticipants[EmployQtr],2,tblParticipants[ExitQtr],2,tblParticipants[NtvHawOrPacIsl],1),0)</f>
        <v>0</v>
      </c>
      <c r="L18" s="163">
        <f>COUNTIFS(tblParticipants[ParticipantID],"&lt;&gt;",tblParticipants[ParticipantName],"&lt;&gt;",tblParticipants[EnrollQtr],3,tblParticipants[NtvHawOrPacIsl],1)</f>
        <v>0</v>
      </c>
      <c r="M18" s="164">
        <f>COUNTIFS(tblParticipants[ParticipantID],"&lt;&gt;",tblParticipants[ParticipantName],"&lt;&gt;",tblParticipants[EnrollQtr],"&gt;=1",tblParticipants[EnrollQtr],"&lt;=3",tblParticipants[ExitQtr],3,tblParticipants[NtvHawOrPacIsl],1)</f>
        <v>0</v>
      </c>
      <c r="N18" s="164">
        <f>COUNTIFS(tblParticipants[ParticipantID],"&lt;&gt;",tblParticipants[ParticipantName],"&lt;&gt;",tblParticipants[EnrollQtr],"&gt;=1",tblParticipants[EnrollQtr],"&lt;=3",tblParticipants[HrlyWgPlmt],"&gt;0",tblParticipants[EmployQtr],3,tblParticipants[ExitQtr],3,tblParticipants[NtvHawOrPacIsl],1)</f>
        <v>0</v>
      </c>
      <c r="O18" s="165">
        <f>IFERROR(AVERAGEIFS(tblParticipants[HrlyWgPlmt],tblParticipants[ParticipantID],"&lt;&gt;",tblParticipants[ParticipantName],"&lt;&gt;",tblParticipants[EnrollQtr],"&gt;=1",tblParticipants[EnrollQtr],"&lt;=3",tblParticipants[HrlyWgPlmt],"&gt;0",tblParticipants[EmployQtr],3,tblParticipants[ExitQtr],3,tblParticipants[NtvHawOrPacIsl],1),0)</f>
        <v>0</v>
      </c>
      <c r="Q18" s="163">
        <f>COUNTIFS(tblParticipants[ParticipantID],"&lt;&gt;",tblParticipants[ParticipantName],"&lt;&gt;",tblParticipants[EnrollQtr],4,tblParticipants[NtvHawOrPacIsl],1)</f>
        <v>0</v>
      </c>
      <c r="R18" s="164">
        <f>COUNTIFS(tblParticipants[ParticipantID],"&lt;&gt;",tblParticipants[ParticipantName],"&lt;&gt;",tblParticipants[EnrollQtr],"&gt;=1",tblParticipants[EnrollQtr],"&lt;=4",tblParticipants[ExitQtr],4,tblParticipants[NtvHawOrPacIsl],1)</f>
        <v>0</v>
      </c>
      <c r="S18" s="164">
        <f>COUNTIFS(tblParticipants[ParticipantID],"&lt;&gt;",tblParticipants[ParticipantName],"&lt;&gt;",tblParticipants[EnrollQtr],"&gt;=1",tblParticipants[EnrollQtr],"&lt;=4",tblParticipants[HrlyWgPlmt],"&gt;0",tblParticipants[EmployQtr],4,tblParticipants[ExitQtr],4,tblParticipants[NtvHawOrPacIsl],1)</f>
        <v>0</v>
      </c>
      <c r="T18" s="165">
        <f>IFERROR(AVERAGEIFS(tblParticipants[HrlyWgPlmt],tblParticipants[ParticipantID],"&lt;&gt;",tblParticipants[ParticipantName],"&lt;&gt;",tblParticipants[EnrollQtr],"&gt;=1",tblParticipants[EnrollQtr],"&lt;=4",tblParticipants[HrlyWgPlmt],"&gt;0",tblParticipants[EmployQtr],4,tblParticipants[ExitQtr],4,tblParticipants[NtvHawOrPacIsl],1),0)</f>
        <v>0</v>
      </c>
      <c r="V18" s="146">
        <f>$B18+$G18+$L18+$Q18</f>
        <v>0</v>
      </c>
      <c r="W18" s="148">
        <f>$C18+$H18+$M18+$R18</f>
        <v>0</v>
      </c>
      <c r="X18" s="148">
        <f>$D18+$I18+$N18+$S18</f>
        <v>0</v>
      </c>
      <c r="Y18" s="150">
        <f>IF($W18=0,0,$X18/$W18)</f>
        <v>0</v>
      </c>
      <c r="Z18" s="190">
        <f>IF($X18=0,0,(($D18*$E18)+($I18*$J18)+($N18*$O18)+($S18*$T18))/$X18)</f>
        <v>0</v>
      </c>
    </row>
    <row r="19" spans="1:26" x14ac:dyDescent="0.3">
      <c r="A19" s="203" t="s">
        <v>3</v>
      </c>
      <c r="B19" s="163">
        <f>COUNTIFS(tblParticipants[ParticipantID],"&lt;&gt;",tblParticipants[ParticipantName],"&lt;&gt;",tblParticipants[EnrollQtr],1,tblParticipants[White],1)</f>
        <v>0</v>
      </c>
      <c r="C19" s="164">
        <f>COUNTIFS(tblParticipants[ParticipantID],"&lt;&gt;",tblParticipants[ParticipantName],"&lt;&gt;",tblParticipants[EnrollQtr],1,tblParticipants[ExitQtr],1,tblParticipants[White],1)</f>
        <v>0</v>
      </c>
      <c r="D19" s="164">
        <f>COUNTIFS(tblParticipants[ParticipantID],"&lt;&gt;",tblParticipants[ParticipantName],"&lt;&gt;",tblParticipants[EnrollQtr],1,tblParticipants[HrlyWgPlmt],"&gt;0",tblParticipants[EmployQtr],1,tblParticipants[ExitQtr],1,tblParticipants[White],1)</f>
        <v>0</v>
      </c>
      <c r="E19" s="192">
        <f>IFERROR(AVERAGEIFS(tblParticipants[HrlyWgPlmt],tblParticipants[ParticipantID],"&lt;&gt;",tblParticipants[ParticipantName],"&lt;&gt;",tblParticipants[EnrollQtr],1,tblParticipants[HrlyWgPlmt],"&gt;0",tblParticipants[EmployQtr],1,tblParticipants[ExitQtr],1,tblParticipants[White],1),0)</f>
        <v>0</v>
      </c>
      <c r="G19" s="163">
        <f>COUNTIFS(tblParticipants[ParticipantID],"&lt;&gt;",tblParticipants[ParticipantName],"&lt;&gt;",tblParticipants[EnrollQtr],2,tblParticipants[White],1)</f>
        <v>0</v>
      </c>
      <c r="H19" s="164">
        <f>COUNTIFS(tblParticipants[ParticipantID],"&lt;&gt;",tblParticipants[ParticipantName],"&lt;&gt;",tblParticipants[EnrollQtr],"&gt;=1",tblParticipants[EnrollQtr],"&lt;=2",tblParticipants[ExitQtr],2,tblParticipants[White],1)</f>
        <v>0</v>
      </c>
      <c r="I19" s="164">
        <f>COUNTIFS(tblParticipants[ParticipantID],"&lt;&gt;",tblParticipants[ParticipantName],"&lt;&gt;",tblParticipants[EnrollQtr],"&gt;=1",tblParticipants[EnrollQtr],"&lt;=2",tblParticipants[HrlyWgPlmt],"&gt;0",tblParticipants[EmployQtr],2,tblParticipants[ExitQtr],2,tblParticipants[White],1)</f>
        <v>0</v>
      </c>
      <c r="J19" s="165">
        <f>IFERROR(AVERAGEIFS(tblParticipants[HrlyWgPlmt],tblParticipants[ParticipantID],"&lt;&gt;",tblParticipants[ParticipantName],"&lt;&gt;",tblParticipants[EnrollQtr],"&gt;=1",tblParticipants[EnrollQtr],"&lt;=2",tblParticipants[HrlyWgPlmt],"&gt;0",tblParticipants[EmployQtr],2,tblParticipants[ExitQtr],2,tblParticipants[White],1),0)</f>
        <v>0</v>
      </c>
      <c r="L19" s="163">
        <f>COUNTIFS(tblParticipants[ParticipantID],"&lt;&gt;",tblParticipants[ParticipantName],"&lt;&gt;",tblParticipants[EnrollQtr],3,tblParticipants[White],1)</f>
        <v>0</v>
      </c>
      <c r="M19" s="164">
        <f>COUNTIFS(tblParticipants[ParticipantID],"&lt;&gt;",tblParticipants[ParticipantName],"&lt;&gt;",tblParticipants[EnrollQtr],"&gt;=1",tblParticipants[EnrollQtr],"&lt;=3",tblParticipants[ExitQtr],3,tblParticipants[White],1)</f>
        <v>0</v>
      </c>
      <c r="N19" s="164">
        <f>COUNTIFS(tblParticipants[ParticipantID],"&lt;&gt;",tblParticipants[ParticipantName],"&lt;&gt;",tblParticipants[EnrollQtr],"&gt;=1",tblParticipants[EnrollQtr],"&lt;=3",tblParticipants[HrlyWgPlmt],"&gt;0",tblParticipants[EmployQtr],3,tblParticipants[ExitQtr],3,tblParticipants[White],1)</f>
        <v>0</v>
      </c>
      <c r="O19" s="165">
        <f>IFERROR(AVERAGEIFS(tblParticipants[HrlyWgPlmt],tblParticipants[ParticipantID],"&lt;&gt;",tblParticipants[ParticipantName],"&lt;&gt;",tblParticipants[EnrollQtr],"&gt;=1",tblParticipants[EnrollQtr],"&lt;=3",tblParticipants[HrlyWgPlmt],"&gt;0",tblParticipants[EmployQtr],3,tblParticipants[ExitQtr],3,tblParticipants[White],1),0)</f>
        <v>0</v>
      </c>
      <c r="Q19" s="163">
        <f>COUNTIFS(tblParticipants[ParticipantID],"&lt;&gt;",tblParticipants[ParticipantName],"&lt;&gt;",tblParticipants[EnrollQtr],4,tblParticipants[White],1)</f>
        <v>0</v>
      </c>
      <c r="R19" s="164">
        <f>COUNTIFS(tblParticipants[ParticipantID],"&lt;&gt;",tblParticipants[ParticipantName],"&lt;&gt;",tblParticipants[EnrollQtr],"&gt;=1",tblParticipants[EnrollQtr],"&lt;=4",tblParticipants[ExitQtr],4,tblParticipants[White],1)</f>
        <v>0</v>
      </c>
      <c r="S19" s="164">
        <f>COUNTIFS(tblParticipants[ParticipantID],"&lt;&gt;",tblParticipants[ParticipantName],"&lt;&gt;",tblParticipants[EnrollQtr],"&gt;=1",tblParticipants[EnrollQtr],"&lt;=4",tblParticipants[HrlyWgPlmt],"&gt;0",tblParticipants[EmployQtr],4,tblParticipants[ExitQtr],4,tblParticipants[White],1)</f>
        <v>0</v>
      </c>
      <c r="T19" s="165">
        <f>IFERROR(AVERAGEIFS(tblParticipants[HrlyWgPlmt],tblParticipants[ParticipantID],"&lt;&gt;",tblParticipants[ParticipantName],"&lt;&gt;",tblParticipants[EnrollQtr],"&gt;=1",tblParticipants[EnrollQtr],"&lt;=4",tblParticipants[HrlyWgPlmt],"&gt;0",tblParticipants[EmployQtr],4,tblParticipants[ExitQtr],4,tblParticipants[White],1),0)</f>
        <v>0</v>
      </c>
      <c r="V19" s="146">
        <f>$B19+$G19+$L19+$Q19</f>
        <v>0</v>
      </c>
      <c r="W19" s="148">
        <f>$C19+$H19+$M19+$R19</f>
        <v>0</v>
      </c>
      <c r="X19" s="148">
        <f>$D19+$I19+$N19+$S19</f>
        <v>0</v>
      </c>
      <c r="Y19" s="150">
        <f>IF($W19=0,0,$X19/$W19)</f>
        <v>0</v>
      </c>
      <c r="Z19" s="190">
        <f>IF($X19=0,0,(($D19*$E19)+($I19*$J19)+($N19*$O19)+($S19*$T19))/$X19)</f>
        <v>0</v>
      </c>
    </row>
    <row r="20" spans="1:26" x14ac:dyDescent="0.3">
      <c r="A20" s="206" t="s">
        <v>2668</v>
      </c>
      <c r="V20" s="48"/>
      <c r="W20" s="46"/>
      <c r="X20" s="46"/>
      <c r="Y20" s="46"/>
      <c r="Z20" s="47"/>
    </row>
    <row r="21" spans="1:26" ht="25.8" x14ac:dyDescent="0.3">
      <c r="A21" s="207" t="s">
        <v>2800</v>
      </c>
      <c r="B21" s="157"/>
      <c r="C21" s="178"/>
      <c r="D21" s="178"/>
      <c r="E21" s="179"/>
      <c r="F21" s="157"/>
      <c r="G21" s="179"/>
      <c r="H21" s="157"/>
      <c r="I21" s="178"/>
      <c r="J21" s="178"/>
      <c r="K21" s="178"/>
      <c r="L21" s="178"/>
      <c r="M21" s="178"/>
      <c r="N21" s="178"/>
      <c r="O21" s="179"/>
      <c r="P21" s="157"/>
      <c r="Q21" s="178"/>
      <c r="R21" s="179"/>
      <c r="S21" s="157"/>
      <c r="T21" s="178"/>
      <c r="U21" s="181"/>
      <c r="V21" s="158"/>
      <c r="W21" s="179"/>
      <c r="X21" s="159"/>
      <c r="Y21" s="178"/>
      <c r="Z21" s="181"/>
    </row>
    <row r="22" spans="1:26" x14ac:dyDescent="0.3">
      <c r="A22" s="203" t="s">
        <v>2670</v>
      </c>
      <c r="B22" s="163">
        <f>COUNTIFS(tblParticipants[ParticipantID],"&lt;&gt;",tblParticipants[ParticipantName],"&lt;&gt;",tblParticipants[EnrollQtr],1,tblParticipants[AmIndOrAkNtv],1,tblParticipants[Multiracial],0)</f>
        <v>0</v>
      </c>
      <c r="C22" s="164">
        <f>COUNTIFS(tblParticipants[ParticipantID],"&lt;&gt;",tblParticipants[ParticipantName],"&lt;&gt;",tblParticipants[EnrollQtr],1,tblParticipants[ExitQtr],1,tblParticipants[AmIndOrAkNtv],1,tblParticipants[Multiracial],0)</f>
        <v>0</v>
      </c>
      <c r="D22" s="164">
        <f>COUNTIFS(tblParticipants[ParticipantID],"&lt;&gt;",tblParticipants[ParticipantName],"&lt;&gt;",tblParticipants[EnrollQtr],1,tblParticipants[HrlyWgPlmt],"&gt;0",tblParticipants[EmployQtr],1,tblParticipants[ExitQtr],1,tblParticipants[AmIndOrAkNtv],1,tblParticipants[Multiracial],0)</f>
        <v>0</v>
      </c>
      <c r="E22" s="165">
        <f>IFERROR(AVERAGEIFS(tblParticipants[HrlyWgPlmt],tblParticipants[ParticipantID],"&lt;&gt;",tblParticipants[ParticipantName],"&lt;&gt;",tblParticipants[EnrollQtr],1,tblParticipants[HrlyWgPlmt],"&gt;0",tblParticipants[EmployQtr],1,tblParticipants[ExitQtr],1,tblParticipants[AmIndOrAkNtv],1,tblParticipants[Multiracial],0),0)</f>
        <v>0</v>
      </c>
      <c r="G22" s="163">
        <f>COUNTIFS(tblParticipants[ParticipantID],"&lt;&gt;",tblParticipants[ParticipantName],"&lt;&gt;",tblParticipants[EnrollQtr],2,tblParticipants[AmIndOrAkNtv],1,tblParticipants[Multiracial],0)</f>
        <v>0</v>
      </c>
      <c r="H22" s="164">
        <f>COUNTIFS(tblParticipants[ParticipantID],"&lt;&gt;",tblParticipants[ParticipantName],"&lt;&gt;",tblParticipants[EnrollQtr],"&gt;=1",tblParticipants[EnrollQtr],"&lt;=2",tblParticipants[ExitQtr],2,tblParticipants[AmIndOrAkNtv],1,tblParticipants[Multiracial],0)</f>
        <v>0</v>
      </c>
      <c r="I22" s="164">
        <f>COUNTIFS(tblParticipants[ParticipantID],"&lt;&gt;",tblParticipants[ParticipantName],"&lt;&gt;",tblParticipants[EnrollQtr],"&gt;=1",tblParticipants[EnrollQtr],"&lt;=2",tblParticipants[HrlyWgPlmt],"&gt;0",tblParticipants[EmployQtr],2,tblParticipants[ExitQtr],2,tblParticipants[AmIndOrAkNtv],1,tblParticipants[Multiracial],0)</f>
        <v>0</v>
      </c>
      <c r="J22" s="165">
        <f>IFERROR(AVERAGEIFS(tblParticipants[HrlyWgPlmt],tblParticipants[ParticipantID],"&lt;&gt;",tblParticipants[ParticipantName],"&lt;&gt;",tblParticipants[EnrollQtr],"&gt;=1",tblParticipants[EnrollQtr],"&lt;=2",tblParticipants[HrlyWgPlmt],"&gt;0",tblParticipants[EmployQtr],2,tblParticipants[ExitQtr],2,tblParticipants[AmIndOrAkNtv],1,tblParticipants[Multiracial],0),0)</f>
        <v>0</v>
      </c>
      <c r="L22" s="163">
        <f>COUNTIFS(tblParticipants[ParticipantID],"&lt;&gt;",tblParticipants[ParticipantName],"&lt;&gt;",tblParticipants[EnrollQtr],3,tblParticipants[AmIndOrAkNtv],1,tblParticipants[Multiracial],0)</f>
        <v>0</v>
      </c>
      <c r="M22" s="164">
        <f>COUNTIFS(tblParticipants[ParticipantID],"&lt;&gt;",tblParticipants[ParticipantName],"&lt;&gt;",tblParticipants[EnrollQtr],"&gt;=1",tblParticipants[EnrollQtr],"&lt;=3",tblParticipants[ExitQtr],3,tblParticipants[AmIndOrAkNtv],1,tblParticipants[Multiracial],0)</f>
        <v>0</v>
      </c>
      <c r="N22" s="164">
        <f>COUNTIFS(tblParticipants[ParticipantID],"&lt;&gt;",tblParticipants[ParticipantName],"&lt;&gt;",tblParticipants[EnrollQtr],"&gt;=1",tblParticipants[EnrollQtr],"&lt;=3",tblParticipants[HrlyWgPlmt],"&gt;0",tblParticipants[EmployQtr],3,tblParticipants[ExitQtr],3,tblParticipants[AmIndOrAkNtv],1,tblParticipants[Multiracial],0)</f>
        <v>0</v>
      </c>
      <c r="O22" s="165">
        <f>IFERROR(AVERAGEIFS(tblParticipants[HrlyWgPlmt],tblParticipants[ParticipantID],"&lt;&gt;",tblParticipants[ParticipantName],"&lt;&gt;",tblParticipants[EnrollQtr],"&gt;=1",tblParticipants[EnrollQtr],"&lt;=3",tblParticipants[HrlyWgPlmt],"&gt;0",tblParticipants[EmployQtr],3,tblParticipants[ExitQtr],3,tblParticipants[AmIndOrAkNtv],1,tblParticipants[Multiracial],0),0)</f>
        <v>0</v>
      </c>
      <c r="Q22" s="163">
        <f>COUNTIFS(tblParticipants[ParticipantID],"&lt;&gt;",tblParticipants[ParticipantName],"&lt;&gt;",tblParticipants[EnrollQtr],4,tblParticipants[AmIndOrAkNtv],1,tblParticipants[Multiracial],0)</f>
        <v>0</v>
      </c>
      <c r="R22" s="164">
        <f>COUNTIFS(tblParticipants[ParticipantID],"&lt;&gt;",tblParticipants[ParticipantName],"&lt;&gt;",tblParticipants[EnrollQtr],"&gt;=1",tblParticipants[EnrollQtr],"&lt;=4",tblParticipants[ExitQtr],4,tblParticipants[AmIndOrAkNtv],1,tblParticipants[Multiracial],0)</f>
        <v>0</v>
      </c>
      <c r="S22" s="164">
        <f>COUNTIFS(tblParticipants[ParticipantID],"&lt;&gt;",tblParticipants[ParticipantName],"&lt;&gt;",tblParticipants[EnrollQtr],"&gt;=1",tblParticipants[EnrollQtr],"&lt;=4",tblParticipants[HrlyWgPlmt],"&gt;0",tblParticipants[EmployQtr],4,tblParticipants[ExitQtr],4,tblParticipants[AmIndOrAkNtv],1,tblParticipants[Multiracial],0)</f>
        <v>0</v>
      </c>
      <c r="T22" s="165">
        <f>IFERROR(AVERAGEIFS(tblParticipants[HrlyWgPlmt],tblParticipants[ParticipantID],"&lt;&gt;",tblParticipants[ParticipantName],"&lt;&gt;",tblParticipants[EnrollQtr],"&gt;=1",tblParticipants[EnrollQtr],"&lt;=4",tblParticipants[HrlyWgPlmt],"&gt;0",tblParticipants[EmployQtr],4,tblParticipants[ExitQtr],4,tblParticipants[AmIndOrAkNtv],1,tblParticipants[Multiracial],0),0)</f>
        <v>0</v>
      </c>
      <c r="V22" s="146">
        <f t="shared" ref="V22:V27" si="0">$B22+$G22+$L22+$Q22</f>
        <v>0</v>
      </c>
      <c r="W22" s="148">
        <f t="shared" ref="W22:W27" si="1">$C22+$H22+$M22+$R22</f>
        <v>0</v>
      </c>
      <c r="X22" s="148">
        <f t="shared" ref="X22:X27" si="2">$D22+$I22+$N22+$S22</f>
        <v>0</v>
      </c>
      <c r="Y22" s="150">
        <f t="shared" ref="Y22:Y27" si="3">IF($W22=0,0,$X22/$W22)</f>
        <v>0</v>
      </c>
      <c r="Z22" s="190">
        <f t="shared" ref="Z22:Z27" si="4">IF($X22=0,0,(($D22*$E22)+($I22*$J22)+($N22*$O22)+($S22*$T22))/$X22)</f>
        <v>0</v>
      </c>
    </row>
    <row r="23" spans="1:26" x14ac:dyDescent="0.3">
      <c r="A23" s="203" t="s">
        <v>2</v>
      </c>
      <c r="B23" s="163">
        <f>COUNTIFS(tblParticipants[ParticipantID],"&lt;&gt;",tblParticipants[ParticipantName],"&lt;&gt;",tblParticipants[EnrollQtr],1,tblParticipants[Asian],1,tblParticipants[Multiracial],0)</f>
        <v>0</v>
      </c>
      <c r="C23" s="164">
        <f>COUNTIFS(tblParticipants[ParticipantID],"&lt;&gt;",tblParticipants[ParticipantName],"&lt;&gt;",tblParticipants[EnrollQtr],1,tblParticipants[ExitQtr],1,tblParticipants[Asian],1,tblParticipants[Multiracial],0)</f>
        <v>0</v>
      </c>
      <c r="D23" s="164">
        <f>COUNTIFS(tblParticipants[ParticipantID],"&lt;&gt;",tblParticipants[ParticipantName],"&lt;&gt;",tblParticipants[EnrollQtr],1,tblParticipants[HrlyWgPlmt],"&gt;0",tblParticipants[EmployQtr],1,tblParticipants[ExitQtr],1,tblParticipants[Asian],1,tblParticipants[Multiracial],0)</f>
        <v>0</v>
      </c>
      <c r="E23" s="165">
        <f>IFERROR(AVERAGEIFS(tblParticipants[HrlyWgPlmt],tblParticipants[ParticipantID],"&lt;&gt;",tblParticipants[ParticipantName],"&lt;&gt;",tblParticipants[EnrollQtr],1,tblParticipants[HrlyWgPlmt],"&gt;0",tblParticipants[EmployQtr],1,tblParticipants[ExitQtr],1,tblParticipants[Age],1,tblParticipants[Multiracial],0),0)</f>
        <v>0</v>
      </c>
      <c r="G23" s="163">
        <f>COUNTIFS(tblParticipants[ParticipantID],"&lt;&gt;",tblParticipants[ParticipantName],"&lt;&gt;",tblParticipants[EnrollQtr],2,tblParticipants[Asian],1,tblParticipants[Multiracial],0)</f>
        <v>0</v>
      </c>
      <c r="H23" s="164">
        <f>COUNTIFS(tblParticipants[ParticipantID],"&lt;&gt;",tblParticipants[ParticipantName],"&lt;&gt;",tblParticipants[EnrollQtr],"&gt;=1",tblParticipants[EnrollQtr],"&lt;=2",tblParticipants[ExitQtr],2,tblParticipants[Asian],1,tblParticipants[Multiracial],0)</f>
        <v>0</v>
      </c>
      <c r="I23" s="164">
        <f>COUNTIFS(tblParticipants[ParticipantID],"&lt;&gt;",tblParticipants[ParticipantName],"&lt;&gt;",tblParticipants[EnrollQtr],"&gt;=1",tblParticipants[EnrollQtr],"&lt;=2",tblParticipants[HrlyWgPlmt],"&gt;0",tblParticipants[EmployQtr],2,tblParticipants[ExitQtr],2,tblParticipants[Asian],1,tblParticipants[Multiracial],0)</f>
        <v>0</v>
      </c>
      <c r="J23" s="165">
        <f>IFERROR(AVERAGEIFS(tblParticipants[HrlyWgPlmt],tblParticipants[ParticipantID],"&lt;&gt;",tblParticipants[ParticipantName],"&lt;&gt;",tblParticipants[EnrollQtr],"&gt;=1",tblParticipants[EnrollQtr],"&lt;=2",tblParticipants[HrlyWgPlmt],"&gt;0",tblParticipants[EmployQtr],2,tblParticipants[ExitQtr],2,tblParticipants[Asian],1,tblParticipants[Multiracial],0),0)</f>
        <v>0</v>
      </c>
      <c r="L23" s="163">
        <f>COUNTIFS(tblParticipants[ParticipantID],"&lt;&gt;",tblParticipants[ParticipantName],"&lt;&gt;",tblParticipants[EnrollQtr],3,tblParticipants[Asian],1,tblParticipants[Multiracial],0)</f>
        <v>0</v>
      </c>
      <c r="M23" s="164">
        <f>COUNTIFS(tblParticipants[ParticipantID],"&lt;&gt;",tblParticipants[ParticipantName],"&lt;&gt;",tblParticipants[EnrollQtr],"&gt;=1",tblParticipants[EnrollQtr],"&lt;=3",tblParticipants[ExitQtr],3,tblParticipants[Asian],1,tblParticipants[Multiracial],0)</f>
        <v>0</v>
      </c>
      <c r="N23" s="164">
        <f>COUNTIFS(tblParticipants[ParticipantID],"&lt;&gt;",tblParticipants[ParticipantName],"&lt;&gt;",tblParticipants[EnrollQtr],"&gt;=1",tblParticipants[EnrollQtr],"&lt;=3",tblParticipants[HrlyWgPlmt],"&gt;0",tblParticipants[EmployQtr],3,tblParticipants[ExitQtr],3,tblParticipants[Asian],1,tblParticipants[Multiracial],0)</f>
        <v>0</v>
      </c>
      <c r="O23" s="165">
        <f>IFERROR(AVERAGEIFS(tblParticipants[HrlyWgPlmt],tblParticipants[ParticipantID],"&lt;&gt;",tblParticipants[ParticipantName],"&lt;&gt;",tblParticipants[EnrollQtr],"&gt;=1",tblParticipants[EnrollQtr],"&lt;=3",tblParticipants[HrlyWgPlmt],"&gt;0",tblParticipants[EmployQtr],3,tblParticipants[ExitQtr],3,tblParticipants[Asian],1,tblParticipants[Multiracial],0),0)</f>
        <v>0</v>
      </c>
      <c r="Q23" s="163">
        <f>COUNTIFS(tblParticipants[ParticipantID],"&lt;&gt;",tblParticipants[ParticipantName],"&lt;&gt;",tblParticipants[EnrollQtr],4,tblParticipants[Asian],1,tblParticipants[Multiracial],0)</f>
        <v>0</v>
      </c>
      <c r="R23" s="164">
        <f>COUNTIFS(tblParticipants[ParticipantID],"&lt;&gt;",tblParticipants[ParticipantName],"&lt;&gt;",tblParticipants[EnrollQtr],"&gt;=1",tblParticipants[EnrollQtr],"&lt;=4",tblParticipants[ExitQtr],4,tblParticipants[Asian],1,tblParticipants[Multiracial],0)</f>
        <v>0</v>
      </c>
      <c r="S23" s="164">
        <f>COUNTIFS(tblParticipants[ParticipantID],"&lt;&gt;",tblParticipants[ParticipantName],"&lt;&gt;",tblParticipants[EnrollQtr],"&gt;=1",tblParticipants[EnrollQtr],"&lt;=4",tblParticipants[HrlyWgPlmt],"&gt;0",tblParticipants[EmployQtr],4,tblParticipants[ExitQtr],4,tblParticipants[Asian],1,tblParticipants[Multiracial],0)</f>
        <v>0</v>
      </c>
      <c r="T23" s="165">
        <f>IFERROR(AVERAGEIFS(tblParticipants[HrlyWgPlmt],tblParticipants[ParticipantID],"&lt;&gt;",tblParticipants[ParticipantName],"&lt;&gt;",tblParticipants[EnrollQtr],"&gt;=1",tblParticipants[EnrollQtr],"&lt;=4",tblParticipants[HrlyWgPlmt],"&gt;0",tblParticipants[EmployQtr],4,tblParticipants[ExitQtr],4,tblParticipants[Asian],1,tblParticipants[Multiracial],0),0)</f>
        <v>0</v>
      </c>
      <c r="V23" s="146">
        <f t="shared" si="0"/>
        <v>0</v>
      </c>
      <c r="W23" s="148">
        <f t="shared" si="1"/>
        <v>0</v>
      </c>
      <c r="X23" s="148">
        <f t="shared" si="2"/>
        <v>0</v>
      </c>
      <c r="Y23" s="150">
        <f t="shared" si="3"/>
        <v>0</v>
      </c>
      <c r="Z23" s="190">
        <f t="shared" si="4"/>
        <v>0</v>
      </c>
    </row>
    <row r="24" spans="1:26" x14ac:dyDescent="0.3">
      <c r="A24" s="203" t="s">
        <v>2671</v>
      </c>
      <c r="B24" s="163">
        <f>COUNTIFS(tblParticipants[ParticipantID],"&lt;&gt;",tblParticipants[ParticipantName],"&lt;&gt;",tblParticipants[EnrollQtr],1,tblParticipants[BlkOrAfAmer],1,tblParticipants[Multiracial],0)</f>
        <v>0</v>
      </c>
      <c r="C24" s="164">
        <f>COUNTIFS(tblParticipants[ParticipantID],"&lt;&gt;",tblParticipants[ParticipantName],"&lt;&gt;",tblParticipants[EnrollQtr],1,tblParticipants[ExitQtr],1,tblParticipants[BlkOrAfAmer],1,tblParticipants[Multiracial],0)</f>
        <v>0</v>
      </c>
      <c r="D24" s="164">
        <f>COUNTIFS(tblParticipants[ParticipantID],"&lt;&gt;",tblParticipants[ParticipantName],"&lt;&gt;",tblParticipants[EnrollQtr],1,tblParticipants[HrlyWgPlmt],"&gt;0",tblParticipants[EmployQtr],1,tblParticipants[ExitQtr],1,tblParticipants[BlkOrAfAmer],1,tblParticipants[Multiracial],0)</f>
        <v>0</v>
      </c>
      <c r="E24" s="165">
        <f>IFERROR(AVERAGEIFS(tblParticipants[HrlyWgPlmt],tblParticipants[ParticipantID],"&lt;&gt;",tblParticipants[ParticipantName],"&lt;&gt;",tblParticipants[EnrollQtr],1,tblParticipants[HrlyWgPlmt],"&gt;0",tblParticipants[EmployQtr],1,tblParticipants[ExitQtr],1,tblParticipants[BlkOrAfAmer],1,tblParticipants[Multiracial],0),0)</f>
        <v>0</v>
      </c>
      <c r="G24" s="163">
        <f>COUNTIFS(tblParticipants[ParticipantID],"&lt;&gt;",tblParticipants[ParticipantName],"&lt;&gt;",tblParticipants[EnrollQtr],2,tblParticipants[BlkOrAfAmer],1,tblParticipants[Multiracial],0)</f>
        <v>0</v>
      </c>
      <c r="H24" s="164">
        <f>COUNTIFS(tblParticipants[ParticipantID],"&lt;&gt;",tblParticipants[ParticipantName],"&lt;&gt;",tblParticipants[EnrollQtr],"&gt;=1",tblParticipants[EnrollQtr],"&lt;=2",tblParticipants[ExitQtr],2,tblParticipants[BlkOrAfAmer],1,tblParticipants[Multiracial],0)</f>
        <v>0</v>
      </c>
      <c r="I24" s="164">
        <f>COUNTIFS(tblParticipants[ParticipantID],"&lt;&gt;",tblParticipants[ParticipantName],"&lt;&gt;",tblParticipants[EnrollQtr],"&gt;=1",tblParticipants[EnrollQtr],"&lt;=2",tblParticipants[HrlyWgPlmt],"&gt;0",tblParticipants[EmployQtr],2,tblParticipants[ExitQtr],2,tblParticipants[BlkOrAfAmer],1,tblParticipants[Multiracial],0)</f>
        <v>0</v>
      </c>
      <c r="J24" s="165">
        <f>IFERROR(AVERAGEIFS(tblParticipants[HrlyWgPlmt],tblParticipants[ParticipantID],"&lt;&gt;",tblParticipants[ParticipantName],"&lt;&gt;",tblParticipants[EnrollQtr],"&gt;=1",tblParticipants[EnrollQtr],"&lt;=2",tblParticipants[HrlyWgPlmt],"&gt;0",tblParticipants[EmployQtr],2,tblParticipants[ExitQtr],2,tblParticipants[BlkOrAfAmer],1,tblParticipants[Multiracial],0),0)</f>
        <v>0</v>
      </c>
      <c r="L24" s="163">
        <f>COUNTIFS(tblParticipants[ParticipantID],"&lt;&gt;",tblParticipants[ParticipantName],"&lt;&gt;",tblParticipants[EnrollQtr],3,tblParticipants[BlkOrAfAmer],1,tblParticipants[Multiracial],0)</f>
        <v>0</v>
      </c>
      <c r="M24" s="164">
        <f>COUNTIFS(tblParticipants[ParticipantID],"&lt;&gt;",tblParticipants[ParticipantName],"&lt;&gt;",tblParticipants[EnrollQtr],"&gt;=1",tblParticipants[EnrollQtr],"&lt;=3",tblParticipants[ExitQtr],3,tblParticipants[BlkOrAfAmer],1,tblParticipants[Multiracial],0)</f>
        <v>0</v>
      </c>
      <c r="N24" s="164">
        <f>COUNTIFS(tblParticipants[ParticipantID],"&lt;&gt;",tblParticipants[ParticipantName],"&lt;&gt;",tblParticipants[EnrollQtr],"&gt;=1",tblParticipants[EnrollQtr],"&lt;=3",tblParticipants[HrlyWgPlmt],"&gt;0",tblParticipants[EmployQtr],3,tblParticipants[ExitQtr],3,tblParticipants[BlkOrAfAmer],1,tblParticipants[Multiracial],0)</f>
        <v>0</v>
      </c>
      <c r="O24" s="165">
        <f>IFERROR(AVERAGEIFS(tblParticipants[HrlyWgPlmt],tblParticipants[ParticipantID],"&lt;&gt;",tblParticipants[ParticipantName],"&lt;&gt;",tblParticipants[EnrollQtr],"&gt;=1",tblParticipants[EnrollQtr],"&lt;=3",tblParticipants[HrlyWgPlmt],"&gt;0",tblParticipants[EmployQtr],3,tblParticipants[ExitQtr],3,tblParticipants[BlkOrAfAmer],1,tblParticipants[Multiracial],0),0)</f>
        <v>0</v>
      </c>
      <c r="Q24" s="163">
        <f>COUNTIFS(tblParticipants[ParticipantID],"&lt;&gt;",tblParticipants[ParticipantName],"&lt;&gt;",tblParticipants[EnrollQtr],4,tblParticipants[BlkOrAfAmer],1,tblParticipants[Multiracial],0)</f>
        <v>0</v>
      </c>
      <c r="R24" s="164">
        <f>COUNTIFS(tblParticipants[ParticipantID],"&lt;&gt;",tblParticipants[ParticipantName],"&lt;&gt;",tblParticipants[EnrollQtr],"&gt;=1",tblParticipants[EnrollQtr],"&lt;=4",tblParticipants[ExitQtr],4,tblParticipants[BlkOrAfAmer],1,tblParticipants[Multiracial],0)</f>
        <v>0</v>
      </c>
      <c r="S24" s="164">
        <f>COUNTIFS(tblParticipants[ParticipantID],"&lt;&gt;",tblParticipants[ParticipantName],"&lt;&gt;",tblParticipants[EnrollQtr],"&gt;=1",tblParticipants[EnrollQtr],"&lt;=4",tblParticipants[HrlyWgPlmt],"&gt;0",tblParticipants[EmployQtr],4,tblParticipants[ExitQtr],4,tblParticipants[BlkOrAfAmer],1,tblParticipants[Multiracial],0)</f>
        <v>0</v>
      </c>
      <c r="T24" s="165">
        <f>IFERROR(AVERAGEIFS(tblParticipants[HrlyWgPlmt],tblParticipants[ParticipantID],"&lt;&gt;",tblParticipants[ParticipantName],"&lt;&gt;",tblParticipants[EnrollQtr],"&gt;=1",tblParticipants[EnrollQtr],"&lt;=4",tblParticipants[HrlyWgPlmt],"&gt;0",tblParticipants[EmployQtr],4,tblParticipants[ExitQtr],4,tblParticipants[BlkOrAfAmer],1,tblParticipants[Multiracial],0),0)</f>
        <v>0</v>
      </c>
      <c r="V24" s="146">
        <f t="shared" si="0"/>
        <v>0</v>
      </c>
      <c r="W24" s="148">
        <f t="shared" si="1"/>
        <v>0</v>
      </c>
      <c r="X24" s="148">
        <f t="shared" si="2"/>
        <v>0</v>
      </c>
      <c r="Y24" s="150">
        <f t="shared" si="3"/>
        <v>0</v>
      </c>
      <c r="Z24" s="190">
        <f t="shared" si="4"/>
        <v>0</v>
      </c>
    </row>
    <row r="25" spans="1:26" x14ac:dyDescent="0.3">
      <c r="A25" s="203" t="s">
        <v>2672</v>
      </c>
      <c r="B25" s="163">
        <f>COUNTIFS(tblParticipants[ParticipantID],"&lt;&gt;",tblParticipants[ParticipantName],"&lt;&gt;",tblParticipants[EnrollQtr],1,tblParticipants[NtvHawOrPacIsl],1,tblParticipants[Multiracial],0)</f>
        <v>0</v>
      </c>
      <c r="C25" s="164">
        <f>COUNTIFS(tblParticipants[ParticipantID],"&lt;&gt;",tblParticipants[ParticipantName],"&lt;&gt;",tblParticipants[EnrollQtr],1,tblParticipants[ExitQtr],1,tblParticipants[NtvHawOrPacIsl],1,tblParticipants[Multiracial],0)</f>
        <v>0</v>
      </c>
      <c r="D25" s="164">
        <f>COUNTIFS(tblParticipants[ParticipantID],"&lt;&gt;",tblParticipants[ParticipantName],"&lt;&gt;",tblParticipants[EnrollQtr],1,tblParticipants[HrlyWgPlmt],"&gt;0",tblParticipants[EmployQtr],1,tblParticipants[ExitQtr],1,tblParticipants[NtvHawOrPacIsl],1,tblParticipants[Multiracial],0)</f>
        <v>0</v>
      </c>
      <c r="E25" s="165">
        <f>IFERROR(AVERAGEIFS(tblParticipants[HrlyWgPlmt],tblParticipants[ParticipantID],"&lt;&gt;",tblParticipants[ParticipantName],"&lt;&gt;",tblParticipants[EnrollQtr],1,tblParticipants[HrlyWgPlmt],"&gt;0",tblParticipants[EmployQtr],1,tblParticipants[ExitQtr],1,tblParticipants[NtvHawOrPacIsl],1,tblParticipants[Multiracial],0),0)</f>
        <v>0</v>
      </c>
      <c r="G25" s="163">
        <f>COUNTIFS(tblParticipants[ParticipantID],"&lt;&gt;",tblParticipants[ParticipantName],"&lt;&gt;",tblParticipants[EnrollQtr],2,tblParticipants[NtvHawOrPacIsl],1,tblParticipants[Multiracial],0)</f>
        <v>0</v>
      </c>
      <c r="H25" s="164">
        <f>COUNTIFS(tblParticipants[ParticipantID],"&lt;&gt;",tblParticipants[ParticipantName],"&lt;&gt;",tblParticipants[EnrollQtr],"&gt;=1",tblParticipants[EnrollQtr],"&lt;=2",tblParticipants[ExitQtr],2,tblParticipants[NtvHawOrPacIsl],1,tblParticipants[Multiracial],0)</f>
        <v>0</v>
      </c>
      <c r="I25" s="164">
        <f>COUNTIFS(tblParticipants[ParticipantID],"&lt;&gt;",tblParticipants[ParticipantName],"&lt;&gt;",tblParticipants[EnrollQtr],"&gt;=1",tblParticipants[EnrollQtr],"&lt;=2",tblParticipants[HrlyWgPlmt],"&gt;0",tblParticipants[EmployQtr],2,tblParticipants[ExitQtr],2,tblParticipants[NtvHawOrPacIsl],1,tblParticipants[Multiracial],0)</f>
        <v>0</v>
      </c>
      <c r="J25" s="165">
        <f>IFERROR(AVERAGEIFS(tblParticipants[HrlyWgPlmt],tblParticipants[ParticipantID],"&lt;&gt;",tblParticipants[ParticipantName],"&lt;&gt;",tblParticipants[EnrollQtr],"&gt;=1",tblParticipants[EnrollQtr],"&lt;=2",tblParticipants[HrlyWgPlmt],"&gt;0",tblParticipants[EmployQtr],2,tblParticipants[ExitQtr],2,tblParticipants[NtvHawOrPacIsl],1,tblParticipants[Multiracial],0),0)</f>
        <v>0</v>
      </c>
      <c r="L25" s="163">
        <f>COUNTIFS(tblParticipants[ParticipantID],"&lt;&gt;",tblParticipants[ParticipantName],"&lt;&gt;",tblParticipants[EnrollQtr],3,tblParticipants[NtvHawOrPacIsl],1,tblParticipants[Multiracial],0)</f>
        <v>0</v>
      </c>
      <c r="M25" s="164">
        <f>COUNTIFS(tblParticipants[ParticipantID],"&lt;&gt;",tblParticipants[ParticipantName],"&lt;&gt;",tblParticipants[EnrollQtr],"&gt;=1",tblParticipants[EnrollQtr],"&lt;=3",tblParticipants[ExitQtr],3,tblParticipants[NtvHawOrPacIsl],1,tblParticipants[Multiracial],0)</f>
        <v>0</v>
      </c>
      <c r="N25" s="164">
        <f>COUNTIFS(tblParticipants[ParticipantID],"&lt;&gt;",tblParticipants[ParticipantName],"&lt;&gt;",tblParticipants[EnrollQtr],"&gt;=1",tblParticipants[EnrollQtr],"&lt;=3",tblParticipants[HrlyWgPlmt],"&gt;0",tblParticipants[EmployQtr],3,tblParticipants[ExitQtr],3,tblParticipants[NtvHawOrPacIsl],1,tblParticipants[Multiracial],0)</f>
        <v>0</v>
      </c>
      <c r="O25" s="165">
        <f>IFERROR(AVERAGEIFS(tblParticipants[HrlyWgPlmt],tblParticipants[ParticipantID],"&lt;&gt;",tblParticipants[ParticipantName],"&lt;&gt;",tblParticipants[EnrollQtr],"&gt;=1",tblParticipants[EnrollQtr],"&lt;=3",tblParticipants[HrlyWgPlmt],"&gt;0",tblParticipants[EmployQtr],3,tblParticipants[ExitQtr],3,tblParticipants[NtvHawOrPacIsl],1,tblParticipants[Multiracial],0),0)</f>
        <v>0</v>
      </c>
      <c r="Q25" s="163">
        <f>COUNTIFS(tblParticipants[ParticipantID],"&lt;&gt;",tblParticipants[ParticipantName],"&lt;&gt;",tblParticipants[EnrollQtr],4,tblParticipants[NtvHawOrPacIsl],1,tblParticipants[Multiracial],0)</f>
        <v>0</v>
      </c>
      <c r="R25" s="164">
        <f>COUNTIFS(tblParticipants[ParticipantID],"&lt;&gt;",tblParticipants[ParticipantName],"&lt;&gt;",tblParticipants[EnrollQtr],"&gt;=1",tblParticipants[EnrollQtr],"&lt;=4",tblParticipants[ExitQtr],4,tblParticipants[NtvHawOrPacIsl],1,tblParticipants[Multiracial],0)</f>
        <v>0</v>
      </c>
      <c r="S25" s="164">
        <f>COUNTIFS(tblParticipants[ParticipantID],"&lt;&gt;",tblParticipants[ParticipantName],"&lt;&gt;",tblParticipants[EnrollQtr],"&gt;=1",tblParticipants[EnrollQtr],"&lt;=4",tblParticipants[HrlyWgPlmt],"&gt;0",tblParticipants[EmployQtr],4,tblParticipants[ExitQtr],4,tblParticipants[NtvHawOrPacIsl],1,tblParticipants[Multiracial],0)</f>
        <v>0</v>
      </c>
      <c r="T25" s="165">
        <f>IFERROR(AVERAGEIFS(tblParticipants[HrlyWgPlmt],tblParticipants[ParticipantID],"&lt;&gt;",tblParticipants[ParticipantName],"&lt;&gt;",tblParticipants[EnrollQtr],"&gt;=1",tblParticipants[EnrollQtr],"&lt;=4",tblParticipants[HrlyWgPlmt],"&gt;0",tblParticipants[EmployQtr],4,tblParticipants[ExitQtr],4,tblParticipants[NtvHawOrPacIsl],1,tblParticipants[Multiracial],0),0)</f>
        <v>0</v>
      </c>
      <c r="V25" s="146">
        <f t="shared" si="0"/>
        <v>0</v>
      </c>
      <c r="W25" s="148">
        <f t="shared" si="1"/>
        <v>0</v>
      </c>
      <c r="X25" s="148">
        <f t="shared" si="2"/>
        <v>0</v>
      </c>
      <c r="Y25" s="150">
        <f t="shared" si="3"/>
        <v>0</v>
      </c>
      <c r="Z25" s="190">
        <f t="shared" si="4"/>
        <v>0</v>
      </c>
    </row>
    <row r="26" spans="1:26" x14ac:dyDescent="0.3">
      <c r="A26" s="203" t="s">
        <v>3</v>
      </c>
      <c r="B26" s="163">
        <f>COUNTIFS(tblParticipants[ParticipantID],"&lt;&gt;",tblParticipants[ParticipantName],"&lt;&gt;",tblParticipants[EnrollQtr],1,tblParticipants[White],1,tblParticipants[Multiracial],0)</f>
        <v>0</v>
      </c>
      <c r="C26" s="164">
        <f>COUNTIFS(tblParticipants[ParticipantID],"&lt;&gt;",tblParticipants[ParticipantName],"&lt;&gt;",tblParticipants[EnrollQtr],1,tblParticipants[ExitQtr],1,tblParticipants[White],1,tblParticipants[Multiracial],0)</f>
        <v>0</v>
      </c>
      <c r="D26" s="164">
        <f>COUNTIFS(tblParticipants[ParticipantID],"&lt;&gt;",tblParticipants[ParticipantName],"&lt;&gt;",tblParticipants[EnrollQtr],1,tblParticipants[HrlyWgPlmt],"&gt;0",tblParticipants[EmployQtr],1,tblParticipants[ExitQtr],1,tblParticipants[White],1,tblParticipants[Multiracial],0)</f>
        <v>0</v>
      </c>
      <c r="E26" s="165">
        <f>IFERROR(AVERAGEIFS(tblParticipants[HrlyWgPlmt],tblParticipants[ParticipantID],"&lt;&gt;",tblParticipants[ParticipantName],"&lt;&gt;",tblParticipants[EnrollQtr],1,tblParticipants[HrlyWgPlmt],"&gt;0",tblParticipants[EmployQtr],1,tblParticipants[ExitQtr],1,tblParticipants[White],1,tblParticipants[Multiracial],0),0)</f>
        <v>0</v>
      </c>
      <c r="G26" s="163">
        <f>COUNTIFS(tblParticipants[ParticipantID],"&lt;&gt;",tblParticipants[ParticipantName],"&lt;&gt;",tblParticipants[EnrollQtr],2,tblParticipants[White],1,tblParticipants[Multiracial],0)</f>
        <v>0</v>
      </c>
      <c r="H26" s="164">
        <f>COUNTIFS(tblParticipants[ParticipantID],"&lt;&gt;",tblParticipants[ParticipantName],"&lt;&gt;",tblParticipants[EnrollQtr],"&gt;=1",tblParticipants[EnrollQtr],"&lt;=2",tblParticipants[ExitQtr],2,tblParticipants[White],1,tblParticipants[Multiracial],0)</f>
        <v>0</v>
      </c>
      <c r="I26" s="164">
        <f>COUNTIFS(tblParticipants[ParticipantID],"&lt;&gt;",tblParticipants[ParticipantName],"&lt;&gt;",tblParticipants[EnrollQtr],"&gt;=1",tblParticipants[EnrollQtr],"&lt;=2",tblParticipants[HrlyWgPlmt],"&gt;0",tblParticipants[EmployQtr],2,tblParticipants[ExitQtr],2,tblParticipants[White],1,tblParticipants[Multiracial],0)</f>
        <v>0</v>
      </c>
      <c r="J26" s="165">
        <f>IFERROR(AVERAGEIFS(tblParticipants[HrlyWgPlmt],tblParticipants[ParticipantID],"&lt;&gt;",tblParticipants[ParticipantName],"&lt;&gt;",tblParticipants[EnrollQtr],"&gt;=1",tblParticipants[EnrollQtr],"&lt;=2",tblParticipants[HrlyWgPlmt],"&gt;0",tblParticipants[EmployQtr],2,tblParticipants[ExitQtr],2,tblParticipants[White],1,tblParticipants[Multiracial],0),0)</f>
        <v>0</v>
      </c>
      <c r="L26" s="163">
        <f>COUNTIFS(tblParticipants[ParticipantID],"&lt;&gt;",tblParticipants[ParticipantName],"&lt;&gt;",tblParticipants[EnrollQtr],3,tblParticipants[White],1,tblParticipants[Multiracial],0)</f>
        <v>0</v>
      </c>
      <c r="M26" s="164">
        <f>COUNTIFS(tblParticipants[ParticipantID],"&lt;&gt;",tblParticipants[ParticipantName],"&lt;&gt;",tblParticipants[EnrollQtr],"&gt;=1",tblParticipants[EnrollQtr],"&lt;=3",tblParticipants[ExitQtr],3,tblParticipants[White],1,tblParticipants[Multiracial],0)</f>
        <v>0</v>
      </c>
      <c r="N26" s="164">
        <f>COUNTIFS(tblParticipants[ParticipantID],"&lt;&gt;",tblParticipants[ParticipantName],"&lt;&gt;",tblParticipants[EnrollQtr],"&gt;=1",tblParticipants[EnrollQtr],"&lt;=3",tblParticipants[HrlyWgPlmt],"&gt;0",tblParticipants[EmployQtr],3,tblParticipants[ExitQtr],3,tblParticipants[White],1,tblParticipants[Multiracial],0)</f>
        <v>0</v>
      </c>
      <c r="O26" s="165">
        <f>IFERROR(AVERAGEIFS(tblParticipants[HrlyWgPlmt],tblParticipants[ParticipantID],"&lt;&gt;",tblParticipants[ParticipantName],"&lt;&gt;",tblParticipants[EnrollQtr],"&gt;=1",tblParticipants[EnrollQtr],"&lt;=3",tblParticipants[HrlyWgPlmt],"&gt;0",tblParticipants[EmployQtr],3,tblParticipants[ExitQtr],3,tblParticipants[White],1,tblParticipants[Multiracial],0),0)</f>
        <v>0</v>
      </c>
      <c r="Q26" s="163">
        <f>COUNTIFS(tblParticipants[ParticipantID],"&lt;&gt;",tblParticipants[ParticipantName],"&lt;&gt;",tblParticipants[EnrollQtr],4,tblParticipants[White],1,tblParticipants[Multiracial],0)</f>
        <v>0</v>
      </c>
      <c r="R26" s="164">
        <f>COUNTIFS(tblParticipants[ParticipantID],"&lt;&gt;",tblParticipants[ParticipantName],"&lt;&gt;",tblParticipants[EnrollQtr],"&gt;=1",tblParticipants[EnrollQtr],"&lt;=4",tblParticipants[ExitQtr],4,tblParticipants[White],1,tblParticipants[Multiracial],0)</f>
        <v>0</v>
      </c>
      <c r="S26" s="164">
        <f>COUNTIFS(tblParticipants[ParticipantID],"&lt;&gt;",tblParticipants[ParticipantName],"&lt;&gt;",tblParticipants[EnrollQtr],"&gt;=1",tblParticipants[EnrollQtr],"&lt;=4",tblParticipants[HrlyWgPlmt],"&gt;0",tblParticipants[EmployQtr],4,tblParticipants[ExitQtr],4,tblParticipants[White],1,tblParticipants[Multiracial],0)</f>
        <v>0</v>
      </c>
      <c r="T26" s="165">
        <f>IFERROR(AVERAGEIFS(tblParticipants[HrlyWgPlmt],tblParticipants[ParticipantID],"&lt;&gt;",tblParticipants[ParticipantName],"&lt;&gt;",tblParticipants[EnrollQtr],"&gt;=1",tblParticipants[EnrollQtr],"&lt;=4",tblParticipants[HrlyWgPlmt],"&gt;0",tblParticipants[EmployQtr],4,tblParticipants[ExitQtr],4,tblParticipants[White],1,tblParticipants[Multiracial],0),0)</f>
        <v>0</v>
      </c>
      <c r="V26" s="146">
        <f t="shared" si="0"/>
        <v>0</v>
      </c>
      <c r="W26" s="148">
        <f t="shared" si="1"/>
        <v>0</v>
      </c>
      <c r="X26" s="148">
        <f t="shared" si="2"/>
        <v>0</v>
      </c>
      <c r="Y26" s="150">
        <f t="shared" si="3"/>
        <v>0</v>
      </c>
      <c r="Z26" s="190">
        <f t="shared" si="4"/>
        <v>0</v>
      </c>
    </row>
    <row r="27" spans="1:26" x14ac:dyDescent="0.3">
      <c r="A27" s="203" t="s">
        <v>2563</v>
      </c>
      <c r="B27" s="163">
        <f>COUNTIFS(tblParticipants[ParticipantID],"&lt;&gt;",tblParticipants[ParticipantName],"&lt;&gt;",tblParticipants[EnrollQtr],1,tblParticipants[Multiracial],1)</f>
        <v>0</v>
      </c>
      <c r="C27" s="163">
        <f>COUNTIFS(tblParticipants[ParticipantID],"&lt;&gt;",tblParticipants[ParticipantName],"&lt;&gt;",tblParticipants[EnrollQtr],1,tblParticipants[ExitQtr],1,tblParticipants[Multiracial],1)</f>
        <v>0</v>
      </c>
      <c r="D27" s="167">
        <f>COUNTIFS(tblParticipants[ParticipantID],"&lt;&gt;",tblParticipants[ParticipantName],"&lt;&gt;",tblParticipants[EnrollQtr],1,tblParticipants[HrlyWgPlmt],"&gt;0",tblParticipants[EmployQtr],1,tblParticipants[ExitQtr],1,tblParticipants[Multiracial],1)</f>
        <v>0</v>
      </c>
      <c r="E27" s="165">
        <f>IFERROR(AVERAGEIFS(tblParticipants[HrlyWgPlmt],tblParticipants[ParticipantID],"&lt;&gt;",tblParticipants[ParticipantName],"&lt;&gt;",tblParticipants[EnrollQtr],1,tblParticipants[HrlyWgPlmt],"&gt;0",tblParticipants[EmployQtr],1,tblParticipants[ExitQtr],1,tblParticipants[Multiracial],1),0)</f>
        <v>0</v>
      </c>
      <c r="G27" s="163">
        <f>COUNTIFS(tblParticipants[ParticipantID],"&lt;&gt;",tblParticipants[ParticipantName],"&lt;&gt;",tblParticipants[EnrollQtr],2,tblParticipants[Multiracial],1)</f>
        <v>0</v>
      </c>
      <c r="H27" s="167">
        <f>COUNTIFS(tblParticipants[ParticipantID],"&lt;&gt;",tblParticipants[ParticipantName],"&lt;&gt;",tblParticipants[EnrollQtr],"&gt;=1",tblParticipants[EnrollQtr],"&lt;=2",tblParticipants[ExitQtr],2,tblParticipants[Multiracial],1)</f>
        <v>0</v>
      </c>
      <c r="I27" s="167">
        <f>COUNTIFS(tblParticipants[ParticipantID],"&lt;&gt;",tblParticipants[ParticipantName],"&lt;&gt;",tblParticipants[EnrollQtr],"&gt;=1",tblParticipants[EnrollQtr],"&lt;=2",tblParticipants[HrlyWgPlmt],"&gt;0",tblParticipants[EmployQtr],2,tblParticipants[ExitQtr],2,tblParticipants[Multiracial],1)</f>
        <v>0</v>
      </c>
      <c r="J27" s="168">
        <f>IFERROR(AVERAGEIFS(tblParticipants[HrlyWgPlmt],tblParticipants[ParticipantID],"&lt;&gt;",tblParticipants[ParticipantName],"&lt;&gt;",tblParticipants[EnrollQtr],"&gt;=1",tblParticipants[EnrollQtr],"&lt;=2",tblParticipants[HrlyWgPlmt],"&gt;0",tblParticipants[EmployQtr],2,tblParticipants[ExitQtr],2,tblParticipants[Multiracial],1),0)</f>
        <v>0</v>
      </c>
      <c r="L27" s="163">
        <f>COUNTIFS(tblParticipants[ParticipantID],"&lt;&gt;",tblParticipants[ParticipantName],"&lt;&gt;",tblParticipants[EnrollQtr],3,tblParticipants[Multiracial],1)</f>
        <v>0</v>
      </c>
      <c r="M27" s="167">
        <f>COUNTIFS(tblParticipants[ParticipantID],"&lt;&gt;",tblParticipants[ParticipantName],"&lt;&gt;",tblParticipants[EnrollQtr],"&gt;=1",tblParticipants[EnrollQtr],"&lt;=3",tblParticipants[ExitQtr],3,tblParticipants[Multiracial],1)</f>
        <v>0</v>
      </c>
      <c r="N27" s="167">
        <f>COUNTIFS(tblParticipants[ParticipantID],"&lt;&gt;",tblParticipants[ParticipantName],"&lt;&gt;",tblParticipants[EnrollQtr],"&gt;=1",tblParticipants[EnrollQtr],"&lt;=3",tblParticipants[HrlyWgPlmt],"&gt;0",tblParticipants[EmployQtr],3,tblParticipants[ExitQtr],3,tblParticipants[Multiracial],1)</f>
        <v>0</v>
      </c>
      <c r="O27" s="168">
        <f>IFERROR(AVERAGEIFS(tblParticipants[HrlyWgPlmt],tblParticipants[ParticipantID],"&lt;&gt;",tblParticipants[ParticipantName],"&lt;&gt;",tblParticipants[EnrollQtr],"&gt;=1",tblParticipants[EnrollQtr],"&lt;=3",tblParticipants[HrlyWgPlmt],"&gt;0",tblParticipants[EmployQtr],3,tblParticipants[ExitQtr],3,tblParticipants[Multiracial],1),0)</f>
        <v>0</v>
      </c>
      <c r="Q27" s="166">
        <f>COUNTIFS(tblParticipants[ParticipantID],"&lt;&gt;",tblParticipants[ParticipantName],"&lt;&gt;",tblParticipants[EnrollQtr],4,tblParticipants[Multiracial],1)</f>
        <v>0</v>
      </c>
      <c r="R27" s="167">
        <f>COUNTIFS(tblParticipants[ParticipantID],"&lt;&gt;",tblParticipants[ParticipantName],"&lt;&gt;",tblParticipants[EnrollQtr],"&gt;=1",tblParticipants[EnrollQtr],"&lt;=4",tblParticipants[ExitQtr],4,tblParticipants[Multiracial],1)</f>
        <v>0</v>
      </c>
      <c r="S27" s="167">
        <f>COUNTIFS(tblParticipants[ParticipantID],"&lt;&gt;",tblParticipants[ParticipantName],"&lt;&gt;",tblParticipants[EnrollQtr],"&gt;=1",tblParticipants[EnrollQtr],"&lt;=4",tblParticipants[HrlyWgPlmt],"&gt;0",tblParticipants[EmployQtr],4,tblParticipants[ExitQtr],4,tblParticipants[Multiracial],1)</f>
        <v>0</v>
      </c>
      <c r="T27" s="168">
        <f>IFERROR(AVERAGEIFS(tblParticipants[HrlyWgPlmt],tblParticipants[ParticipantID],"&lt;&gt;",tblParticipants[ParticipantName],"&lt;&gt;",tblParticipants[EnrollQtr],"&gt;=1",tblParticipants[EnrollQtr],"&lt;=4",tblParticipants[HrlyWgPlmt],"&gt;0",tblParticipants[EmployQtr],4,tblParticipants[ExitQtr],4,tblParticipants[Multiracial],1),0)</f>
        <v>0</v>
      </c>
      <c r="V27" s="146">
        <f t="shared" si="0"/>
        <v>0</v>
      </c>
      <c r="W27" s="148">
        <f t="shared" si="1"/>
        <v>0</v>
      </c>
      <c r="X27" s="148">
        <f t="shared" si="2"/>
        <v>0</v>
      </c>
      <c r="Y27" s="150">
        <f t="shared" si="3"/>
        <v>0</v>
      </c>
      <c r="Z27" s="190">
        <f t="shared" si="4"/>
        <v>0</v>
      </c>
    </row>
    <row r="28" spans="1:26" x14ac:dyDescent="0.3">
      <c r="A28" s="204" t="s">
        <v>2668</v>
      </c>
      <c r="V28" s="48"/>
      <c r="W28" s="46"/>
      <c r="X28" s="46"/>
      <c r="Y28" s="46"/>
      <c r="Z28" s="47"/>
    </row>
    <row r="29" spans="1:26" x14ac:dyDescent="0.3">
      <c r="A29" s="205" t="s">
        <v>3077</v>
      </c>
      <c r="B29" s="179"/>
      <c r="C29" s="157"/>
      <c r="D29" s="178"/>
      <c r="E29" s="178"/>
      <c r="F29" s="178"/>
      <c r="G29" s="178"/>
      <c r="H29" s="179"/>
      <c r="I29" s="179"/>
      <c r="J29" s="179"/>
      <c r="K29" s="179"/>
      <c r="L29" s="157"/>
      <c r="M29" s="178"/>
      <c r="N29" s="179"/>
      <c r="O29" s="179"/>
      <c r="P29" s="157"/>
      <c r="Q29" s="178"/>
      <c r="R29" s="178"/>
      <c r="S29" s="178"/>
      <c r="T29" s="178"/>
      <c r="U29" s="181"/>
      <c r="V29" s="158"/>
      <c r="W29" s="178"/>
      <c r="X29" s="179"/>
      <c r="Y29" s="179"/>
      <c r="Z29" s="160"/>
    </row>
    <row r="30" spans="1:26" x14ac:dyDescent="0.3">
      <c r="A30" s="203" t="s">
        <v>2673</v>
      </c>
      <c r="B30" s="163">
        <f>COUNTIFS(tblParticipants[ParticipantID],"&lt;&gt;",tblParticipants[ParticipantName],"&lt;&gt;",tblParticipants[EnrollQtr],1,tblParticipants[Age],"&gt;=18",tblParticipants[Age],"&lt;20")</f>
        <v>0</v>
      </c>
      <c r="C30" s="163">
        <f>COUNTIFS(tblParticipants[ParticipantID],"&lt;&gt;",tblParticipants[ParticipantName],"&lt;&gt;",tblParticipants[EnrollQtr],1,tblParticipants[ExitQtr],1,tblParticipants[Age],"&gt;=18",tblParticipants[Age],"&lt;20")</f>
        <v>0</v>
      </c>
      <c r="D30" s="163">
        <f>COUNTIFS(tblParticipants[ParticipantID],"&lt;&gt;",tblParticipants[ParticipantName],"&lt;&gt;",tblParticipants[EnrollQtr],1,tblParticipants[HrlyWgPlmt],"&gt;0",tblParticipants[EmployQtr],1,tblParticipants[ExitQtr],1,tblParticipants[Age],"&gt;=18",tblParticipants[Age],"&lt;20")</f>
        <v>0</v>
      </c>
      <c r="E30" s="165">
        <f>IFERROR(AVERAGEIFS(tblParticipants[HrlyWgPlmt],tblParticipants[ParticipantID],"&lt;&gt;",tblParticipants[ParticipantName],"&lt;&gt;",tblParticipants[EnrollQtr],1,tblParticipants[HrlyWgPlmt],"&gt;0",tblParticipants[EmployQtr],1,tblParticipants[ExitQtr],1,tblParticipants[Age],"&gt;=18",tblParticipants[Age],"&lt;20"),0)</f>
        <v>0</v>
      </c>
      <c r="G30" s="163">
        <f>COUNTIFS(tblParticipants[ParticipantID],"&lt;&gt;",tblParticipants[ParticipantName],"&lt;&gt;",tblParticipants[EnrollQtr],2,tblParticipants[Age],"&gt;=18",tblParticipants[Age],"&lt;20")</f>
        <v>0</v>
      </c>
      <c r="H30" s="163">
        <f>COUNTIFS(tblParticipants[ParticipantID],"&lt;&gt;",tblParticipants[ParticipantName],"&lt;&gt;",tblParticipants[EnrollQtr],"&gt;=1",tblParticipants[EnrollQtr],"&lt;=2",tblParticipants[ExitQtr],2,tblParticipants[Age],"&gt;=18",tblParticipants[Age],"&lt;20")</f>
        <v>0</v>
      </c>
      <c r="I30" s="163">
        <f>COUNTIFS(tblParticipants[ParticipantID],"&lt;&gt;",tblParticipants[ParticipantName],"&lt;&gt;",tblParticipants[EnrollQtr],"&gt;=1",tblParticipants[EnrollQtr],"&lt;=2",tblParticipants[HrlyWgPlmt],"&gt;0",tblParticipants[EmployQtr],2,tblParticipants[ExitQtr],2,tblParticipants[Age],"&gt;=18",tblParticipants[Age],"&lt;20")</f>
        <v>0</v>
      </c>
      <c r="J30" s="165">
        <f>IFERROR(AVERAGEIFS(tblParticipants[HrlyWgPlmt],tblParticipants[ParticipantID],"&lt;&gt;",tblParticipants[ParticipantName],"&lt;&gt;",tblParticipants[EnrollQtr],"&gt;=1",tblParticipants[EnrollQtr],"&lt;=2",tblParticipants[HrlyWgPlmt],"&gt;0",tblParticipants[EmployQtr],2,tblParticipants[ExitQtr],2,tblParticipants[Age],"&gt;=18",tblParticipants[Age],"&lt;20"),0)</f>
        <v>0</v>
      </c>
      <c r="L30" s="163">
        <f>COUNTIFS(tblParticipants[ParticipantID],"&lt;&gt;",tblParticipants[ParticipantName],"&lt;&gt;",tblParticipants[EnrollQtr],3,tblParticipants[Age],"&gt;=18",tblParticipants[Age],"&lt;20")</f>
        <v>0</v>
      </c>
      <c r="M30" s="163">
        <f>COUNTIFS(tblParticipants[ParticipantID],"&lt;&gt;",tblParticipants[ParticipantName],"&lt;&gt;",tblParticipants[EnrollQtr],"&gt;=1",tblParticipants[EnrollQtr],"&lt;=3",tblParticipants[ExitQtr],3,tblParticipants[Age],"&gt;=18",tblParticipants[Age],"&lt;20")</f>
        <v>0</v>
      </c>
      <c r="N30" s="163">
        <f>COUNTIFS(tblParticipants[ParticipantID],"&lt;&gt;",tblParticipants[ParticipantName],"&lt;&gt;",tblParticipants[EnrollQtr],"&gt;=1",tblParticipants[EnrollQtr],"&lt;=3",tblParticipants[HrlyWgPlmt],"&gt;0",tblParticipants[EmployQtr],3,tblParticipants[ExitQtr],3,tblParticipants[Age],"&gt;=18",tblParticipants[Age],"&lt;20")</f>
        <v>0</v>
      </c>
      <c r="O30" s="165">
        <f>IFERROR(AVERAGEIFS(tblParticipants[HrlyWgPlmt],tblParticipants[ParticipantID],"&lt;&gt;",tblParticipants[ParticipantName],"&lt;&gt;",tblParticipants[EnrollQtr],"&gt;=1",tblParticipants[EnrollQtr],"&lt;=3",tblParticipants[HrlyWgPlmt],"&gt;0",tblParticipants[EmployQtr],3,tblParticipants[ExitQtr],3,tblParticipants[Age],"&gt;=18",tblParticipants[Age],"&lt;20"),0)</f>
        <v>0</v>
      </c>
      <c r="Q30" s="163">
        <f>COUNTIFS(tblParticipants[ParticipantID],"&lt;&gt;",tblParticipants[ParticipantName],"&lt;&gt;",tblParticipants[EnrollQtr],4,tblParticipants[Age],"&gt;=18",tblParticipants[Age],"&lt;20")</f>
        <v>0</v>
      </c>
      <c r="R30" s="163">
        <f>COUNTIFS(tblParticipants[ParticipantID],"&lt;&gt;",tblParticipants[ParticipantName],"&lt;&gt;",tblParticipants[EnrollQtr],"&gt;=1",tblParticipants[EnrollQtr],"&lt;=4",tblParticipants[ExitQtr],4,tblParticipants[Age],"&gt;=18",tblParticipants[Age],"&lt;20")</f>
        <v>0</v>
      </c>
      <c r="S30" s="163">
        <f>COUNTIFS(tblParticipants[ParticipantID],"&lt;&gt;",tblParticipants[ParticipantName],"&lt;&gt;",tblParticipants[EnrollQtr],"&gt;=1",tblParticipants[EnrollQtr],"&lt;=4",tblParticipants[HrlyWgPlmt],"&gt;0",tblParticipants[EmployQtr],4,tblParticipants[ExitQtr],4,tblParticipants[Age],"&gt;=18",tblParticipants[Age],"&lt;20")</f>
        <v>0</v>
      </c>
      <c r="T30" s="165">
        <f>IFERROR(AVERAGEIFS(tblParticipants[HrlyWgPlmt],tblParticipants[ParticipantID],"&lt;&gt;",tblParticipants[ParticipantName],"&lt;&gt;",tblParticipants[EnrollQtr],"&gt;=1",tblParticipants[EnrollQtr],"&lt;=4",tblParticipants[HrlyWgPlmt],"&gt;0",tblParticipants[EmployQtr],4,tblParticipants[ExitQtr],4,tblParticipants[Age],"&gt;=18",tblParticipants[Age],"&lt;20"),0)</f>
        <v>0</v>
      </c>
      <c r="V30" s="146">
        <f>$B30+$G30+$L30+$Q30</f>
        <v>0</v>
      </c>
      <c r="W30" s="148">
        <f>$C30+$H30+$M30+$R30</f>
        <v>0</v>
      </c>
      <c r="X30" s="148">
        <f>$D30+$I30+$N30+$S30</f>
        <v>0</v>
      </c>
      <c r="Y30" s="150">
        <f>IF($W30=0,0,$X30/$W30)</f>
        <v>0</v>
      </c>
      <c r="Z30" s="190">
        <f>IF($X30=0,0,(($D30*$E30)+($I30*$J30)+($N30*$O30)+($S30*$T30))/$X30)</f>
        <v>0</v>
      </c>
    </row>
    <row r="31" spans="1:26" x14ac:dyDescent="0.3">
      <c r="A31" s="203" t="s">
        <v>2674</v>
      </c>
      <c r="B31" s="163">
        <f>COUNTIFS(tblParticipants[ParticipantID],"&lt;&gt;",tblParticipants[ParticipantName],"&lt;&gt;",tblParticipants[EnrollQtr],1,tblParticipants[Age],"&gt;=20",tblParticipants[Age],"&lt;25")</f>
        <v>0</v>
      </c>
      <c r="C31" s="163">
        <f>COUNTIFS(tblParticipants[ParticipantID],"&lt;&gt;",tblParticipants[ParticipantName],"&lt;&gt;",tblParticipants[EnrollQtr],1,tblParticipants[ExitQtr],1,tblParticipants[Age],"&gt;=20",tblParticipants[Age],"&lt;25")</f>
        <v>0</v>
      </c>
      <c r="D31" s="163">
        <f>COUNTIFS(tblParticipants[ParticipantID],"&lt;&gt;",tblParticipants[ParticipantName],"&lt;&gt;",tblParticipants[EnrollQtr],1,tblParticipants[HrlyWgPlmt],"&gt;0",tblParticipants[EmployQtr],1,tblParticipants[ExitQtr],1,tblParticipants[Age],"&gt;=20",tblParticipants[Age],"&lt;25")</f>
        <v>0</v>
      </c>
      <c r="E31" s="165">
        <f>IFERROR(AVERAGEIFS(tblParticipants[HrlyWgPlmt],tblParticipants[ParticipantID],"&lt;&gt;",tblParticipants[ParticipantName],"&lt;&gt;",tblParticipants[EnrollQtr],1,tblParticipants[HrlyWgPlmt],"&gt;0",tblParticipants[EmployQtr],1,tblParticipants[ExitQtr],1,tblParticipants[Age],"&gt;=20",tblParticipants[Age],"&lt;25"),0)</f>
        <v>0</v>
      </c>
      <c r="G31" s="163">
        <f>COUNTIFS(tblParticipants[ParticipantID],"&lt;&gt;",tblParticipants[ParticipantName],"&lt;&gt;",tblParticipants[EnrollQtr],2,tblParticipants[Age],"&gt;=20",tblParticipants[Age],"&lt;25")</f>
        <v>0</v>
      </c>
      <c r="H31" s="163">
        <f>COUNTIFS(tblParticipants[ParticipantID],"&lt;&gt;",tblParticipants[ParticipantName],"&lt;&gt;",tblParticipants[EnrollQtr],"&gt;=1",tblParticipants[EnrollQtr],"&lt;=2",tblParticipants[ExitQtr],2,tblParticipants[Age],"&gt;=20",tblParticipants[Age],"&lt;25")</f>
        <v>0</v>
      </c>
      <c r="I31" s="163">
        <f>COUNTIFS(tblParticipants[ParticipantID],"&lt;&gt;",tblParticipants[ParticipantName],"&lt;&gt;",tblParticipants[EnrollQtr],"&gt;=1",tblParticipants[EnrollQtr],"&lt;=2",tblParticipants[HrlyWgPlmt],"&gt;0",tblParticipants[EmployQtr],2,tblParticipants[ExitQtr],2,tblParticipants[Age],"&gt;=20",tblParticipants[Age],"&lt;25")</f>
        <v>0</v>
      </c>
      <c r="J31" s="165">
        <f>IFERROR(AVERAGEIFS(tblParticipants[HrlyWgPlmt],tblParticipants[ParticipantID],"&lt;&gt;",tblParticipants[ParticipantName],"&lt;&gt;",tblParticipants[EnrollQtr],"&gt;=1",tblParticipants[EnrollQtr],"&lt;=2",tblParticipants[HrlyWgPlmt],"&gt;0",tblParticipants[EmployQtr],2,tblParticipants[ExitQtr],2,tblParticipants[Age],"&gt;=20",tblParticipants[Age],"&lt;25"),0)</f>
        <v>0</v>
      </c>
      <c r="L31" s="163">
        <f>COUNTIFS(tblParticipants[ParticipantID],"&lt;&gt;",tblParticipants[ParticipantName],"&lt;&gt;",tblParticipants[EnrollQtr],3,tblParticipants[Age],"&gt;=20",tblParticipants[Age],"&lt;25")</f>
        <v>0</v>
      </c>
      <c r="M31" s="163">
        <f>COUNTIFS(tblParticipants[ParticipantID],"&lt;&gt;",tblParticipants[ParticipantName],"&lt;&gt;",tblParticipants[EnrollQtr],"&gt;=1",tblParticipants[EnrollQtr],"&lt;=3",tblParticipants[ExitQtr],3,tblParticipants[Age],"&gt;=20",tblParticipants[Age],"&lt;25")</f>
        <v>0</v>
      </c>
      <c r="N31" s="163">
        <f>COUNTIFS(tblParticipants[ParticipantID],"&lt;&gt;",tblParticipants[ParticipantName],"&lt;&gt;",tblParticipants[EnrollQtr],"&gt;=1",tblParticipants[EnrollQtr],"&lt;=3",tblParticipants[HrlyWgPlmt],"&gt;0",tblParticipants[EmployQtr],3,tblParticipants[ExitQtr],3,tblParticipants[Age],"&gt;=20",tblParticipants[Age],"&lt;25")</f>
        <v>0</v>
      </c>
      <c r="O31" s="165">
        <f>IFERROR(AVERAGEIFS(tblParticipants[HrlyWgPlmt],tblParticipants[ParticipantID],"&lt;&gt;",tblParticipants[ParticipantName],"&lt;&gt;",tblParticipants[EnrollQtr],"&gt;=1",tblParticipants[EnrollQtr],"&lt;=3",tblParticipants[HrlyWgPlmt],"&gt;0",tblParticipants[EmployQtr],3,tblParticipants[ExitQtr],3,tblParticipants[Age],"&gt;=20",tblParticipants[Age],"&lt;25"),0)</f>
        <v>0</v>
      </c>
      <c r="Q31" s="163">
        <f>COUNTIFS(tblParticipants[ParticipantID],"&lt;&gt;",tblParticipants[ParticipantName],"&lt;&gt;",tblParticipants[EnrollQtr],4,tblParticipants[Age],"&gt;=20",tblParticipants[Age],"&lt;25")</f>
        <v>0</v>
      </c>
      <c r="R31" s="163">
        <f>COUNTIFS(tblParticipants[ParticipantID],"&lt;&gt;",tblParticipants[ParticipantName],"&lt;&gt;",tblParticipants[EnrollQtr],"&gt;=1",tblParticipants[EnrollQtr],"&lt;=4",tblParticipants[ExitQtr],4,tblParticipants[Age],"&gt;=20",tblParticipants[Age],"&lt;25")</f>
        <v>0</v>
      </c>
      <c r="S31" s="163">
        <f>COUNTIFS(tblParticipants[ParticipantID],"&lt;&gt;",tblParticipants[ParticipantName],"&lt;&gt;",tblParticipants[EnrollQtr],"&gt;=1",tblParticipants[EnrollQtr],"&lt;=4",tblParticipants[HrlyWgPlmt],"&gt;0",tblParticipants[EmployQtr],4,tblParticipants[ExitQtr],4,tblParticipants[Age],"&gt;=20",tblParticipants[Age],"&lt;25")</f>
        <v>0</v>
      </c>
      <c r="T31" s="165">
        <f>IFERROR(AVERAGEIFS(tblParticipants[HrlyWgPlmt],tblParticipants[ParticipantID],"&lt;&gt;",tblParticipants[ParticipantName],"&lt;&gt;",tblParticipants[EnrollQtr],"&gt;=1",tblParticipants[EnrollQtr],"&lt;=4",tblParticipants[HrlyWgPlmt],"&gt;0",tblParticipants[EmployQtr],4,tblParticipants[ExitQtr],4,tblParticipants[Age],"&gt;=20",tblParticipants[Age],"&lt;25"),0)</f>
        <v>0</v>
      </c>
      <c r="V31" s="146">
        <f t="shared" ref="V31:V37" si="5">$B31+$G31+$L31+$Q31</f>
        <v>0</v>
      </c>
      <c r="W31" s="148">
        <f t="shared" ref="W31:W37" si="6">$C31+$H31+$M31+$R31</f>
        <v>0</v>
      </c>
      <c r="X31" s="148">
        <f t="shared" ref="X31:X37" si="7">$D31+$I31+$N31+$S31</f>
        <v>0</v>
      </c>
      <c r="Y31" s="150">
        <f t="shared" ref="Y31:Y37" si="8">IF($W31=0,0,$X31/$W31)</f>
        <v>0</v>
      </c>
      <c r="Z31" s="190">
        <f t="shared" ref="Z31:Z37" si="9">IF($X31=0,0,(($D31*$E31)+($I31*$J31)+($N31*$O31)+($S31*$T31))/$X31)</f>
        <v>0</v>
      </c>
    </row>
    <row r="32" spans="1:26" x14ac:dyDescent="0.3">
      <c r="A32" s="203" t="s">
        <v>2675</v>
      </c>
      <c r="B32" s="163">
        <f>COUNTIFS(tblParticipants[ParticipantID],"&lt;&gt;",tblParticipants[ParticipantName],"&lt;&gt;",tblParticipants[EnrollQtr],1,tblParticipants[Age],"&gt;=25",tblParticipants[Age],"&lt;30")</f>
        <v>0</v>
      </c>
      <c r="C32" s="163">
        <f>COUNTIFS(tblParticipants[ParticipantID],"&lt;&gt;",tblParticipants[ParticipantName],"&lt;&gt;",tblParticipants[EnrollQtr],1,tblParticipants[ExitQtr],1,tblParticipants[Age],"&gt;=25",tblParticipants[Age],"&lt;30")</f>
        <v>0</v>
      </c>
      <c r="D32" s="163">
        <f>COUNTIFS(tblParticipants[ParticipantID],"&lt;&gt;",tblParticipants[ParticipantName],"&lt;&gt;",tblParticipants[EnrollQtr],1,tblParticipants[HrlyWgPlmt],"&gt;0",tblParticipants[EmployQtr],1,tblParticipants[ExitQtr],1,tblParticipants[Age],"&gt;=25",tblParticipants[Age],"&lt;30")</f>
        <v>0</v>
      </c>
      <c r="E32" s="165">
        <f>IFERROR(AVERAGEIFS(tblParticipants[HrlyWgPlmt],tblParticipants[ParticipantID],"&lt;&gt;",tblParticipants[ParticipantName],"&lt;&gt;",tblParticipants[EnrollQtr],1,tblParticipants[HrlyWgPlmt],"&gt;0",tblParticipants[EmployQtr],1,tblParticipants[ExitQtr],1,tblParticipants[Age],"&gt;=25",tblParticipants[Age],"&lt;30"),0)</f>
        <v>0</v>
      </c>
      <c r="G32" s="163">
        <f>COUNTIFS(tblParticipants[ParticipantID],"&lt;&gt;",tblParticipants[ParticipantName],"&lt;&gt;",tblParticipants[EnrollQtr],2,tblParticipants[Age],"&gt;=25",tblParticipants[Age],"&lt;30")</f>
        <v>0</v>
      </c>
      <c r="H32" s="163">
        <f>COUNTIFS(tblParticipants[ParticipantID],"&lt;&gt;",tblParticipants[ParticipantName],"&lt;&gt;",tblParticipants[EnrollQtr],"&gt;=1",tblParticipants[EnrollQtr],"&lt;=2",tblParticipants[ExitQtr],2,tblParticipants[Age],"&gt;=25",tblParticipants[Age],"&lt;30")</f>
        <v>0</v>
      </c>
      <c r="I32" s="163">
        <f>COUNTIFS(tblParticipants[ParticipantID],"&lt;&gt;",tblParticipants[ParticipantName],"&lt;&gt;",tblParticipants[EnrollQtr],"&gt;=1",tblParticipants[EnrollQtr],"&lt;=2",tblParticipants[HrlyWgPlmt],"&gt;0",tblParticipants[EmployQtr],2,tblParticipants[ExitQtr],2,tblParticipants[Age],"&gt;=25",tblParticipants[Age],"&lt;30")</f>
        <v>0</v>
      </c>
      <c r="J32" s="165">
        <f>IFERROR(AVERAGEIFS(tblParticipants[HrlyWgPlmt],tblParticipants[ParticipantID],"&lt;&gt;",tblParticipants[ParticipantName],"&lt;&gt;",tblParticipants[EnrollQtr],"&gt;=1",tblParticipants[EnrollQtr],"&lt;=2",tblParticipants[HrlyWgPlmt],"&gt;0",tblParticipants[EmployQtr],2,tblParticipants[ExitQtr],2,tblParticipants[Age],"&gt;=25",tblParticipants[Age],"&lt;30"),0)</f>
        <v>0</v>
      </c>
      <c r="L32" s="163">
        <f>COUNTIFS(tblParticipants[ParticipantID],"&lt;&gt;",tblParticipants[ParticipantName],"&lt;&gt;",tblParticipants[EnrollQtr],3,tblParticipants[Age],"&gt;=25",tblParticipants[Age],"&lt;30")</f>
        <v>0</v>
      </c>
      <c r="M32" s="163">
        <f>COUNTIFS(tblParticipants[ParticipantID],"&lt;&gt;",tblParticipants[ParticipantName],"&lt;&gt;",tblParticipants[EnrollQtr],"&gt;=1",tblParticipants[EnrollQtr],"&lt;=3",tblParticipants[ExitQtr],3,tblParticipants[Age],"&gt;=25",tblParticipants[Age],"&lt;29")</f>
        <v>0</v>
      </c>
      <c r="N32" s="163">
        <f>COUNTIFS(tblParticipants[ParticipantID],"&lt;&gt;",tblParticipants[ParticipantName],"&lt;&gt;",tblParticipants[EnrollQtr],"&gt;=1",tblParticipants[EnrollQtr],"&lt;=3",tblParticipants[HrlyWgPlmt],"&gt;0",tblParticipants[EmployQtr],3,tblParticipants[ExitQtr],3,tblParticipants[Age],"&gt;=25",tblParticipants[Age],"&lt;30")</f>
        <v>0</v>
      </c>
      <c r="O32" s="165">
        <f>IFERROR(AVERAGEIFS(tblParticipants[HrlyWgPlmt],tblParticipants[ParticipantID],"&lt;&gt;",tblParticipants[ParticipantName],"&lt;&gt;",tblParticipants[EnrollQtr],"&gt;=1",tblParticipants[EnrollQtr],"&lt;=3",tblParticipants[HrlyWgPlmt],"&gt;0",tblParticipants[EmployQtr],3,tblParticipants[ExitQtr],3,tblParticipants[Age],"&gt;=25",tblParticipants[Age],"&lt;30"),0)</f>
        <v>0</v>
      </c>
      <c r="Q32" s="163">
        <f>COUNTIFS(tblParticipants[ParticipantID],"&lt;&gt;",tblParticipants[ParticipantName],"&lt;&gt;",tblParticipants[EnrollQtr],4,tblParticipants[Age],"&gt;=25",tblParticipants[Age],"&lt;30")</f>
        <v>0</v>
      </c>
      <c r="R32" s="163">
        <f>COUNTIFS(tblParticipants[ParticipantID],"&lt;&gt;",tblParticipants[ParticipantName],"&lt;&gt;",tblParticipants[EnrollQtr],"&gt;=1",tblParticipants[EnrollQtr],"&lt;=4",tblParticipants[ExitQtr],4,tblParticipants[Age],"&gt;=25",tblParticipants[Age],"&lt;30")</f>
        <v>0</v>
      </c>
      <c r="S32" s="163">
        <f>COUNTIFS(tblParticipants[ParticipantID],"&lt;&gt;",tblParticipants[ParticipantName],"&lt;&gt;",tblParticipants[EnrollQtr],"&gt;=1",tblParticipants[EnrollQtr],"&lt;=4",tblParticipants[HrlyWgPlmt],"&gt;0",tblParticipants[EmployQtr],4,tblParticipants[ExitQtr],4,tblParticipants[Age],"&gt;=25",tblParticipants[Age],"&lt;30")</f>
        <v>0</v>
      </c>
      <c r="T32" s="165">
        <f>IFERROR(AVERAGEIFS(tblParticipants[HrlyWgPlmt],tblParticipants[ParticipantID],"&lt;&gt;",tblParticipants[ParticipantName],"&lt;&gt;",tblParticipants[EnrollQtr],"&gt;=1",tblParticipants[EnrollQtr],"&lt;=4",tblParticipants[HrlyWgPlmt],"&gt;0",tblParticipants[EmployQtr],4,tblParticipants[ExitQtr],4,tblParticipants[Age],"&gt;=25",tblParticipants[Age],"&lt;30"),0)</f>
        <v>0</v>
      </c>
      <c r="V32" s="146">
        <f t="shared" si="5"/>
        <v>0</v>
      </c>
      <c r="W32" s="148">
        <f t="shared" si="6"/>
        <v>0</v>
      </c>
      <c r="X32" s="148">
        <f t="shared" si="7"/>
        <v>0</v>
      </c>
      <c r="Y32" s="150">
        <f t="shared" si="8"/>
        <v>0</v>
      </c>
      <c r="Z32" s="190">
        <f t="shared" si="9"/>
        <v>0</v>
      </c>
    </row>
    <row r="33" spans="1:26" x14ac:dyDescent="0.3">
      <c r="A33" s="203" t="s">
        <v>2676</v>
      </c>
      <c r="B33" s="163">
        <f>COUNTIFS(tblParticipants[ParticipantID],"&lt;&gt;",tblParticipants[ParticipantName],"&lt;&gt;",tblParticipants[EnrollQtr],1,tblParticipants[Age],"&gt;=30",tblParticipants[Age],"&lt;35")</f>
        <v>0</v>
      </c>
      <c r="C33" s="163">
        <f>COUNTIFS(tblParticipants[ParticipantID],"&lt;&gt;",tblParticipants[ParticipantName],"&lt;&gt;",tblParticipants[EnrollQtr],1,tblParticipants[ExitQtr],1,tblParticipants[Age],"&gt;=30",tblParticipants[Age],"&lt;35")</f>
        <v>0</v>
      </c>
      <c r="D33" s="163">
        <f>COUNTIFS(tblParticipants[ParticipantID],"&lt;&gt;",tblParticipants[ParticipantName],"&lt;&gt;",tblParticipants[EnrollQtr],1,tblParticipants[HrlyWgPlmt],"&gt;0",tblParticipants[EmployQtr],1,tblParticipants[ExitQtr],1,tblParticipants[Age],"&gt;=30",tblParticipants[Age],"&lt;35")</f>
        <v>0</v>
      </c>
      <c r="E33" s="165">
        <f>IFERROR(AVERAGEIFS(tblParticipants[HrlyWgPlmt],tblParticipants[ParticipantID],"&lt;&gt;",tblParticipants[ParticipantName],"&lt;&gt;",tblParticipants[EnrollQtr],1,tblParticipants[HrlyWgPlmt],"&gt;0",tblParticipants[EmployQtr],1,tblParticipants[ExitQtr],1,tblParticipants[Age],"&gt;=30",tblParticipants[Age],"&lt;35"),0)</f>
        <v>0</v>
      </c>
      <c r="G33" s="163">
        <f>COUNTIFS(tblParticipants[ParticipantID],"&lt;&gt;",tblParticipants[ParticipantName],"&lt;&gt;",tblParticipants[EnrollQtr],2,tblParticipants[Age],"&gt;=30",tblParticipants[Age],"&lt;35")</f>
        <v>0</v>
      </c>
      <c r="H33" s="163">
        <f>COUNTIFS(tblParticipants[ParticipantID],"&lt;&gt;",tblParticipants[ParticipantName],"&lt;&gt;",tblParticipants[EnrollQtr],"&gt;=1",tblParticipants[EnrollQtr],"&lt;=2",tblParticipants[ExitQtr],2,tblParticipants[Age],"&gt;=30",tblParticipants[Age],"&lt;35")</f>
        <v>0</v>
      </c>
      <c r="I33" s="163">
        <f>COUNTIFS(tblParticipants[ParticipantID],"&lt;&gt;",tblParticipants[ParticipantName],"&lt;&gt;",tblParticipants[EnrollQtr],"&gt;=1",tblParticipants[EnrollQtr],"&lt;=2",tblParticipants[HrlyWgPlmt],"&gt;0",tblParticipants[EmployQtr],2,tblParticipants[ExitQtr],2,tblParticipants[Age],"&gt;=30",tblParticipants[Age],"&lt;35")</f>
        <v>0</v>
      </c>
      <c r="J33" s="165">
        <f>IFERROR(AVERAGEIFS(tblParticipants[HrlyWgPlmt],tblParticipants[ParticipantID],"&lt;&gt;",tblParticipants[ParticipantName],"&lt;&gt;",tblParticipants[EnrollQtr],"&gt;=1",tblParticipants[EnrollQtr],"&lt;=2",tblParticipants[HrlyWgPlmt],"&gt;0",tblParticipants[EmployQtr],2,tblParticipants[ExitQtr],2,tblParticipants[Age],"&gt;=30",tblParticipants[Age],"&lt;35"),0)</f>
        <v>0</v>
      </c>
      <c r="L33" s="163">
        <f>COUNTIFS(tblParticipants[ParticipantID],"&lt;&gt;",tblParticipants[ParticipantName],"&lt;&gt;",tblParticipants[EnrollQtr],3,tblParticipants[Age],"&gt;=30",tblParticipants[Age],"&lt;35")</f>
        <v>0</v>
      </c>
      <c r="M33" s="163">
        <f>COUNTIFS(tblParticipants[ParticipantID],"&lt;&gt;",tblParticipants[ParticipantName],"&lt;&gt;",tblParticipants[EnrollQtr],"&gt;=1",tblParticipants[EnrollQtr],"&lt;=3",tblParticipants[ExitQtr],3,tblParticipants[Age],"&gt;=30",tblParticipants[Age],"&lt;35")</f>
        <v>0</v>
      </c>
      <c r="N33" s="163">
        <f>COUNTIFS(tblParticipants[ParticipantID],"&lt;&gt;",tblParticipants[ParticipantName],"&lt;&gt;",tblParticipants[EnrollQtr],"&gt;=1",tblParticipants[EnrollQtr],"&lt;=3",tblParticipants[HrlyWgPlmt],"&gt;0",tblParticipants[EmployQtr],3,tblParticipants[ExitQtr],3,tblParticipants[Age],"&gt;=30",tblParticipants[Age],"&lt;35")</f>
        <v>0</v>
      </c>
      <c r="O33" s="165">
        <f>IFERROR(AVERAGEIFS(tblParticipants[HrlyWgPlmt],tblParticipants[ParticipantID],"&lt;&gt;",tblParticipants[ParticipantName],"&lt;&gt;",tblParticipants[EnrollQtr],"&gt;=1",tblParticipants[EnrollQtr],"&lt;=3",tblParticipants[HrlyWgPlmt],"&gt;0",tblParticipants[EmployQtr],3,tblParticipants[ExitQtr],3,tblParticipants[Age],"&gt;=30",tblParticipants[Age],"&lt;35"),0)</f>
        <v>0</v>
      </c>
      <c r="Q33" s="163">
        <f>COUNTIFS(tblParticipants[ParticipantID],"&lt;&gt;",tblParticipants[ParticipantName],"&lt;&gt;",tblParticipants[EnrollQtr],4,tblParticipants[Age],"&gt;=30",tblParticipants[Age],"&lt;35")</f>
        <v>0</v>
      </c>
      <c r="R33" s="163">
        <f>COUNTIFS(tblParticipants[ParticipantID],"&lt;&gt;",tblParticipants[ParticipantName],"&lt;&gt;",tblParticipants[EnrollQtr],"&gt;=1",tblParticipants[EnrollQtr],"&lt;=4",tblParticipants[ExitQtr],4,tblParticipants[Age],"&gt;=30",tblParticipants[Age],"&lt;35")</f>
        <v>0</v>
      </c>
      <c r="S33" s="163">
        <f>COUNTIFS(tblParticipants[ParticipantID],"&lt;&gt;",tblParticipants[ParticipantName],"&lt;&gt;",tblParticipants[EnrollQtr],"&gt;=1",tblParticipants[EnrollQtr],"&lt;=4",tblParticipants[HrlyWgPlmt],"&gt;0",tblParticipants[EmployQtr],4,tblParticipants[ExitQtr],4,tblParticipants[Age],"&gt;=30",tblParticipants[Age],"&lt;35")</f>
        <v>0</v>
      </c>
      <c r="T33" s="165">
        <f>IFERROR(AVERAGEIFS(tblParticipants[HrlyWgPlmt],tblParticipants[ParticipantID],"&lt;&gt;",tblParticipants[ParticipantName],"&lt;&gt;",tblParticipants[EnrollQtr],"&gt;=1",tblParticipants[EnrollQtr],"&lt;=4",tblParticipants[HrlyWgPlmt],"&gt;0",tblParticipants[EmployQtr],4,tblParticipants[ExitQtr],4,tblParticipants[Age],"&gt;=30",tblParticipants[Age],"&lt;35"),0)</f>
        <v>0</v>
      </c>
      <c r="V33" s="146">
        <f t="shared" si="5"/>
        <v>0</v>
      </c>
      <c r="W33" s="148">
        <f t="shared" si="6"/>
        <v>0</v>
      </c>
      <c r="X33" s="148">
        <f t="shared" si="7"/>
        <v>0</v>
      </c>
      <c r="Y33" s="150">
        <f t="shared" si="8"/>
        <v>0</v>
      </c>
      <c r="Z33" s="190">
        <f t="shared" si="9"/>
        <v>0</v>
      </c>
    </row>
    <row r="34" spans="1:26" x14ac:dyDescent="0.3">
      <c r="A34" s="203" t="s">
        <v>2677</v>
      </c>
      <c r="B34" s="163">
        <f>COUNTIFS(tblParticipants[ParticipantID],"&lt;&gt;",tblParticipants[ParticipantName],"&lt;&gt;",tblParticipants[EnrollQtr],1,tblParticipants[Age],"&gt;=35",tblParticipants[Age],"&lt;45")</f>
        <v>0</v>
      </c>
      <c r="C34" s="163">
        <f>COUNTIFS(tblParticipants[ParticipantID],"&lt;&gt;",tblParticipants[ParticipantName],"&lt;&gt;",tblParticipants[EnrollQtr],1,tblParticipants[ExitQtr],1,tblParticipants[Age],"&gt;=35",tblParticipants[Age],"&lt;45")</f>
        <v>0</v>
      </c>
      <c r="D34" s="163">
        <f>COUNTIFS(tblParticipants[ParticipantID],"&lt;&gt;",tblParticipants[ParticipantName],"&lt;&gt;",tblParticipants[EnrollQtr],1,tblParticipants[HrlyWgPlmt],"&gt;0",tblParticipants[EmployQtr],1,tblParticipants[ExitQtr],1,tblParticipants[Age],"&gt;=35",tblParticipants[Age],"&lt;45")</f>
        <v>0</v>
      </c>
      <c r="E34" s="165">
        <f>IFERROR(AVERAGEIFS(tblParticipants[HrlyWgPlmt],tblParticipants[ParticipantID],"&lt;&gt;",tblParticipants[ParticipantName],"&lt;&gt;",tblParticipants[EnrollQtr],1,tblParticipants[HrlyWgPlmt],"&gt;0",tblParticipants[EmployQtr],1,tblParticipants[ExitQtr],1,tblParticipants[Age],"&gt;=35",tblParticipants[Age],"&lt;45"),0)</f>
        <v>0</v>
      </c>
      <c r="G34" s="163">
        <f>COUNTIFS(tblParticipants[ParticipantID],"&lt;&gt;",tblParticipants[ParticipantName],"&lt;&gt;",tblParticipants[EnrollQtr],2,tblParticipants[Age],"&gt;=35",tblParticipants[Age],"&lt;45")</f>
        <v>0</v>
      </c>
      <c r="H34" s="163">
        <f>COUNTIFS(tblParticipants[ParticipantID],"&lt;&gt;",tblParticipants[ParticipantName],"&lt;&gt;",tblParticipants[EnrollQtr],"&gt;=1",tblParticipants[EnrollQtr],"&lt;=2",tblParticipants[ExitQtr],2,tblParticipants[Age],"&gt;=35",tblParticipants[Age],"&lt;45")</f>
        <v>0</v>
      </c>
      <c r="I34" s="163">
        <f>COUNTIFS(tblParticipants[ParticipantID],"&lt;&gt;",tblParticipants[ParticipantName],"&lt;&gt;",tblParticipants[EnrollQtr],"&gt;=1",tblParticipants[EnrollQtr],"&lt;=2",tblParticipants[HrlyWgPlmt],"&gt;0",tblParticipants[EmployQtr],2,tblParticipants[ExitQtr],2,tblParticipants[Age],"&gt;=35",tblParticipants[Age],"&lt;45")</f>
        <v>0</v>
      </c>
      <c r="J34" s="165">
        <f>IFERROR(AVERAGEIFS(tblParticipants[HrlyWgPlmt],tblParticipants[ParticipantID],"&lt;&gt;",tblParticipants[ParticipantName],"&lt;&gt;",tblParticipants[EnrollQtr],"&gt;=1",tblParticipants[EnrollQtr],"&lt;=2",tblParticipants[HrlyWgPlmt],"&gt;0",tblParticipants[EmployQtr],2,tblParticipants[ExitQtr],2,tblParticipants[Age],"&gt;=35",tblParticipants[Age],"&lt;45"),0)</f>
        <v>0</v>
      </c>
      <c r="L34" s="163">
        <f>COUNTIFS(tblParticipants[ParticipantID],"&lt;&gt;",tblParticipants[ParticipantName],"&lt;&gt;",tblParticipants[EnrollQtr],3,tblParticipants[Age],"&gt;=35",tblParticipants[Age],"&lt;45")</f>
        <v>0</v>
      </c>
      <c r="M34" s="163">
        <f>COUNTIFS(tblParticipants[ParticipantID],"&lt;&gt;",tblParticipants[ParticipantName],"&lt;&gt;",tblParticipants[EnrollQtr],"&gt;=1",tblParticipants[EnrollQtr],"&lt;=3",tblParticipants[ExitQtr],3,tblParticipants[Age],"&gt;=35",tblParticipants[Age],"&lt;45")</f>
        <v>0</v>
      </c>
      <c r="N34" s="163">
        <f>COUNTIFS(tblParticipants[ParticipantID],"&lt;&gt;",tblParticipants[ParticipantName],"&lt;&gt;",tblParticipants[EnrollQtr],"&gt;=1",tblParticipants[EnrollQtr],"&lt;=3",tblParticipants[HrlyWgPlmt],"&gt;0",tblParticipants[EmployQtr],3,tblParticipants[ExitQtr],3,tblParticipants[Age],"&gt;=35",tblParticipants[Age],"&lt;45")</f>
        <v>0</v>
      </c>
      <c r="O34" s="165">
        <f>IFERROR(AVERAGEIFS(tblParticipants[HrlyWgPlmt],tblParticipants[ParticipantID],"&lt;&gt;",tblParticipants[ParticipantName],"&lt;&gt;",tblParticipants[EnrollQtr],"&gt;=1",tblParticipants[EnrollQtr],"&lt;=3",tblParticipants[HrlyWgPlmt],"&gt;0",tblParticipants[EmployQtr],3,tblParticipants[ExitQtr],3,tblParticipants[Age],"&gt;=35",tblParticipants[Age],"&lt;45"),0)</f>
        <v>0</v>
      </c>
      <c r="Q34" s="163">
        <f>COUNTIFS(tblParticipants[ParticipantID],"&lt;&gt;",tblParticipants[ParticipantName],"&lt;&gt;",tblParticipants[EnrollQtr],4,tblParticipants[Age],"&gt;=35",tblParticipants[Age],"&lt;45")</f>
        <v>0</v>
      </c>
      <c r="R34" s="163">
        <f>COUNTIFS(tblParticipants[ParticipantID],"&lt;&gt;",tblParticipants[ParticipantName],"&lt;&gt;",tblParticipants[EnrollQtr],"&gt;=1",tblParticipants[EnrollQtr],"&lt;=4",tblParticipants[ExitQtr],4,tblParticipants[Age],"&gt;=35",tblParticipants[Age],"&lt;45")</f>
        <v>0</v>
      </c>
      <c r="S34" s="163">
        <f>COUNTIFS(tblParticipants[ParticipantID],"&lt;&gt;",tblParticipants[ParticipantName],"&lt;&gt;",tblParticipants[EnrollQtr],"&gt;=1",tblParticipants[EnrollQtr],"&lt;=4",tblParticipants[HrlyWgPlmt],"&gt;0",tblParticipants[EmployQtr],4,tblParticipants[ExitQtr],4,tblParticipants[Age],"&gt;=35",tblParticipants[Age],"&lt;45")</f>
        <v>0</v>
      </c>
      <c r="T34" s="165">
        <f>IFERROR(AVERAGEIFS(tblParticipants[HrlyWgPlmt],tblParticipants[ParticipantID],"&lt;&gt;",tblParticipants[ParticipantName],"&lt;&gt;",tblParticipants[EnrollQtr],"&gt;=1",tblParticipants[EnrollQtr],"&lt;=4",tblParticipants[HrlyWgPlmt],"&gt;0",tblParticipants[EmployQtr],4,tblParticipants[ExitQtr],4,tblParticipants[Age],"&gt;=35",tblParticipants[Age],"&lt;45"),0)</f>
        <v>0</v>
      </c>
      <c r="V34" s="146">
        <f t="shared" si="5"/>
        <v>0</v>
      </c>
      <c r="W34" s="148">
        <f t="shared" si="6"/>
        <v>0</v>
      </c>
      <c r="X34" s="148">
        <f t="shared" si="7"/>
        <v>0</v>
      </c>
      <c r="Y34" s="150">
        <f t="shared" si="8"/>
        <v>0</v>
      </c>
      <c r="Z34" s="190">
        <f t="shared" si="9"/>
        <v>0</v>
      </c>
    </row>
    <row r="35" spans="1:26" x14ac:dyDescent="0.3">
      <c r="A35" s="203" t="s">
        <v>2678</v>
      </c>
      <c r="B35" s="163">
        <f>COUNTIFS(tblParticipants[ParticipantID],"&lt;&gt;",tblParticipants[ParticipantName],"&lt;&gt;",tblParticipants[EnrollQtr],1,tblParticipants[Age],"&gt;=45",tblParticipants[Age],"&lt;55")</f>
        <v>0</v>
      </c>
      <c r="C35" s="163">
        <f>COUNTIFS(tblParticipants[ParticipantID],"&lt;&gt;",tblParticipants[ParticipantName],"&lt;&gt;",tblParticipants[EnrollQtr],1,tblParticipants[ExitQtr],1,tblParticipants[Age],"&gt;=45",tblParticipants[Age],"&lt;55")</f>
        <v>0</v>
      </c>
      <c r="D35" s="163">
        <f>COUNTIFS(tblParticipants[ParticipantID],"&lt;&gt;",tblParticipants[ParticipantName],"&lt;&gt;",tblParticipants[EnrollQtr],1,tblParticipants[HrlyWgPlmt],"&gt;0",tblParticipants[EmployQtr],1,tblParticipants[ExitQtr],1,tblParticipants[Age],"&gt;=45",tblParticipants[Age],"&lt;55")</f>
        <v>0</v>
      </c>
      <c r="E35" s="165">
        <f>IFERROR(AVERAGEIFS(tblParticipants[HrlyWgPlmt],tblParticipants[ParticipantID],"&lt;&gt;",tblParticipants[ParticipantName],"&lt;&gt;",tblParticipants[EnrollQtr],1,tblParticipants[HrlyWgPlmt],"&gt;0",tblParticipants[EmployQtr],1,tblParticipants[ExitQtr],1,tblParticipants[Age],"&gt;=45",tblParticipants[Age],"&lt;55"),0)</f>
        <v>0</v>
      </c>
      <c r="G35" s="163">
        <f>COUNTIFS(tblParticipants[ParticipantID],"&lt;&gt;",tblParticipants[ParticipantName],"&lt;&gt;",tblParticipants[EnrollQtr],2,tblParticipants[Age],"&gt;=45",tblParticipants[Age],"&lt;55")</f>
        <v>0</v>
      </c>
      <c r="H35" s="163">
        <f>COUNTIFS(tblParticipants[ParticipantID],"&lt;&gt;",tblParticipants[ParticipantName],"&lt;&gt;",tblParticipants[EnrollQtr],"&gt;=1",tblParticipants[EnrollQtr],"&lt;=2",tblParticipants[ExitQtr],2,tblParticipants[Age],"&gt;=45",tblParticipants[Age],"&lt;55")</f>
        <v>0</v>
      </c>
      <c r="I35" s="163">
        <f>COUNTIFS(tblParticipants[ParticipantID],"&lt;&gt;",tblParticipants[ParticipantName],"&lt;&gt;",tblParticipants[EnrollQtr],"&gt;=1",tblParticipants[EnrollQtr],"&lt;=2",tblParticipants[HrlyWgPlmt],"&gt;0",tblParticipants[EmployQtr],2,tblParticipants[ExitQtr],2,tblParticipants[Age],"&gt;=45",tblParticipants[Age],"&lt;55")</f>
        <v>0</v>
      </c>
      <c r="J35" s="165">
        <f>IFERROR(AVERAGEIFS(tblParticipants[HrlyWgPlmt],tblParticipants[ParticipantID],"&lt;&gt;",tblParticipants[ParticipantName],"&lt;&gt;",tblParticipants[EnrollQtr],"&gt;=1",tblParticipants[EnrollQtr],"&lt;=2",tblParticipants[HrlyWgPlmt],"&gt;0",tblParticipants[EmployQtr],2,tblParticipants[ExitQtr],2,tblParticipants[Age],"&gt;=45",tblParticipants[Age],"&lt;55"),0)</f>
        <v>0</v>
      </c>
      <c r="L35" s="163">
        <f>COUNTIFS(tblParticipants[ParticipantID],"&lt;&gt;",tblParticipants[ParticipantName],"&lt;&gt;",tblParticipants[EnrollQtr],3,tblParticipants[Age],"&gt;=45",tblParticipants[Age],"&lt;55")</f>
        <v>0</v>
      </c>
      <c r="M35" s="163">
        <f>COUNTIFS(tblParticipants[ParticipantID],"&lt;&gt;",tblParticipants[ParticipantName],"&lt;&gt;",tblParticipants[EnrollQtr],"&gt;=1",tblParticipants[EnrollQtr],"&lt;=3",tblParticipants[ExitQtr],3,tblParticipants[Age],"&gt;=45",tblParticipants[Age],"&lt;55")</f>
        <v>0</v>
      </c>
      <c r="N35" s="163">
        <f>COUNTIFS(tblParticipants[ParticipantID],"&lt;&gt;",tblParticipants[ParticipantName],"&lt;&gt;",tblParticipants[EnrollQtr],"&gt;=1",tblParticipants[EnrollQtr],"&lt;=3",tblParticipants[HrlyWgPlmt],"&gt;0",tblParticipants[EmployQtr],3,tblParticipants[ExitQtr],3,tblParticipants[Age],"&gt;=45",tblParticipants[Age],"&lt;55")</f>
        <v>0</v>
      </c>
      <c r="O35" s="165">
        <f>IFERROR(AVERAGEIFS(tblParticipants[HrlyWgPlmt],tblParticipants[ParticipantID],"&lt;&gt;",tblParticipants[ParticipantName],"&lt;&gt;",tblParticipants[EnrollQtr],"&gt;=1",tblParticipants[EnrollQtr],"&lt;=3",tblParticipants[HrlyWgPlmt],"&gt;0",tblParticipants[EmployQtr],3,tblParticipants[ExitQtr],3,tblParticipants[Age],"&gt;=45",tblParticipants[Age],"&lt;55"),0)</f>
        <v>0</v>
      </c>
      <c r="Q35" s="163">
        <f>COUNTIFS(tblParticipants[ParticipantID],"&lt;&gt;",tblParticipants[ParticipantName],"&lt;&gt;",tblParticipants[EnrollQtr],4,tblParticipants[Age],"&gt;=45",tblParticipants[Age],"&lt;55")</f>
        <v>0</v>
      </c>
      <c r="R35" s="163">
        <f>COUNTIFS(tblParticipants[ParticipantID],"&lt;&gt;",tblParticipants[ParticipantName],"&lt;&gt;",tblParticipants[EnrollQtr],"&gt;=1",tblParticipants[EnrollQtr],"&lt;=4",tblParticipants[ExitQtr],4,tblParticipants[Age],"&gt;=45",tblParticipants[Age],"&lt;55")</f>
        <v>0</v>
      </c>
      <c r="S35" s="163">
        <f>COUNTIFS(tblParticipants[ParticipantID],"&lt;&gt;",tblParticipants[ParticipantName],"&lt;&gt;",tblParticipants[EnrollQtr],"&gt;=1",tblParticipants[EnrollQtr],"&lt;=4",tblParticipants[HrlyWgPlmt],"&gt;0",tblParticipants[EmployQtr],4,tblParticipants[ExitQtr],4,tblParticipants[Age],"&gt;=45",tblParticipants[Age],"&lt;55")</f>
        <v>0</v>
      </c>
      <c r="T35" s="165">
        <f>IFERROR(AVERAGEIFS(tblParticipants[HrlyWgPlmt],tblParticipants[ParticipantID],"&lt;&gt;",tblParticipants[ParticipantName],"&lt;&gt;",tblParticipants[EnrollQtr],"&gt;=1",tblParticipants[EnrollQtr],"&lt;=4",tblParticipants[HrlyWgPlmt],"&gt;0",tblParticipants[EmployQtr],4,tblParticipants[ExitQtr],4,tblParticipants[Age],"&gt;=45",tblParticipants[Age],"&lt;55"),0)</f>
        <v>0</v>
      </c>
      <c r="V35" s="146">
        <f t="shared" si="5"/>
        <v>0</v>
      </c>
      <c r="W35" s="148">
        <f t="shared" si="6"/>
        <v>0</v>
      </c>
      <c r="X35" s="148">
        <f t="shared" si="7"/>
        <v>0</v>
      </c>
      <c r="Y35" s="150">
        <f t="shared" si="8"/>
        <v>0</v>
      </c>
      <c r="Z35" s="190">
        <f t="shared" si="9"/>
        <v>0</v>
      </c>
    </row>
    <row r="36" spans="1:26" x14ac:dyDescent="0.3">
      <c r="A36" s="203" t="s">
        <v>2679</v>
      </c>
      <c r="B36" s="163">
        <f>COUNTIFS(tblParticipants[ParticipantID],"&lt;&gt;",tblParticipants[ParticipantName],"&lt;&gt;",tblParticipants[EnrollQtr],1,tblParticipants[Age],"&gt;=55",tblParticipants[Age],"&lt;65")</f>
        <v>0</v>
      </c>
      <c r="C36" s="163">
        <f>COUNTIFS(tblParticipants[ParticipantID],"&lt;&gt;",tblParticipants[ParticipantName],"&lt;&gt;",tblParticipants[EnrollQtr],1,tblParticipants[ExitQtr],1,tblParticipants[Age],"&gt;=55",tblParticipants[Age],"&lt;65")</f>
        <v>0</v>
      </c>
      <c r="D36" s="163">
        <f>COUNTIFS(tblParticipants[ParticipantID],"&lt;&gt;",tblParticipants[ParticipantName],"&lt;&gt;",tblParticipants[EnrollQtr],1,tblParticipants[HrlyWgPlmt],"&gt;0",tblParticipants[EmployQtr],1,tblParticipants[ExitQtr],1,tblParticipants[Age],"&gt;=55",tblParticipants[Age],"&lt;65")</f>
        <v>0</v>
      </c>
      <c r="E36" s="165">
        <f>IFERROR(AVERAGEIFS(tblParticipants[HrlyWgPlmt],tblParticipants[ParticipantID],"&lt;&gt;",tblParticipants[ParticipantName],"&lt;&gt;",tblParticipants[EnrollQtr],1,tblParticipants[HrlyWgPlmt],"&gt;0",tblParticipants[EmployQtr],1,tblParticipants[ExitQtr],1,tblParticipants[Age],"&gt;=55",tblParticipants[Age],"&lt;65"),0)</f>
        <v>0</v>
      </c>
      <c r="G36" s="163">
        <f>COUNTIFS(tblParticipants[ParticipantID],"&lt;&gt;",tblParticipants[ParticipantName],"&lt;&gt;",tblParticipants[EnrollQtr],2,tblParticipants[Age],"&gt;=55",tblParticipants[Age],"&lt;65")</f>
        <v>0</v>
      </c>
      <c r="H36" s="163">
        <f>COUNTIFS(tblParticipants[ParticipantID],"&lt;&gt;",tblParticipants[ParticipantName],"&lt;&gt;",tblParticipants[EnrollQtr],"&gt;=1",tblParticipants[EnrollQtr],"&lt;=2",tblParticipants[ExitQtr],2,tblParticipants[Age],"&gt;=55",tblParticipants[Age],"&lt;65")</f>
        <v>0</v>
      </c>
      <c r="I36" s="163">
        <f>COUNTIFS(tblParticipants[ParticipantID],"&lt;&gt;",tblParticipants[ParticipantName],"&lt;&gt;",tblParticipants[EnrollQtr],"&gt;=1",tblParticipants[EnrollQtr],"&lt;=2",tblParticipants[HrlyWgPlmt],"&gt;0",tblParticipants[EmployQtr],2,tblParticipants[ExitQtr],2,tblParticipants[Age],"&gt;=55",tblParticipants[Age],"&lt;65")</f>
        <v>0</v>
      </c>
      <c r="J36" s="165">
        <f>IFERROR(AVERAGEIFS(tblParticipants[HrlyWgPlmt],tblParticipants[ParticipantID],"&lt;&gt;",tblParticipants[ParticipantName],"&lt;&gt;",tblParticipants[EnrollQtr],"&gt;=1",tblParticipants[EnrollQtr],"&lt;=2",tblParticipants[HrlyWgPlmt],"&gt;0",tblParticipants[EmployQtr],2,tblParticipants[ExitQtr],2,tblParticipants[Age],"&gt;=55",tblParticipants[Age],"&lt;65"),0)</f>
        <v>0</v>
      </c>
      <c r="L36" s="163">
        <f>COUNTIFS(tblParticipants[ParticipantID],"&lt;&gt;",tblParticipants[ParticipantName],"&lt;&gt;",tblParticipants[EnrollQtr],3,tblParticipants[Age],"&gt;=55",tblParticipants[Age],"&lt;65")</f>
        <v>0</v>
      </c>
      <c r="M36" s="163">
        <f>COUNTIFS(tblParticipants[ParticipantID],"&lt;&gt;",tblParticipants[ParticipantName],"&lt;&gt;",tblParticipants[EnrollQtr],"&gt;=1",tblParticipants[EnrollQtr],"&lt;=3",tblParticipants[ExitQtr],3,tblParticipants[Age],"&gt;=55",tblParticipants[Age],"&lt;65")</f>
        <v>0</v>
      </c>
      <c r="N36" s="163">
        <f>COUNTIFS(tblParticipants[ParticipantID],"&lt;&gt;",tblParticipants[ParticipantName],"&lt;&gt;",tblParticipants[EnrollQtr],"&gt;=1",tblParticipants[EnrollQtr],"&lt;=3",tblParticipants[HrlyWgPlmt],"&gt;0",tblParticipants[EmployQtr],3,tblParticipants[ExitQtr],3,tblParticipants[Age],"&gt;=55",tblParticipants[Age],"&lt;65")</f>
        <v>0</v>
      </c>
      <c r="O36" s="165">
        <f>IFERROR(AVERAGEIFS(tblParticipants[HrlyWgPlmt],tblParticipants[ParticipantID],"&lt;&gt;",tblParticipants[ParticipantName],"&lt;&gt;",tblParticipants[EnrollQtr],"&gt;=1",tblParticipants[EnrollQtr],"&lt;=3",tblParticipants[HrlyWgPlmt],"&gt;0",tblParticipants[EmployQtr],3,tblParticipants[ExitQtr],3,tblParticipants[Age],"&gt;=55",tblParticipants[Age],"&lt;65"),0)</f>
        <v>0</v>
      </c>
      <c r="Q36" s="163">
        <f>COUNTIFS(tblParticipants[ParticipantID],"&lt;&gt;",tblParticipants[ParticipantName],"&lt;&gt;",tblParticipants[EnrollQtr],4,tblParticipants[Age],"&gt;=55",tblParticipants[Age],"&lt;65")</f>
        <v>0</v>
      </c>
      <c r="R36" s="163">
        <f>COUNTIFS(tblParticipants[ParticipantID],"&lt;&gt;",tblParticipants[ParticipantName],"&lt;&gt;",tblParticipants[EnrollQtr],"&gt;=1",tblParticipants[EnrollQtr],"&lt;=4",tblParticipants[ExitQtr],4,tblParticipants[Age],"&gt;=55",tblParticipants[Age],"&lt;65")</f>
        <v>0</v>
      </c>
      <c r="S36" s="163">
        <f>COUNTIFS(tblParticipants[ParticipantID],"&lt;&gt;",tblParticipants[ParticipantName],"&lt;&gt;",tblParticipants[EnrollQtr],"&gt;=1",tblParticipants[EnrollQtr],"&lt;=4",tblParticipants[HrlyWgPlmt],"&gt;0",tblParticipants[EmployQtr],4,tblParticipants[ExitQtr],4,tblParticipants[Age],"&gt;=55",tblParticipants[Age],"&lt;65")</f>
        <v>0</v>
      </c>
      <c r="T36" s="165">
        <f>IFERROR(AVERAGEIFS(tblParticipants[HrlyWgPlmt],tblParticipants[ParticipantID],"&lt;&gt;",tblParticipants[ParticipantName],"&lt;&gt;",tblParticipants[EnrollQtr],"&gt;=1",tblParticipants[EnrollQtr],"&lt;=4",tblParticipants[HrlyWgPlmt],"&gt;0",tblParticipants[EmployQtr],4,tblParticipants[ExitQtr],4,tblParticipants[Age],"&gt;=55",tblParticipants[Age],"&lt;65"),0)</f>
        <v>0</v>
      </c>
      <c r="V36" s="146">
        <f t="shared" si="5"/>
        <v>0</v>
      </c>
      <c r="W36" s="148">
        <f t="shared" si="6"/>
        <v>0</v>
      </c>
      <c r="X36" s="148">
        <f t="shared" si="7"/>
        <v>0</v>
      </c>
      <c r="Y36" s="150">
        <f t="shared" si="8"/>
        <v>0</v>
      </c>
      <c r="Z36" s="190">
        <f t="shared" si="9"/>
        <v>0</v>
      </c>
    </row>
    <row r="37" spans="1:26" x14ac:dyDescent="0.3">
      <c r="A37" s="208" t="s">
        <v>2680</v>
      </c>
      <c r="B37" s="163">
        <f>COUNTIFS(tblParticipants[ParticipantID],"&lt;&gt;",tblParticipants[ParticipantName],"&lt;&gt;",tblParticipants[EnrollQtr],1,tblParticipants[Age],"&gt;=65")</f>
        <v>0</v>
      </c>
      <c r="C37" s="163">
        <f>COUNTIFS(tblParticipants[ParticipantID],"&lt;&gt;",tblParticipants[ParticipantName],"&lt;&gt;",tblParticipants[EnrollQtr],1,tblParticipants[ExitQtr],1,tblParticipants[Age],"&gt;=65")</f>
        <v>0</v>
      </c>
      <c r="D37" s="163">
        <f>COUNTIFS(tblParticipants[ParticipantID],"&lt;&gt;",tblParticipants[ParticipantName],"&lt;&gt;",tblParticipants[EnrollQtr],1,tblParticipants[HrlyWgPlmt],"&gt;0",tblParticipants[EmployQtr],1,tblParticipants[ExitQtr],1,tblParticipants[Age],"&gt;=65")</f>
        <v>0</v>
      </c>
      <c r="E37" s="165">
        <f>IFERROR(AVERAGEIFS(tblParticipants[HrlyWgPlmt],tblParticipants[ParticipantID],"&lt;&gt;",tblParticipants[ParticipantName],"&lt;&gt;",tblParticipants[EnrollQtr],1,tblParticipants[HrlyWgPlmt],"&gt;0",tblParticipants[EmployQtr],1,tblParticipants[ExitQtr],1,tblParticipants[Age],"&gt;=65"),0)</f>
        <v>0</v>
      </c>
      <c r="G37" s="163">
        <f>COUNTIFS(tblParticipants[ParticipantID],"&lt;&gt;",tblParticipants[ParticipantName],"&lt;&gt;",tblParticipants[EnrollQtr],2,tblParticipants[Age],"&gt;=65")</f>
        <v>0</v>
      </c>
      <c r="H37" s="163">
        <f>COUNTIFS(tblParticipants[ParticipantID],"&lt;&gt;",tblParticipants[ParticipantName],"&lt;&gt;",tblParticipants[EnrollQtr],"&gt;=1",tblParticipants[EnrollQtr],"&lt;=2",tblParticipants[ExitQtr],2,tblParticipants[Age],"&gt;=65")</f>
        <v>0</v>
      </c>
      <c r="I37" s="163">
        <f>COUNTIFS(tblParticipants[ParticipantID],"&lt;&gt;",tblParticipants[ParticipantName],"&lt;&gt;",tblParticipants[EnrollQtr],"&gt;=1",tblParticipants[EnrollQtr],"&lt;=2",tblParticipants[HrlyWgPlmt],"&gt;0",tblParticipants[EmployQtr],2,tblParticipants[ExitQtr],2,tblParticipants[Age],"&gt;=65")</f>
        <v>0</v>
      </c>
      <c r="J37" s="165">
        <f>IFERROR(AVERAGEIFS(tblParticipants[HrlyWgPlmt],tblParticipants[ParticipantID],"&lt;&gt;",tblParticipants[ParticipantName],"&lt;&gt;",tblParticipants[EnrollQtr],"&gt;=1",tblParticipants[EnrollQtr],"&lt;=2",tblParticipants[HrlyWgPlmt],"&gt;0",tblParticipants[EmployQtr],2,tblParticipants[ExitQtr],2,tblParticipants[Age],"&gt;=65"),0)</f>
        <v>0</v>
      </c>
      <c r="L37" s="163">
        <f>COUNTIFS(tblParticipants[ParticipantID],"&lt;&gt;",tblParticipants[ParticipantName],"&lt;&gt;",tblParticipants[EnrollQtr],3,tblParticipants[Age],"&gt;=65")</f>
        <v>0</v>
      </c>
      <c r="M37" s="163">
        <f>COUNTIFS(tblParticipants[ParticipantID],"&lt;&gt;",tblParticipants[ParticipantName],"&lt;&gt;",tblParticipants[EnrollQtr],"&gt;=1",tblParticipants[EnrollQtr],"&lt;=3",tblParticipants[ExitQtr],3,tblParticipants[Age],"&gt;=65")</f>
        <v>0</v>
      </c>
      <c r="N37" s="163">
        <f>COUNTIFS(tblParticipants[ParticipantID],"&lt;&gt;",tblParticipants[ParticipantName],"&lt;&gt;",tblParticipants[EnrollQtr],"&gt;=1",tblParticipants[EnrollQtr],"&lt;=3",tblParticipants[HrlyWgPlmt],"&gt;0",tblParticipants[EmployQtr],3,tblParticipants[ExitQtr],3,tblParticipants[Age],"&gt;=65")</f>
        <v>0</v>
      </c>
      <c r="O37" s="165">
        <f>IFERROR(AVERAGEIFS(tblParticipants[HrlyWgPlmt],tblParticipants[ParticipantID],"&lt;&gt;",tblParticipants[ParticipantName],"&lt;&gt;",tblParticipants[EnrollQtr],"&gt;=1",tblParticipants[EnrollQtr],"&lt;=3",tblParticipants[HrlyWgPlmt],"&gt;0",tblParticipants[EmployQtr],3,tblParticipants[ExitQtr],3,tblParticipants[Age],"&gt;=65"),0)</f>
        <v>0</v>
      </c>
      <c r="Q37" s="163">
        <f>COUNTIFS(tblParticipants[ParticipantID],"&lt;&gt;",tblParticipants[ParticipantName],"&lt;&gt;",tblParticipants[EnrollQtr],4,tblParticipants[Age],"&gt;=65")</f>
        <v>0</v>
      </c>
      <c r="R37" s="163">
        <f>COUNTIFS(tblParticipants[ParticipantID],"&lt;&gt;",tblParticipants[ParticipantName],"&lt;&gt;",tblParticipants[EnrollQtr],"&gt;=1",tblParticipants[EnrollQtr],"&lt;=4",tblParticipants[ExitQtr],4,tblParticipants[Age],"&gt;=65")</f>
        <v>0</v>
      </c>
      <c r="S37" s="163">
        <f>COUNTIFS(tblParticipants[ParticipantID],"&lt;&gt;",tblParticipants[ParticipantName],"&lt;&gt;",tblParticipants[EnrollQtr],"&gt;=1",tblParticipants[EnrollQtr],"&lt;=4",tblParticipants[HrlyWgPlmt],"&gt;0",tblParticipants[EmployQtr],4,tblParticipants[ExitQtr],4,tblParticipants[Age],"&gt;=65")</f>
        <v>0</v>
      </c>
      <c r="T37" s="165">
        <f>IFERROR(AVERAGEIFS(tblParticipants[HrlyWgPlmt],tblParticipants[ParticipantID],"&lt;&gt;",tblParticipants[ParticipantName],"&lt;&gt;",tblParticipants[EnrollQtr],"&gt;=1",tblParticipants[EnrollQtr],"&lt;=4",tblParticipants[HrlyWgPlmt],"&gt;0",tblParticipants[EmployQtr],4,tblParticipants[ExitQtr],4,tblParticipants[Age],"&gt;=65"),0)</f>
        <v>0</v>
      </c>
      <c r="V37" s="146">
        <f t="shared" si="5"/>
        <v>0</v>
      </c>
      <c r="W37" s="148">
        <f t="shared" si="6"/>
        <v>0</v>
      </c>
      <c r="X37" s="148">
        <f t="shared" si="7"/>
        <v>0</v>
      </c>
      <c r="Y37" s="150">
        <f t="shared" si="8"/>
        <v>0</v>
      </c>
      <c r="Z37" s="190">
        <f t="shared" si="9"/>
        <v>0</v>
      </c>
    </row>
    <row r="38" spans="1:26" x14ac:dyDescent="0.3">
      <c r="A38" s="204" t="s">
        <v>2668</v>
      </c>
      <c r="V38" s="48"/>
      <c r="W38" s="46"/>
      <c r="X38" s="46"/>
      <c r="Y38" s="46"/>
      <c r="Z38" s="47"/>
    </row>
    <row r="39" spans="1:26" x14ac:dyDescent="0.3">
      <c r="A39" s="205" t="s">
        <v>2681</v>
      </c>
      <c r="B39" s="179"/>
      <c r="C39" s="157"/>
      <c r="D39" s="178"/>
      <c r="E39" s="179"/>
      <c r="F39" s="157"/>
      <c r="G39" s="179"/>
      <c r="H39" s="157"/>
      <c r="I39" s="178"/>
      <c r="J39" s="179"/>
      <c r="K39" s="157"/>
      <c r="L39" s="179"/>
      <c r="M39" s="157"/>
      <c r="N39" s="178"/>
      <c r="O39" s="178"/>
      <c r="P39" s="178"/>
      <c r="Q39" s="178"/>
      <c r="R39" s="178"/>
      <c r="S39" s="178"/>
      <c r="T39" s="178"/>
      <c r="U39" s="181"/>
      <c r="V39" s="158"/>
      <c r="W39" s="178"/>
      <c r="X39" s="179"/>
      <c r="Y39" s="179"/>
      <c r="Z39" s="160"/>
    </row>
    <row r="40" spans="1:26" x14ac:dyDescent="0.3">
      <c r="A40" s="203" t="s">
        <v>2682</v>
      </c>
      <c r="B40" s="163">
        <f>COUNTIFS(tblParticipants[ParticipantID],"&lt;&gt;",tblParticipants[ParticipantName],"&lt;&gt;",tblParticipants[EnrollQtr],1,tblParticipants[LastMilSvc],"&gt;=0",tblParticipants[LastMilSvc],"&lt;=3")</f>
        <v>0</v>
      </c>
      <c r="C40" s="163">
        <f>COUNTIFS(tblParticipants[ParticipantID],"&lt;&gt;",tblParticipants[ParticipantName],"&lt;&gt;",tblParticipants[EnrollQtr],1,tblParticipants[ExitQtr],1,tblParticipants[LastMilSvc],"&gt;=0",tblParticipants[LastMilSvc],"&lt;=3")</f>
        <v>0</v>
      </c>
      <c r="D40" s="163">
        <f>COUNTIFS(tblParticipants[ParticipantID],"&lt;&gt;",tblParticipants[ParticipantName],"&lt;&gt;",tblParticipants[EnrollQtr],1,tblParticipants[HrlyWgPlmt],"&gt;0",tblParticipants[EmployQtr],1,tblParticipants[ExitQtr],1,tblParticipants[LastMilSvc],"&gt;=0",tblParticipants[LastMilSvc],"&lt;=3")</f>
        <v>0</v>
      </c>
      <c r="E40" s="165">
        <f>IFERROR(AVERAGEIFS(tblParticipants[HrlyWgPlmt],tblParticipants[ParticipantID],"&lt;&gt;",tblParticipants[ParticipantName],"&lt;&gt;",tblParticipants[EnrollQtr],1,tblParticipants[HrlyWgPlmt],"&gt;0",tblParticipants[EmployQtr],1,tblParticipants[ExitQtr],1,tblParticipants[LastMilSvc],"&gt;=0",tblParticipants[LastMilSvc],"&lt;4"),0)</f>
        <v>0</v>
      </c>
      <c r="G40" s="163">
        <f>COUNTIFS(tblParticipants[ParticipantID],"&lt;&gt;",tblParticipants[ParticipantName],"&lt;&gt;",tblParticipants[EnrollQtr],2,tblParticipants[LastMilSvc],"&gt;=0",tblParticipants[LastMilSvc],"&lt;=3")</f>
        <v>0</v>
      </c>
      <c r="H40" s="163">
        <f>COUNTIFS(tblParticipants[ParticipantID],"&lt;&gt;",tblParticipants[ParticipantName],"&lt;&gt;",tblParticipants[EnrollQtr],"&gt;=1",tblParticipants[EnrollQtr],"&lt;=2",tblParticipants[ExitQtr],2,tblParticipants[LastMilSvc],"&gt;=0",tblParticipants[LastMilSvc],"&lt;=3")</f>
        <v>0</v>
      </c>
      <c r="I40" s="163">
        <f>COUNTIFS(tblParticipants[ParticipantID],"&lt;&gt;",tblParticipants[ParticipantName],"&lt;&gt;",tblParticipants[EnrollQtr],"&gt;=1",tblParticipants[EnrollQtr],"&lt;=2",tblParticipants[HrlyWgPlmt],"&gt;0",tblParticipants[EmployQtr],2,tblParticipants[ExitQtr],2,tblParticipants[LastMilSvc],"&gt;=0",tblParticipants[LastMilSvc],"&lt;=3")</f>
        <v>0</v>
      </c>
      <c r="J40" s="165">
        <f>IFERROR(AVERAGEIFS(tblParticipants[HrlyWgPlmt],tblParticipants[ParticipantID],"&lt;&gt;",tblParticipants[ParticipantName],"&lt;&gt;",tblParticipants[EnrollQtr],"&gt;=1",tblParticipants[EnrollQtr],"&lt;=2",tblParticipants[HrlyWgPlmt],"&gt;0",tblParticipants[EmployQtr],2,tblParticipants[ExitQtr],2,tblParticipants[LastMilSvc],"&gt;=0",tblParticipants[LastMilSvc],"&lt;4"),0)</f>
        <v>0</v>
      </c>
      <c r="L40" s="163">
        <f>COUNTIFS(tblParticipants[ParticipantID],"&lt;&gt;",tblParticipants[ParticipantName],"&lt;&gt;",tblParticipants[EnrollQtr],3,tblParticipants[LastMilSvc],"&gt;=0",tblParticipants[LastMilSvc],"&lt;=3")</f>
        <v>0</v>
      </c>
      <c r="M40" s="163">
        <f>COUNTIFS(tblParticipants[ParticipantID],"&lt;&gt;",tblParticipants[ParticipantName],"&lt;&gt;",tblParticipants[EnrollQtr],"&gt;=1",tblParticipants[EnrollQtr],"&lt;=3",tblParticipants[ExitQtr],3,tblParticipants[LastMilSvc],"&gt;=0",tblParticipants[LastMilSvc],"&lt;=3")</f>
        <v>0</v>
      </c>
      <c r="N40" s="163">
        <f>COUNTIFS(tblParticipants[ParticipantID],"&lt;&gt;",tblParticipants[ParticipantName],"&lt;&gt;",tblParticipants[EnrollQtr],"&gt;=1",tblParticipants[EnrollQtr],"&lt;=3",tblParticipants[HrlyWgPlmt],"&gt;0",tblParticipants[EmployQtr],3,tblParticipants[ExitQtr],3,tblParticipants[LastMilSvc],"&gt;=0",tblParticipants[LastMilSvc],"&lt;=3")</f>
        <v>0</v>
      </c>
      <c r="O40" s="165">
        <f>IFERROR(AVERAGEIFS(tblParticipants[HrlyWgPlmt],tblParticipants[ParticipantID],"&lt;&gt;",tblParticipants[ParticipantName],"&lt;&gt;",tblParticipants[EnrollQtr],"&gt;=1",tblParticipants[EnrollQtr],"&lt;=3",tblParticipants[HrlyWgPlmt],"&gt;0",tblParticipants[EmployQtr],3,tblParticipants[ExitQtr],3,tblParticipants[LastMilSvc],"&gt;=0",tblParticipants[LastMilSvc],"&lt;4"),0)</f>
        <v>0</v>
      </c>
      <c r="Q40" s="163">
        <f>COUNTIFS(tblParticipants[ParticipantID],"&lt;&gt;",tblParticipants[ParticipantName],"&lt;&gt;",tblParticipants[EnrollQtr],4,tblParticipants[LastMilSvc],"&gt;=0",tblParticipants[LastMilSvc],"&lt;=3")</f>
        <v>0</v>
      </c>
      <c r="R40" s="163">
        <f>COUNTIFS(tblParticipants[ParticipantID],"&lt;&gt;",tblParticipants[ParticipantName],"&lt;&gt;",tblParticipants[EnrollQtr],"&gt;=1",tblParticipants[EnrollQtr],"&lt;=4",tblParticipants[ExitQtr],4,tblParticipants[LastMilSvc],"&gt;=0",tblParticipants[LastMilSvc],"&lt;=3")</f>
        <v>0</v>
      </c>
      <c r="S40" s="163">
        <f>COUNTIFS(tblParticipants[ParticipantID],"&lt;&gt;",tblParticipants[ParticipantName],"&lt;&gt;",tblParticipants[EnrollQtr],"&gt;=1",tblParticipants[EnrollQtr],"&lt;=4",tblParticipants[HrlyWgPlmt],"&gt;0",tblParticipants[EmployQtr],4,tblParticipants[ExitQtr],4,tblParticipants[LastMilSvc],"&gt;=0",tblParticipants[LastMilSvc],"&lt;=3")</f>
        <v>0</v>
      </c>
      <c r="T40" s="165">
        <f>IFERROR(AVERAGEIFS(tblParticipants[HrlyWgPlmt],tblParticipants[ParticipantID],"&lt;&gt;",tblParticipants[ParticipantName],"&lt;&gt;",tblParticipants[EnrollQtr],"&gt;=1",tblParticipants[EnrollQtr],"&lt;=4",tblParticipants[HrlyWgPlmt],"&gt;0",tblParticipants[EmployQtr],4,tblParticipants[ExitQtr],4,tblParticipants[LastMilSvc],"&gt;=0",tblParticipants[LastMilSvc],"&lt;4"),0)</f>
        <v>0</v>
      </c>
      <c r="V40" s="146">
        <f t="shared" ref="V40:V45" si="10">$B40+$G40+$L40+$Q40</f>
        <v>0</v>
      </c>
      <c r="W40" s="148">
        <f t="shared" ref="W40:W45" si="11">$C40+$H40+$M40+$R40</f>
        <v>0</v>
      </c>
      <c r="X40" s="148">
        <f t="shared" ref="X40:X45" si="12">$D40+$I40+$N40+$S40</f>
        <v>0</v>
      </c>
      <c r="Y40" s="150">
        <f t="shared" ref="Y40:Y45" si="13">IF($W40=0,0,$X40/$W40)</f>
        <v>0</v>
      </c>
      <c r="Z40" s="190">
        <f t="shared" ref="Z40:Z45" si="14">IF($X40=0,0,(($D40*$E40)+($I40*$J40)+($N40*$O40)+($S40*$T40))/$X40)</f>
        <v>0</v>
      </c>
    </row>
    <row r="41" spans="1:26" x14ac:dyDescent="0.3">
      <c r="A41" s="209" t="s">
        <v>2683</v>
      </c>
      <c r="B41" s="163">
        <f>COUNTIFS(tblParticipants[ParticipantID],"&lt;&gt;",tblParticipants[ParticipantName],"&lt;&gt;",tblParticipants[EnrollQtr],1,tblParticipants[LastMilSvc],"&gt;=4",tblParticipants[LastMilSvc],"&lt;=7")</f>
        <v>0</v>
      </c>
      <c r="C41" s="163">
        <f>COUNTIFS(tblParticipants[ParticipantID],"&lt;&gt;",tblParticipants[ParticipantName],"&lt;&gt;",tblParticipants[EnrollQtr],1,tblParticipants[ExitQtr],1,tblParticipants[LastMilSvc],"&gt;=4",tblParticipants[LastMilSvc],"&lt;=7")</f>
        <v>0</v>
      </c>
      <c r="D41" s="163">
        <f>COUNTIFS(tblParticipants[ParticipantID],"&lt;&gt;",tblParticipants[ParticipantName],"&lt;&gt;",tblParticipants[EnrollQtr],1,tblParticipants[HrlyWgPlmt],"&gt;0",tblParticipants[EmployQtr],1,tblParticipants[ExitQtr],1,tblParticipants[LastMilSvc],"&gt;=4",tblParticipants[LastMilSvc],"&lt;=7")</f>
        <v>0</v>
      </c>
      <c r="E41" s="165">
        <f>IFERROR(AVERAGEIFS(tblParticipants[HrlyWgPlmt],tblParticipants[ParticipantID],"&lt;&gt;",tblParticipants[ParticipantName],"&lt;&gt;",tblParticipants[EnrollQtr],1,tblParticipants[HrlyWgPlmt],"&gt;0",tblParticipants[EmployQtr],1,tblParticipants[ExitQtr],1,tblParticipants[LastMilSvc],"&gt;=4",tblParticipants[LastMilSvc],"&lt;8"),0)</f>
        <v>0</v>
      </c>
      <c r="G41" s="163">
        <f>COUNTIFS(tblParticipants[ParticipantID],"&lt;&gt;",tblParticipants[ParticipantName],"&lt;&gt;",tblParticipants[EnrollQtr],2,tblParticipants[LastMilSvc],"&gt;=4",tblParticipants[LastMilSvc],"&lt;=7")</f>
        <v>0</v>
      </c>
      <c r="H41" s="163">
        <f>COUNTIFS(tblParticipants[ParticipantID],"&lt;&gt;",tblParticipants[ParticipantName],"&lt;&gt;",tblParticipants[EnrollQtr],"&gt;=1",tblParticipants[EnrollQtr],"&lt;=2",tblParticipants[ExitQtr],2,tblParticipants[LastMilSvc],"&gt;=4",tblParticipants[LastMilSvc],"&lt;=7")</f>
        <v>0</v>
      </c>
      <c r="I41" s="163">
        <f>COUNTIFS(tblParticipants[ParticipantID],"&lt;&gt;",tblParticipants[ParticipantName],"&lt;&gt;",tblParticipants[EnrollQtr],"&gt;=1",tblParticipants[EnrollQtr],"&lt;=2",tblParticipants[HrlyWgPlmt],"&gt;0",tblParticipants[EmployQtr],2,tblParticipants[ExitQtr],2,tblParticipants[LastMilSvc],"&gt;=4",tblParticipants[LastMilSvc],"&lt;=7")</f>
        <v>0</v>
      </c>
      <c r="J41" s="165">
        <f>IFERROR(AVERAGEIFS(tblParticipants[HrlyWgPlmt],tblParticipants[ParticipantID],"&lt;&gt;",tblParticipants[ParticipantName],"&lt;&gt;",tblParticipants[EnrollQtr],"&gt;=1",tblParticipants[EnrollQtr],"&lt;=2",tblParticipants[HrlyWgPlmt],"&gt;0",tblParticipants[EmployQtr],2,tblParticipants[ExitQtr],2,tblParticipants[LastMilSvc],"&gt;=4",tblParticipants[LastMilSvc],"&lt;8"),0)</f>
        <v>0</v>
      </c>
      <c r="L41" s="163">
        <f>COUNTIFS(tblParticipants[ParticipantID],"&lt;&gt;",tblParticipants[ParticipantName],"&lt;&gt;",tblParticipants[EnrollQtr],3,tblParticipants[LastMilSvc],"&gt;=4",tblParticipants[LastMilSvc],"&lt;=7")</f>
        <v>0</v>
      </c>
      <c r="M41" s="163">
        <f>COUNTIFS(tblParticipants[ParticipantID],"&lt;&gt;",tblParticipants[ParticipantName],"&lt;&gt;",tblParticipants[EnrollQtr],"&gt;=1",tblParticipants[EnrollQtr],"&lt;=3",tblParticipants[ExitQtr],3,tblParticipants[LastMilSvc],"&gt;=4",tblParticipants[LastMilSvc],"&lt;=7")</f>
        <v>0</v>
      </c>
      <c r="N41" s="163">
        <f>COUNTIFS(tblParticipants[ParticipantID],"&lt;&gt;",tblParticipants[ParticipantName],"&lt;&gt;",tblParticipants[EnrollQtr],"&gt;=1",tblParticipants[EnrollQtr],"&lt;=3",tblParticipants[HrlyWgPlmt],"&gt;0",tblParticipants[EmployQtr],3,tblParticipants[ExitQtr],3,tblParticipants[LastMilSvc],"&gt;=4",tblParticipants[LastMilSvc],"&lt;=7")</f>
        <v>0</v>
      </c>
      <c r="O41" s="165">
        <f>IFERROR(AVERAGEIFS(tblParticipants[HrlyWgPlmt],tblParticipants[ParticipantID],"&lt;&gt;",tblParticipants[ParticipantName],"&lt;&gt;",tblParticipants[EnrollQtr],"&gt;=1",tblParticipants[EnrollQtr],"&lt;=3",tblParticipants[HrlyWgPlmt],"&gt;0",tblParticipants[EmployQtr],3,tblParticipants[ExitQtr],3,tblParticipants[LastMilSvc],"&gt;=4",tblParticipants[LastMilSvc],"&lt;8"),0)</f>
        <v>0</v>
      </c>
      <c r="Q41" s="163">
        <f>COUNTIFS(tblParticipants[ParticipantID],"&lt;&gt;",tblParticipants[ParticipantName],"&lt;&gt;",tblParticipants[EnrollQtr],4,tblParticipants[LastMilSvc],"&gt;=4",tblParticipants[LastMilSvc],"&lt;=7")</f>
        <v>0</v>
      </c>
      <c r="R41" s="163">
        <f>COUNTIFS(tblParticipants[ParticipantID],"&lt;&gt;",tblParticipants[ParticipantName],"&lt;&gt;",tblParticipants[EnrollQtr],"&gt;=1",tblParticipants[EnrollQtr],"&lt;=4",tblParticipants[ExitQtr],4,tblParticipants[LastMilSvc],"&gt;=4",tblParticipants[LastMilSvc],"&lt;=7")</f>
        <v>0</v>
      </c>
      <c r="S41" s="163">
        <f>COUNTIFS(tblParticipants[ParticipantID],"&lt;&gt;",tblParticipants[ParticipantName],"&lt;&gt;",tblParticipants[EnrollQtr],"&gt;=1",tblParticipants[EnrollQtr],"&lt;=4",tblParticipants[HrlyWgPlmt],"&gt;0",tblParticipants[EmployQtr],4,tblParticipants[ExitQtr],4,tblParticipants[LastMilSvc],"&gt;=4",tblParticipants[LastMilSvc],"&lt;=7")</f>
        <v>0</v>
      </c>
      <c r="T41" s="165">
        <f>IFERROR(AVERAGEIFS(tblParticipants[HrlyWgPlmt],tblParticipants[ParticipantID],"&lt;&gt;",tblParticipants[ParticipantName],"&lt;&gt;",tblParticipants[EnrollQtr],"&gt;=1",tblParticipants[EnrollQtr],"&lt;=4",tblParticipants[HrlyWgPlmt],"&gt;0",tblParticipants[EmployQtr],4,tblParticipants[ExitQtr],4,tblParticipants[LastMilSvc],"&gt;=4",tblParticipants[LastMilSvc],"&lt;8"),0)</f>
        <v>0</v>
      </c>
      <c r="V41" s="146">
        <f t="shared" si="10"/>
        <v>0</v>
      </c>
      <c r="W41" s="148">
        <f t="shared" si="11"/>
        <v>0</v>
      </c>
      <c r="X41" s="148">
        <f t="shared" si="12"/>
        <v>0</v>
      </c>
      <c r="Y41" s="150">
        <f t="shared" si="13"/>
        <v>0</v>
      </c>
      <c r="Z41" s="190">
        <f t="shared" si="14"/>
        <v>0</v>
      </c>
    </row>
    <row r="42" spans="1:26" x14ac:dyDescent="0.3">
      <c r="A42" s="210" t="s">
        <v>2684</v>
      </c>
      <c r="B42" s="163">
        <f>COUNTIFS(tblParticipants[ParticipantID],"&lt;&gt;",tblParticipants[ParticipantName],"&lt;&gt;",tblParticipants[EnrollQtr],1,tblParticipants[LastMilSvc],"&gt;=8",tblParticipants[LastMilSvc],"&lt;=11")</f>
        <v>0</v>
      </c>
      <c r="C42" s="163">
        <f>COUNTIFS(tblParticipants[ParticipantID],"&lt;&gt;",tblParticipants[ParticipantName],"&lt;&gt;",tblParticipants[EnrollQtr],1,tblParticipants[ExitQtr],1,tblParticipants[LastMilSvc],"&gt;=8",tblParticipants[LastMilSvc],"&lt;=11")</f>
        <v>0</v>
      </c>
      <c r="D42" s="163">
        <f>COUNTIFS(tblParticipants[ParticipantID],"&lt;&gt;",tblParticipants[ParticipantName],"&lt;&gt;",tblParticipants[EnrollQtr],1,tblParticipants[HrlyWgPlmt],"&gt;0",tblParticipants[EmployQtr],1,tblParticipants[ExitQtr],1,tblParticipants[LastMilSvc],"&gt;=8",tblParticipants[LastMilSvc],"&lt;=11")</f>
        <v>0</v>
      </c>
      <c r="E42" s="165">
        <f>IFERROR(AVERAGEIFS(tblParticipants[HrlyWgPlmt],tblParticipants[ParticipantID],"&lt;&gt;",tblParticipants[ParticipantName],"&lt;&gt;",tblParticipants[EnrollQtr],1,tblParticipants[HrlyWgPlmt],"&gt;0",tblParticipants[EmployQtr],1,tblParticipants[ExitQtr],1,tblParticipants[LastMilSvc],"&gt;=8",tblParticipants[LastMilSvc],"&lt;12"),0)</f>
        <v>0</v>
      </c>
      <c r="G42" s="163">
        <f>COUNTIFS(tblParticipants[ParticipantID],"&lt;&gt;",tblParticipants[ParticipantName],"&lt;&gt;",tblParticipants[EnrollQtr],2,tblParticipants[LastMilSvc],"&gt;=8",tblParticipants[LastMilSvc],"&lt;=11")</f>
        <v>0</v>
      </c>
      <c r="H42" s="163">
        <f>COUNTIFS(tblParticipants[ParticipantID],"&lt;&gt;",tblParticipants[ParticipantName],"&lt;&gt;",tblParticipants[EnrollQtr],"&gt;=1",tblParticipants[EnrollQtr],"&lt;=2",tblParticipants[ExitQtr],2,tblParticipants[LastMilSvc],"&gt;=8",tblParticipants[LastMilSvc],"&lt;=11")</f>
        <v>0</v>
      </c>
      <c r="I42" s="163">
        <f>COUNTIFS(tblParticipants[ParticipantID],"&lt;&gt;",tblParticipants[ParticipantName],"&lt;&gt;",tblParticipants[EnrollQtr],"&gt;=1",tblParticipants[EnrollQtr],"&lt;=2",tblParticipants[HrlyWgPlmt],"&gt;0",tblParticipants[EmployQtr],2,tblParticipants[ExitQtr],2,tblParticipants[LastMilSvc],"&gt;=8",tblParticipants[LastMilSvc],"&lt;=11")</f>
        <v>0</v>
      </c>
      <c r="J42" s="165">
        <f>IFERROR(AVERAGEIFS(tblParticipants[HrlyWgPlmt],tblParticipants[ParticipantID],"&lt;&gt;",tblParticipants[ParticipantName],"&lt;&gt;",tblParticipants[EnrollQtr],"&gt;=1",tblParticipants[EnrollQtr],"&lt;=2",tblParticipants[HrlyWgPlmt],"&gt;0",tblParticipants[EmployQtr],2,tblParticipants[ExitQtr],2,tblParticipants[LastMilSvc],"&gt;=8",tblParticipants[LastMilSvc],"&lt;12"),0)</f>
        <v>0</v>
      </c>
      <c r="L42" s="163">
        <f>COUNTIFS(tblParticipants[ParticipantID],"&lt;&gt;",tblParticipants[ParticipantName],"&lt;&gt;",tblParticipants[EnrollQtr],3,tblParticipants[LastMilSvc],"&gt;=8",tblParticipants[LastMilSvc],"&lt;=11")</f>
        <v>0</v>
      </c>
      <c r="M42" s="163">
        <f>COUNTIFS(tblParticipants[ParticipantID],"&lt;&gt;",tblParticipants[ParticipantName],"&lt;&gt;",tblParticipants[EnrollQtr],"&gt;=1",tblParticipants[EnrollQtr],"&lt;=3",tblParticipants[ExitQtr],3,tblParticipants[LastMilSvc],"&gt;=8",tblParticipants[LastMilSvc],"&lt;=11")</f>
        <v>0</v>
      </c>
      <c r="N42" s="163">
        <f>COUNTIFS(tblParticipants[ParticipantID],"&lt;&gt;",tblParticipants[ParticipantName],"&lt;&gt;",tblParticipants[EnrollQtr],"&gt;=1",tblParticipants[EnrollQtr],"&lt;=3",tblParticipants[HrlyWgPlmt],"&gt;0",tblParticipants[EmployQtr],3,tblParticipants[ExitQtr],3,tblParticipants[LastMilSvc],"&gt;=8",tblParticipants[LastMilSvc],"&lt;=11")</f>
        <v>0</v>
      </c>
      <c r="O42" s="165">
        <f>IFERROR(AVERAGEIFS(tblParticipants[HrlyWgPlmt],tblParticipants[ParticipantID],"&lt;&gt;",tblParticipants[ParticipantName],"&lt;&gt;",tblParticipants[EnrollQtr],"&gt;=1",tblParticipants[EnrollQtr],"&lt;=3",tblParticipants[HrlyWgPlmt],"&gt;0",tblParticipants[EmployQtr],3,tblParticipants[ExitQtr],3,tblParticipants[LastMilSvc],"&gt;=8",tblParticipants[LastMilSvc],"&lt;12"),0)</f>
        <v>0</v>
      </c>
      <c r="Q42" s="163">
        <f>COUNTIFS(tblParticipants[ParticipantID],"&lt;&gt;",tblParticipants[ParticipantName],"&lt;&gt;",tblParticipants[EnrollQtr],4,tblParticipants[LastMilSvc],"&gt;=8",tblParticipants[LastMilSvc],"&lt;=11")</f>
        <v>0</v>
      </c>
      <c r="R42" s="163">
        <f>COUNTIFS(tblParticipants[ParticipantID],"&lt;&gt;",tblParticipants[ParticipantName],"&lt;&gt;",tblParticipants[EnrollQtr],"&gt;=1",tblParticipants[EnrollQtr],"&lt;=4",tblParticipants[ExitQtr],4,tblParticipants[LastMilSvc],"&gt;=8",tblParticipants[LastMilSvc],"&lt;=11")</f>
        <v>0</v>
      </c>
      <c r="S42" s="163">
        <f>COUNTIFS(tblParticipants[ParticipantID],"&lt;&gt;",tblParticipants[ParticipantName],"&lt;&gt;",tblParticipants[EnrollQtr],"&gt;=1",tblParticipants[EnrollQtr],"&lt;=4",tblParticipants[HrlyWgPlmt],"&gt;0",tblParticipants[EmployQtr],4,tblParticipants[ExitQtr],4,tblParticipants[LastMilSvc],"&gt;=8",tblParticipants[LastMilSvc],"&lt;=11")</f>
        <v>0</v>
      </c>
      <c r="T42" s="165">
        <f>IFERROR(AVERAGEIFS(tblParticipants[HrlyWgPlmt],tblParticipants[ParticipantID],"&lt;&gt;",tblParticipants[ParticipantName],"&lt;&gt;",tblParticipants[EnrollQtr],"&gt;=1",tblParticipants[EnrollQtr],"&lt;=4",tblParticipants[HrlyWgPlmt],"&gt;0",tblParticipants[EmployQtr],4,tblParticipants[ExitQtr],4,tblParticipants[LastMilSvc],"&gt;=8",tblParticipants[LastMilSvc],"&lt;12"),0)</f>
        <v>0</v>
      </c>
      <c r="V42" s="146">
        <f t="shared" si="10"/>
        <v>0</v>
      </c>
      <c r="W42" s="148">
        <f t="shared" si="11"/>
        <v>0</v>
      </c>
      <c r="X42" s="148">
        <f t="shared" si="12"/>
        <v>0</v>
      </c>
      <c r="Y42" s="150">
        <f t="shared" si="13"/>
        <v>0</v>
      </c>
      <c r="Z42" s="190">
        <f t="shared" si="14"/>
        <v>0</v>
      </c>
    </row>
    <row r="43" spans="1:26" x14ac:dyDescent="0.3">
      <c r="A43" s="211" t="s">
        <v>2685</v>
      </c>
      <c r="B43" s="163">
        <f>COUNTIFS(tblParticipants[ParticipantID],"&lt;&gt;",tblParticipants[ParticipantName],"&lt;&gt;",tblParticipants[EnrollQtr],1,tblParticipants[LastMilSvc],"&gt;=12",tblParticipants[LastMilSvc],"&lt;=15")</f>
        <v>0</v>
      </c>
      <c r="C43" s="163">
        <f>COUNTIFS(tblParticipants[ParticipantID],"&lt;&gt;",tblParticipants[ParticipantName],"&lt;&gt;",tblParticipants[EnrollQtr],1,tblParticipants[ExitQtr],1,tblParticipants[LastMilSvc],"&gt;=12",tblParticipants[LastMilSvc],"&lt;=15")</f>
        <v>0</v>
      </c>
      <c r="D43" s="163">
        <f>COUNTIFS(tblParticipants[ParticipantID],"&lt;&gt;",tblParticipants[ParticipantName],"&lt;&gt;",tblParticipants[EnrollQtr],1,tblParticipants[HrlyWgPlmt],"&gt;0",tblParticipants[EmployQtr],1,tblParticipants[ExitQtr],1,tblParticipants[LastMilSvc],"&gt;=12",tblParticipants[LastMilSvc],"&lt;=15")</f>
        <v>0</v>
      </c>
      <c r="E43" s="165">
        <f>IFERROR(AVERAGEIFS(tblParticipants[HrlyWgPlmt],tblParticipants[ParticipantID],"&lt;&gt;",tblParticipants[ParticipantName],"&lt;&gt;",tblParticipants[EnrollQtr],1,tblParticipants[HrlyWgPlmt],"&gt;0",tblParticipants[EmployQtr],1,tblParticipants[ExitQtr],1,tblParticipants[LastMilSvc],"&gt;=12",tblParticipants[LastMilSvc],"&lt;16"),0)</f>
        <v>0</v>
      </c>
      <c r="G43" s="163">
        <f>COUNTIFS(tblParticipants[ParticipantID],"&lt;&gt;",tblParticipants[ParticipantName],"&lt;&gt;",tblParticipants[EnrollQtr],2,tblParticipants[LastMilSvc],"&gt;=12",tblParticipants[LastMilSvc],"&lt;=15")</f>
        <v>0</v>
      </c>
      <c r="H43" s="163">
        <f>COUNTIFS(tblParticipants[ParticipantID],"&lt;&gt;",tblParticipants[ParticipantName],"&lt;&gt;",tblParticipants[EnrollQtr],"&gt;=1",tblParticipants[EnrollQtr],"&lt;=2",tblParticipants[ExitQtr],2,tblParticipants[LastMilSvc],"&gt;=12",tblParticipants[LastMilSvc],"&lt;=15")</f>
        <v>0</v>
      </c>
      <c r="I43" s="163">
        <f>COUNTIFS(tblParticipants[ParticipantID],"&lt;&gt;",tblParticipants[ParticipantName],"&lt;&gt;",tblParticipants[EnrollQtr],"&gt;=1",tblParticipants[EnrollQtr],"&lt;=2",tblParticipants[HrlyWgPlmt],"&gt;0",tblParticipants[EmployQtr],2,tblParticipants[ExitQtr],2,tblParticipants[LastMilSvc],"&gt;=12",tblParticipants[LastMilSvc],"&lt;=15")</f>
        <v>0</v>
      </c>
      <c r="J43" s="165">
        <f>IFERROR(AVERAGEIFS(tblParticipants[HrlyWgPlmt],tblParticipants[ParticipantID],"&lt;&gt;",tblParticipants[ParticipantName],"&lt;&gt;",tblParticipants[EnrollQtr],"&gt;=1",tblParticipants[EnrollQtr],"&lt;=2",tblParticipants[HrlyWgPlmt],"&gt;0",tblParticipants[EmployQtr],2,tblParticipants[ExitQtr],2,tblParticipants[LastMilSvc],"&gt;=12",tblParticipants[LastMilSvc],"&lt;16"),0)</f>
        <v>0</v>
      </c>
      <c r="L43" s="163">
        <f>COUNTIFS(tblParticipants[ParticipantID],"&lt;&gt;",tblParticipants[ParticipantName],"&lt;&gt;",tblParticipants[EnrollQtr],3,tblParticipants[LastMilSvc],"&gt;=12",tblParticipants[LastMilSvc],"&lt;=15")</f>
        <v>0</v>
      </c>
      <c r="M43" s="163">
        <f>COUNTIFS(tblParticipants[ParticipantID],"&lt;&gt;",tblParticipants[ParticipantName],"&lt;&gt;",tblParticipants[EnrollQtr],"&gt;=1",tblParticipants[EnrollQtr],"&lt;=3",tblParticipants[ExitQtr],3,tblParticipants[LastMilSvc],"&gt;=12",tblParticipants[LastMilSvc],"&lt;=15")</f>
        <v>0</v>
      </c>
      <c r="N43" s="163">
        <f>COUNTIFS(tblParticipants[ParticipantID],"&lt;&gt;",tblParticipants[ParticipantName],"&lt;&gt;",tblParticipants[EnrollQtr],"&gt;=1",tblParticipants[EnrollQtr],"&lt;=3",tblParticipants[HrlyWgPlmt],"&gt;0",tblParticipants[EmployQtr],3,tblParticipants[ExitQtr],3,tblParticipants[LastMilSvc],"&gt;=12",tblParticipants[LastMilSvc],"&lt;=15")</f>
        <v>0</v>
      </c>
      <c r="O43" s="165">
        <f>IFERROR(AVERAGEIFS(tblParticipants[HrlyWgPlmt],tblParticipants[ParticipantID],"&lt;&gt;",tblParticipants[ParticipantName],"&lt;&gt;",tblParticipants[EnrollQtr],"&gt;=1",tblParticipants[EnrollQtr],"&lt;=3",tblParticipants[HrlyWgPlmt],"&gt;0",tblParticipants[EmployQtr],3,tblParticipants[ExitQtr],3,tblParticipants[LastMilSvc],"&gt;=12",tblParticipants[LastMilSvc],"&lt;16"),0)</f>
        <v>0</v>
      </c>
      <c r="Q43" s="163">
        <f>COUNTIFS(tblParticipants[ParticipantID],"&lt;&gt;",tblParticipants[ParticipantName],"&lt;&gt;",tblParticipants[EnrollQtr],4,tblParticipants[LastMilSvc],"&gt;=12",tblParticipants[LastMilSvc],"&lt;=15")</f>
        <v>0</v>
      </c>
      <c r="R43" s="163">
        <f>COUNTIFS(tblParticipants[ParticipantID],"&lt;&gt;",tblParticipants[ParticipantName],"&lt;&gt;",tblParticipants[EnrollQtr],"&gt;=1",tblParticipants[EnrollQtr],"&lt;=4",tblParticipants[ExitQtr],4,tblParticipants[LastMilSvc],"&gt;=12",tblParticipants[LastMilSvc],"&lt;=15")</f>
        <v>0</v>
      </c>
      <c r="S43" s="163">
        <f>COUNTIFS(tblParticipants[ParticipantID],"&lt;&gt;",tblParticipants[ParticipantName],"&lt;&gt;",tblParticipants[EnrollQtr],"&gt;=1",tblParticipants[EnrollQtr],"&lt;=4",tblParticipants[HrlyWgPlmt],"&gt;0",tblParticipants[EmployQtr],4,tblParticipants[ExitQtr],4,tblParticipants[LastMilSvc],"&gt;=12",tblParticipants[LastMilSvc],"&lt;=15")</f>
        <v>0</v>
      </c>
      <c r="T43" s="165">
        <f>IFERROR(AVERAGEIFS(tblParticipants[HrlyWgPlmt],tblParticipants[ParticipantID],"&lt;&gt;",tblParticipants[ParticipantName],"&lt;&gt;",tblParticipants[EnrollQtr],"&gt;=1",tblParticipants[EnrollQtr],"&lt;=4",tblParticipants[HrlyWgPlmt],"&gt;0",tblParticipants[EmployQtr],4,tblParticipants[ExitQtr],4,tblParticipants[LastMilSvc],"&gt;=12",tblParticipants[LastMilSvc],"&lt;16"),0)</f>
        <v>0</v>
      </c>
      <c r="V43" s="146">
        <f t="shared" si="10"/>
        <v>0</v>
      </c>
      <c r="W43" s="148">
        <f t="shared" si="11"/>
        <v>0</v>
      </c>
      <c r="X43" s="148">
        <f t="shared" si="12"/>
        <v>0</v>
      </c>
      <c r="Y43" s="150">
        <f t="shared" si="13"/>
        <v>0</v>
      </c>
      <c r="Z43" s="190">
        <f t="shared" si="14"/>
        <v>0</v>
      </c>
    </row>
    <row r="44" spans="1:26" x14ac:dyDescent="0.3">
      <c r="A44" s="211" t="s">
        <v>2686</v>
      </c>
      <c r="B44" s="163">
        <f>COUNTIFS(tblParticipants[ParticipantID],"&lt;&gt;",tblParticipants[ParticipantName],"&lt;&gt;",tblParticipants[EnrollQtr],1,tblParticipants[LastMilSvc],"&gt;=16",tblParticipants[LastMilSvc],"&lt;=19")</f>
        <v>0</v>
      </c>
      <c r="C44" s="163">
        <f>COUNTIFS(tblParticipants[ParticipantID],"&lt;&gt;",tblParticipants[ParticipantName],"&lt;&gt;",tblParticipants[EnrollQtr],1,tblParticipants[ExitQtr],1,tblParticipants[LastMilSvc],"&gt;=16",tblParticipants[LastMilSvc],"&lt;=19")</f>
        <v>0</v>
      </c>
      <c r="D44" s="163">
        <f>COUNTIFS(tblParticipants[ParticipantID],"&lt;&gt;",tblParticipants[ParticipantName],"&lt;&gt;",tblParticipants[EnrollQtr],1,tblParticipants[HrlyWgPlmt],"&gt;0",tblParticipants[EmployQtr],1,tblParticipants[ExitQtr],1,tblParticipants[LastMilSvc],"&gt;=16",tblParticipants[LastMilSvc],"&lt;=19")</f>
        <v>0</v>
      </c>
      <c r="E44" s="165">
        <f>IFERROR(AVERAGEIFS(tblParticipants[HrlyWgPlmt],tblParticipants[ParticipantID],"&lt;&gt;",tblParticipants[ParticipantName],"&lt;&gt;",tblParticipants[EnrollQtr],1,tblParticipants[HrlyWgPlmt],"&gt;0",tblParticipants[EmployQtr],1,tblParticipants[ExitQtr],1,tblParticipants[LastMilSvc],"&gt;=16",tblParticipants[LastMilSvc],"&lt;20"),0)</f>
        <v>0</v>
      </c>
      <c r="G44" s="163">
        <f>COUNTIFS(tblParticipants[ParticipantID],"&lt;&gt;",tblParticipants[ParticipantName],"&lt;&gt;",tblParticipants[EnrollQtr],2,tblParticipants[LastMilSvc],"&gt;=16",tblParticipants[LastMilSvc],"&lt;=19")</f>
        <v>0</v>
      </c>
      <c r="H44" s="163">
        <f>COUNTIFS(tblParticipants[ParticipantID],"&lt;&gt;",tblParticipants[ParticipantName],"&lt;&gt;",tblParticipants[EnrollQtr],"&gt;=1",tblParticipants[EnrollQtr],"&lt;=2",tblParticipants[ExitQtr],2,tblParticipants[LastMilSvc],"&gt;=16",tblParticipants[LastMilSvc],"&lt;=19")</f>
        <v>0</v>
      </c>
      <c r="I44" s="163">
        <f>COUNTIFS(tblParticipants[ParticipantID],"&lt;&gt;",tblParticipants[ParticipantName],"&lt;&gt;",tblParticipants[EnrollQtr],"&gt;=1",tblParticipants[EnrollQtr],"&lt;=2",tblParticipants[HrlyWgPlmt],"&gt;0",tblParticipants[EmployQtr],2,tblParticipants[ExitQtr],2,tblParticipants[LastMilSvc],"&gt;=16",tblParticipants[LastMilSvc],"&lt;=19")</f>
        <v>0</v>
      </c>
      <c r="J44" s="165">
        <f>IFERROR(AVERAGEIFS(tblParticipants[HrlyWgPlmt],tblParticipants[ParticipantID],"&lt;&gt;",tblParticipants[ParticipantName],"&lt;&gt;",tblParticipants[EnrollQtr],"&gt;=1",tblParticipants[EnrollQtr],"&lt;=2",tblParticipants[HrlyWgPlmt],"&gt;0",tblParticipants[EmployQtr],2,tblParticipants[ExitQtr],2,tblParticipants[LastMilSvc],"&gt;=16",tblParticipants[LastMilSvc],"&lt;20"),0)</f>
        <v>0</v>
      </c>
      <c r="L44" s="163">
        <f>COUNTIFS(tblParticipants[ParticipantID],"&lt;&gt;",tblParticipants[ParticipantName],"&lt;&gt;",tblParticipants[EnrollQtr],3,tblParticipants[LastMilSvc],"&gt;=16",tblParticipants[LastMilSvc],"&lt;=19")</f>
        <v>0</v>
      </c>
      <c r="M44" s="163">
        <f>COUNTIFS(tblParticipants[ParticipantID],"&lt;&gt;",tblParticipants[ParticipantName],"&lt;&gt;",tblParticipants[EnrollQtr],"&gt;=1",tblParticipants[EnrollQtr],"&lt;=3",tblParticipants[ExitQtr],3,tblParticipants[LastMilSvc],"&gt;=16",tblParticipants[LastMilSvc],"&lt;=19")</f>
        <v>0</v>
      </c>
      <c r="N44" s="163">
        <f>COUNTIFS(tblParticipants[ParticipantID],"&lt;&gt;",tblParticipants[ParticipantName],"&lt;&gt;",tblParticipants[EnrollQtr],"&gt;=1",tblParticipants[EnrollQtr],"&lt;=3",tblParticipants[HrlyWgPlmt],"&gt;0",tblParticipants[EmployQtr],3,tblParticipants[ExitQtr],3,tblParticipants[LastMilSvc],"&gt;=16",tblParticipants[LastMilSvc],"&lt;=19")</f>
        <v>0</v>
      </c>
      <c r="O44" s="165">
        <f>IFERROR(AVERAGEIFS(tblParticipants[HrlyWgPlmt],tblParticipants[ParticipantID],"&lt;&gt;",tblParticipants[ParticipantName],"&lt;&gt;",tblParticipants[EnrollQtr],"&gt;=1",tblParticipants[EnrollQtr],"&lt;=3",tblParticipants[HrlyWgPlmt],"&gt;0",tblParticipants[EmployQtr],3,tblParticipants[ExitQtr],3,tblParticipants[LastMilSvc],"&gt;=16",tblParticipants[LastMilSvc],"&lt;20"),0)</f>
        <v>0</v>
      </c>
      <c r="Q44" s="163">
        <f>COUNTIFS(tblParticipants[ParticipantID],"&lt;&gt;",tblParticipants[ParticipantName],"&lt;&gt;",tblParticipants[EnrollQtr],4,tblParticipants[LastMilSvc],"&gt;=16",tblParticipants[LastMilSvc],"&lt;=19")</f>
        <v>0</v>
      </c>
      <c r="R44" s="163">
        <f>COUNTIFS(tblParticipants[ParticipantID],"&lt;&gt;",tblParticipants[ParticipantName],"&lt;&gt;",tblParticipants[EnrollQtr],"&gt;=1",tblParticipants[EnrollQtr],"&lt;=4",tblParticipants[ExitQtr],4,tblParticipants[LastMilSvc],"&gt;=16",tblParticipants[LastMilSvc],"&lt;=19")</f>
        <v>0</v>
      </c>
      <c r="S44" s="163">
        <f>COUNTIFS(tblParticipants[ParticipantID],"&lt;&gt;",tblParticipants[ParticipantName],"&lt;&gt;",tblParticipants[EnrollQtr],"&gt;=1",tblParticipants[EnrollQtr],"&lt;=4",tblParticipants[HrlyWgPlmt],"&gt;0",tblParticipants[EmployQtr],4,tblParticipants[ExitQtr],4,tblParticipants[LastMilSvc],"&gt;=16",tblParticipants[LastMilSvc],"&lt;=19")</f>
        <v>0</v>
      </c>
      <c r="T44" s="165">
        <f>IFERROR(AVERAGEIFS(tblParticipants[HrlyWgPlmt],tblParticipants[ParticipantID],"&lt;&gt;",tblParticipants[ParticipantName],"&lt;&gt;",tblParticipants[EnrollQtr],"&gt;=1",tblParticipants[EnrollQtr],"&lt;=4",tblParticipants[HrlyWgPlmt],"&gt;0",tblParticipants[EmployQtr],4,tblParticipants[ExitQtr],4,tblParticipants[LastMilSvc],"&gt;=16",tblParticipants[LastMilSvc],"&lt;20"),0)</f>
        <v>0</v>
      </c>
      <c r="V44" s="146">
        <f t="shared" si="10"/>
        <v>0</v>
      </c>
      <c r="W44" s="148">
        <f t="shared" si="11"/>
        <v>0</v>
      </c>
      <c r="X44" s="148">
        <f t="shared" si="12"/>
        <v>0</v>
      </c>
      <c r="Y44" s="150">
        <f t="shared" si="13"/>
        <v>0</v>
      </c>
      <c r="Z44" s="190">
        <f t="shared" si="14"/>
        <v>0</v>
      </c>
    </row>
    <row r="45" spans="1:26" x14ac:dyDescent="0.3">
      <c r="A45" s="203" t="s">
        <v>2687</v>
      </c>
      <c r="B45" s="163">
        <f>COUNTIFS(tblParticipants[ParticipantID],"&lt;&gt;",tblParticipants[ParticipantName],"&lt;&gt;",tblParticipants[EnrollQtr],1,tblParticipants[LastMilSvc],"&gt;=20")</f>
        <v>0</v>
      </c>
      <c r="C45" s="163">
        <f>COUNTIFS(tblParticipants[ParticipantID],"&lt;&gt;",tblParticipants[ParticipantName],"&lt;&gt;",tblParticipants[EnrollQtr],1,tblParticipants[ExitQtr],1,tblParticipants[LastMilSvc],"&gt;=20")</f>
        <v>0</v>
      </c>
      <c r="D45" s="163">
        <f>COUNTIFS(tblParticipants[ParticipantID],"&lt;&gt;",tblParticipants[ParticipantName],"&lt;&gt;",tblParticipants[EnrollQtr],1,tblParticipants[HrlyWgPlmt],"&gt;0",tblParticipants[EmployQtr],1,tblParticipants[ExitQtr],1,tblParticipants[LastMilSvc],"&gt;=20")</f>
        <v>0</v>
      </c>
      <c r="E45" s="165">
        <f>IFERROR(AVERAGEIFS(tblParticipants[HrlyWgPlmt],tblParticipants[ParticipantID],"&lt;&gt;",tblParticipants[ParticipantName],"&lt;&gt;",tblParticipants[EnrollQtr],1,tblParticipants[HrlyWgPlmt],"&gt;0",tblParticipants[EmployQtr],1,tblParticipants[ExitQtr],1,tblParticipants[LastMilSvc],"&gt;=20"),0)</f>
        <v>0</v>
      </c>
      <c r="G45" s="163">
        <f>COUNTIFS(tblParticipants[ParticipantID],"&lt;&gt;",tblParticipants[ParticipantName],"&lt;&gt;",tblParticipants[EnrollQtr],2,tblParticipants[LastMilSvc],"&gt;=20")</f>
        <v>0</v>
      </c>
      <c r="H45" s="163">
        <f>COUNTIFS(tblParticipants[ParticipantID],"&lt;&gt;",tblParticipants[ParticipantName],"&lt;&gt;",tblParticipants[EnrollQtr],"&gt;=1",tblParticipants[EnrollQtr],"&lt;=2",tblParticipants[ExitQtr],2,tblParticipants[LastMilSvc],"&gt;=20")</f>
        <v>0</v>
      </c>
      <c r="I45" s="163">
        <f>COUNTIFS(tblParticipants[ParticipantID],"&lt;&gt;",tblParticipants[ParticipantName],"&lt;&gt;",tblParticipants[EnrollQtr],"&gt;=1",tblParticipants[EnrollQtr],"&lt;=2",tblParticipants[HrlyWgPlmt],"&gt;0",tblParticipants[EmployQtr],2,tblParticipants[ExitQtr],2,tblParticipants[LastMilSvc],"&gt;=20")</f>
        <v>0</v>
      </c>
      <c r="J45" s="165">
        <f>IFERROR(AVERAGEIFS(tblParticipants[HrlyWgPlmt],tblParticipants[ParticipantID],"&lt;&gt;",tblParticipants[ParticipantName],"&lt;&gt;",tblParticipants[EnrollQtr],"&gt;=1",tblParticipants[EnrollQtr],"&lt;=2",tblParticipants[HrlyWgPlmt],"&gt;0",tblParticipants[EmployQtr],2,tblParticipants[ExitQtr],2,tblParticipants[LastMilSvc],"&gt;=20"),0)</f>
        <v>0</v>
      </c>
      <c r="L45" s="163">
        <f>COUNTIFS(tblParticipants[ParticipantID],"&lt;&gt;",tblParticipants[ParticipantName],"&lt;&gt;",tblParticipants[EnrollQtr],3,tblParticipants[LastMilSvc],"&gt;=20")</f>
        <v>0</v>
      </c>
      <c r="M45" s="163">
        <f>COUNTIFS(tblParticipants[ParticipantID],"&lt;&gt;",tblParticipants[ParticipantName],"&lt;&gt;",tblParticipants[EnrollQtr],"&gt;=1",tblParticipants[EnrollQtr],"&lt;=3",tblParticipants[ExitQtr],3,tblParticipants[LastMilSvc],"&gt;=20")</f>
        <v>0</v>
      </c>
      <c r="N45" s="163">
        <f>COUNTIFS(tblParticipants[ParticipantID],"&lt;&gt;",tblParticipants[ParticipantName],"&lt;&gt;",tblParticipants[EnrollQtr],"&gt;=1",tblParticipants[EnrollQtr],"&lt;=3",tblParticipants[HrlyWgPlmt],"&gt;0",tblParticipants[EmployQtr],3,tblParticipants[ExitQtr],3,tblParticipants[LastMilSvc],"&gt;=20")</f>
        <v>0</v>
      </c>
      <c r="O45" s="165">
        <f>IFERROR(AVERAGEIFS(tblParticipants[HrlyWgPlmt],tblParticipants[ParticipantID],"&lt;&gt;",tblParticipants[ParticipantName],"&lt;&gt;",tblParticipants[EnrollQtr],"&gt;=1",tblParticipants[EnrollQtr],"&lt;=3",tblParticipants[HrlyWgPlmt],"&gt;0",tblParticipants[EmployQtr],3,tblParticipants[ExitQtr],3,tblParticipants[LastMilSvc],"&gt;=20"),0)</f>
        <v>0</v>
      </c>
      <c r="Q45" s="163">
        <f>COUNTIFS(tblParticipants[ParticipantID],"&lt;&gt;",tblParticipants[ParticipantName],"&lt;&gt;",tblParticipants[EnrollQtr],4,tblParticipants[LastMilSvc],"&gt;=20")</f>
        <v>0</v>
      </c>
      <c r="R45" s="163">
        <f>COUNTIFS(tblParticipants[ParticipantID],"&lt;&gt;",tblParticipants[ParticipantName],"&lt;&gt;",tblParticipants[EnrollQtr],"&gt;=1",tblParticipants[EnrollQtr],"&lt;=4",tblParticipants[ExitQtr],4,tblParticipants[LastMilSvc],"&gt;=20")</f>
        <v>0</v>
      </c>
      <c r="S45" s="163">
        <f>COUNTIFS(tblParticipants[ParticipantID],"&lt;&gt;",tblParticipants[ParticipantName],"&lt;&gt;",tblParticipants[EnrollQtr],"&gt;=1",tblParticipants[EnrollQtr],"&lt;=4",tblParticipants[HrlyWgPlmt],"&gt;0",tblParticipants[EmployQtr],4,tblParticipants[ExitQtr],4,tblParticipants[LastMilSvc],"&gt;=20")</f>
        <v>0</v>
      </c>
      <c r="T45" s="165">
        <f>IFERROR(AVERAGEIFS(tblParticipants[HrlyWgPlmt],tblParticipants[ParticipantID],"&lt;&gt;",tblParticipants[ParticipantName],"&lt;&gt;",tblParticipants[EnrollQtr],"&gt;=1",tblParticipants[EnrollQtr],"&lt;=4",tblParticipants[HrlyWgPlmt],"&gt;0",tblParticipants[EmployQtr],4,tblParticipants[ExitQtr],4,tblParticipants[LastMilSvc],"&gt;=20"),0)</f>
        <v>0</v>
      </c>
      <c r="V45" s="146">
        <f t="shared" si="10"/>
        <v>0</v>
      </c>
      <c r="W45" s="148">
        <f t="shared" si="11"/>
        <v>0</v>
      </c>
      <c r="X45" s="148">
        <f t="shared" si="12"/>
        <v>0</v>
      </c>
      <c r="Y45" s="150">
        <f t="shared" si="13"/>
        <v>0</v>
      </c>
      <c r="Z45" s="190">
        <f t="shared" si="14"/>
        <v>0</v>
      </c>
    </row>
    <row r="46" spans="1:26" x14ac:dyDescent="0.3">
      <c r="A46" s="204" t="s">
        <v>2668</v>
      </c>
      <c r="V46" s="48"/>
      <c r="W46" s="46"/>
      <c r="X46" s="46"/>
      <c r="Y46" s="46"/>
      <c r="Z46" s="47"/>
    </row>
    <row r="47" spans="1:26" x14ac:dyDescent="0.3">
      <c r="A47" s="205" t="s">
        <v>2688</v>
      </c>
      <c r="B47" s="178"/>
      <c r="C47" s="178"/>
      <c r="D47" s="178"/>
      <c r="E47" s="178"/>
      <c r="F47" s="178"/>
      <c r="G47" s="180"/>
      <c r="H47" s="180"/>
      <c r="I47" s="180"/>
      <c r="J47" s="182"/>
      <c r="K47" s="157"/>
      <c r="L47" s="179"/>
      <c r="M47" s="179"/>
      <c r="N47" s="179"/>
      <c r="O47" s="157"/>
      <c r="P47" s="178"/>
      <c r="Q47" s="179"/>
      <c r="R47" s="157"/>
      <c r="S47" s="178"/>
      <c r="T47" s="178"/>
      <c r="U47" s="181"/>
      <c r="V47" s="158"/>
      <c r="W47" s="178"/>
      <c r="X47" s="178"/>
      <c r="Y47" s="178"/>
      <c r="Z47" s="181"/>
    </row>
    <row r="48" spans="1:26" x14ac:dyDescent="0.3">
      <c r="A48" s="210" t="s">
        <v>2761</v>
      </c>
      <c r="B48" s="163"/>
      <c r="C48" s="164"/>
      <c r="D48" s="164"/>
      <c r="E48" s="171"/>
      <c r="G48" s="175"/>
      <c r="H48" s="175"/>
      <c r="I48" s="175"/>
      <c r="J48" s="174"/>
      <c r="L48" s="163"/>
      <c r="M48" s="164"/>
      <c r="N48" s="164"/>
      <c r="O48" s="171"/>
      <c r="Q48" s="163"/>
      <c r="R48" s="164"/>
      <c r="S48" s="164"/>
      <c r="T48" s="171"/>
      <c r="V48" s="146"/>
      <c r="W48" s="148"/>
      <c r="X48" s="148"/>
      <c r="Y48" s="150"/>
      <c r="Z48" s="190"/>
    </row>
    <row r="49" spans="1:26" x14ac:dyDescent="0.3">
      <c r="A49" s="211" t="s">
        <v>2757</v>
      </c>
      <c r="B49" s="174">
        <f>COUNTIFS(tblParticipants[ParticipantID],"&lt;&gt;",tblParticipants[ParticipantName],"&lt;&gt;",tblParticipants[EnrollQtr],1,tblParticipants[EpisHomeless],1)</f>
        <v>0</v>
      </c>
      <c r="C49" s="175">
        <f>COUNTIFS(tblParticipants[ParticipantID],"&lt;&gt;",tblParticipants[ParticipantName],"&lt;&gt;",tblParticipants[EnrollQtr],1,tblParticipants[ExitQtr],1,tblParticipants[EpisHomeless],1)</f>
        <v>0</v>
      </c>
      <c r="D49" s="175">
        <f>COUNTIFS(tblParticipants[ParticipantID],"&lt;&gt;",tblParticipants[ParticipantName],"&lt;&gt;",tblParticipants[EnrollQtr],1,tblParticipants[HrlyWgPlmt],"&gt;0",tblParticipants[EmployQtr],1,tblParticipants[ExitQtr],1,tblParticipants[EpisHomeless],1)</f>
        <v>0</v>
      </c>
      <c r="E49" s="194">
        <f>IFERROR(AVERAGEIFS(tblParticipants[HrlyWgPlmt],tblParticipants[ParticipantID],"&lt;&gt;",tblParticipants[ParticipantName],"&lt;&gt;",tblParticipants[EnrollQtr],1,tblParticipants[HrlyWgPlmt],"&gt;0",tblParticipants[EmployQtr],1,tblParticipants[ExitQtr],1,tblParticipants[EpisHomeless],1),0)</f>
        <v>0</v>
      </c>
      <c r="G49" s="174">
        <f>COUNTIFS(tblParticipants[ParticipantID],"&lt;&gt;",tblParticipants[ParticipantName],"&lt;&gt;",tblParticipants[EnrollQtr],2,tblParticipants[EpisHomeless],1)</f>
        <v>0</v>
      </c>
      <c r="H49" s="175">
        <f>COUNTIFS(tblParticipants[ParticipantID],"&lt;&gt;",tblParticipants[ParticipantName],"&lt;&gt;",tblParticipants[EnrollQtr],"&gt;=1",tblParticipants[EnrollQtr],"&lt;=2",tblParticipants[ExitQtr],2,tblParticipants[EpisHomeless],1)</f>
        <v>0</v>
      </c>
      <c r="I49" s="175">
        <f>COUNTIFS(tblParticipants[ParticipantID],"&lt;&gt;",tblParticipants[ParticipantName],"&lt;&gt;",tblParticipants[EnrollQtr],"&gt;=1",tblParticipants[EnrollQtr],"&lt;=2",tblParticipants[HrlyWgPlmt],"&gt;0",tblParticipants[EmployQtr],2,tblParticipants[ExitQtr],2,tblParticipants[EpisHomeless],1)</f>
        <v>0</v>
      </c>
      <c r="J49" s="194">
        <f>IFERROR(AVERAGEIFS(tblParticipants[HrlyWgPlmt],tblParticipants[ParticipantID],"&lt;&gt;",tblParticipants[ParticipantName],"&lt;&gt;",tblParticipants[EnrollQtr],"&gt;=1",tblParticipants[EnrollQtr],"&lt;=2",tblParticipants[HrlyWgPlmt],"&gt;0",tblParticipants[EmployQtr],2,tblParticipants[ExitQtr],2,tblParticipants[EpisHomeless],1),0)</f>
        <v>0</v>
      </c>
      <c r="L49" s="174">
        <f>COUNTIFS(tblParticipants[ParticipantID],"&lt;&gt;",tblParticipants[ParticipantName],"&lt;&gt;",tblParticipants[EnrollQtr],3,tblParticipants[EpisHomeless],1)</f>
        <v>0</v>
      </c>
      <c r="M49" s="175">
        <f>COUNTIFS(tblParticipants[ParticipantID],"&lt;&gt;",tblParticipants[ParticipantName],"&lt;&gt;",tblParticipants[EnrollQtr],"&gt;=1",tblParticipants[EnrollQtr],"&lt;=3",tblParticipants[ExitQtr],3,tblParticipants[EpisHomeless],1)</f>
        <v>0</v>
      </c>
      <c r="N49" s="175">
        <f>COUNTIFS(tblParticipants[ParticipantID],"&lt;&gt;",tblParticipants[ParticipantName],"&lt;&gt;",tblParticipants[EnrollQtr],"&gt;=1",tblParticipants[EnrollQtr],"&lt;=3",tblParticipants[HrlyWgPlmt],"&gt;0",tblParticipants[EmployQtr],3,tblParticipants[ExitQtr],3,tblParticipants[EpisHomeless],1)</f>
        <v>0</v>
      </c>
      <c r="O49" s="194">
        <f>IFERROR(AVERAGEIFS(tblParticipants[HrlyWgPlmt],tblParticipants[ParticipantID],"&lt;&gt;",tblParticipants[ParticipantName],"&lt;&gt;",tblParticipants[EnrollQtr],"&gt;=1",tblParticipants[EnrollQtr],"&lt;=3",tblParticipants[HrlyWgPlmt],"&gt;0",tblParticipants[EmployQtr],3,tblParticipants[ExitQtr],3,tblParticipants[EpisHomeless],1),0)</f>
        <v>0</v>
      </c>
      <c r="Q49" s="174">
        <f>COUNTIFS(tblParticipants[ParticipantID],"&lt;&gt;",tblParticipants[ParticipantName],"&lt;&gt;",tblParticipants[EnrollQtr],4,tblParticipants[EpisHomeless],1)</f>
        <v>0</v>
      </c>
      <c r="R49" s="175">
        <f>COUNTIFS(tblParticipants[ParticipantID],"&lt;&gt;",tblParticipants[ParticipantName],"&lt;&gt;",tblParticipants[EnrollQtr],"&gt;=1",tblParticipants[EnrollQtr],"&lt;=4",tblParticipants[ExitQtr],4,tblParticipants[EpisHomeless],1)</f>
        <v>0</v>
      </c>
      <c r="S49" s="175">
        <f>COUNTIFS(tblParticipants[ParticipantID],"&lt;&gt;",tblParticipants[ParticipantName],"&lt;&gt;",tblParticipants[EnrollQtr],"&gt;=1",tblParticipants[EnrollQtr],"&lt;=4",tblParticipants[HrlyWgPlmt],"&gt;0",tblParticipants[EmployQtr],4,tblParticipants[ExitQtr],4,tblParticipants[EpisHomeless],1)</f>
        <v>0</v>
      </c>
      <c r="T49" s="194">
        <f>IFERROR(AVERAGEIFS(tblParticipants[HrlyWgPlmt],tblParticipants[ParticipantID],"&lt;&gt;",tblParticipants[ParticipantName],"&lt;&gt;",tblParticipants[EnrollQtr],"&gt;=1",tblParticipants[EnrollQtr],"&lt;=4",tblParticipants[HrlyWgPlmt],"&gt;0",tblParticipants[EmployQtr],4,tblParticipants[ExitQtr],4,tblParticipants[EpisHomeless],1),0)</f>
        <v>0</v>
      </c>
      <c r="V49" s="152">
        <f>$B49+$G49+$L49+$Q49</f>
        <v>0</v>
      </c>
      <c r="W49" s="153">
        <f>$C49+$H49+$M49+$R49</f>
        <v>0</v>
      </c>
      <c r="X49" s="153">
        <f>$D49+$I49+$N49+$S49</f>
        <v>0</v>
      </c>
      <c r="Y49" s="200">
        <f>IF($X49=0,0,$X49/$W49)</f>
        <v>0</v>
      </c>
      <c r="Z49" s="198">
        <f>IF($X49=0,0,(($D49*$E49)+($I49*$J49)+($N49*$O49)+($S49*$T49))/$X49)</f>
        <v>0</v>
      </c>
    </row>
    <row r="50" spans="1:26" x14ac:dyDescent="0.3">
      <c r="A50" s="203" t="s">
        <v>8</v>
      </c>
      <c r="B50" s="174">
        <f>COUNTIFS(tblParticipants[ParticipantID],"&lt;&gt;",tblParticipants[ParticipantName],"&lt;&gt;",tblParticipants[EnrollQtr],1,tblParticipants[Homeless],1)</f>
        <v>0</v>
      </c>
      <c r="C50" s="175">
        <f>COUNTIFS(tblParticipants[ParticipantID],"&lt;&gt;",tblParticipants[ParticipantName],"&lt;&gt;",tblParticipants[EnrollQtr],1,tblParticipants[ExitQtr],1,tblParticipants[Homeless],1)</f>
        <v>0</v>
      </c>
      <c r="D50" s="175">
        <f>COUNTIFS(tblParticipants[ParticipantID],"&lt;&gt;",tblParticipants[ParticipantName],"&lt;&gt;",tblParticipants[EnrollQtr],1,tblParticipants[HrlyWgPlmt],"&gt;0",tblParticipants[EmployQtr],1,tblParticipants[ExitQtr],1,tblParticipants[Homeless],1)</f>
        <v>0</v>
      </c>
      <c r="E50" s="194">
        <f>IFERROR(AVERAGEIFS(tblParticipants[HrlyWgPlmt],tblParticipants[ParticipantID],"&lt;&gt;",tblParticipants[ParticipantName],"&lt;&gt;",tblParticipants[EnrollQtr],1,tblParticipants[HrlyWgPlmt],"&gt;0",tblParticipants[EmployQtr],1,tblParticipants[ExitQtr],1,tblParticipants[Homeless],1),0)</f>
        <v>0</v>
      </c>
      <c r="G50" s="174">
        <f>COUNTIFS(tblParticipants[ParticipantID],"&lt;&gt;",tblParticipants[ParticipantName],"&lt;&gt;",tblParticipants[EnrollQtr],2,tblParticipants[Homeless],1)</f>
        <v>0</v>
      </c>
      <c r="H50" s="175">
        <f>COUNTIFS(tblParticipants[ParticipantID],"&lt;&gt;",tblParticipants[ParticipantName],"&lt;&gt;",tblParticipants[EnrollQtr],"&gt;=1",tblParticipants[EnrollQtr],"&lt;=2",tblParticipants[ExitQtr],2,tblParticipants[Homeless],1)</f>
        <v>0</v>
      </c>
      <c r="I50" s="175">
        <f>COUNTIFS(tblParticipants[ParticipantID],"&lt;&gt;",tblParticipants[ParticipantName],"&lt;&gt;",tblParticipants[EnrollQtr],"&gt;=1",tblParticipants[EnrollQtr],"&lt;=2",tblParticipants[HrlyWgPlmt],"&gt;0",tblParticipants[EmployQtr],2,tblParticipants[ExitQtr],2,tblParticipants[Homeless],1)</f>
        <v>0</v>
      </c>
      <c r="J50" s="194">
        <f>IFERROR(AVERAGEIFS(tblParticipants[HrlyWgPlmt],tblParticipants[ParticipantID],"&lt;&gt;",tblParticipants[ParticipantName],"&lt;&gt;",tblParticipants[EnrollQtr],"&gt;=1",tblParticipants[EnrollQtr],"&lt;=2",tblParticipants[HrlyWgPlmt],"&gt;0",tblParticipants[EmployQtr],2,tblParticipants[ExitQtr],2,tblParticipants[Homeless],1),0)</f>
        <v>0</v>
      </c>
      <c r="L50" s="174">
        <f>COUNTIFS(tblParticipants[ParticipantID],"&lt;&gt;",tblParticipants[ParticipantName],"&lt;&gt;",tblParticipants[EnrollQtr],3,tblParticipants[Homeless],1)</f>
        <v>0</v>
      </c>
      <c r="M50" s="175">
        <f>COUNTIFS(tblParticipants[ParticipantID],"&lt;&gt;",tblParticipants[ParticipantName],"&lt;&gt;",tblParticipants[EnrollQtr],"&gt;=1",tblParticipants[EnrollQtr],"&lt;=3",tblParticipants[ExitQtr],3,tblParticipants[Homeless],1)</f>
        <v>0</v>
      </c>
      <c r="N50" s="175">
        <f>COUNTIFS(tblParticipants[ParticipantID],"&lt;&gt;",tblParticipants[ParticipantName],"&lt;&gt;",tblParticipants[EnrollQtr],"&gt;=1",tblParticipants[EnrollQtr],"&lt;=3",tblParticipants[HrlyWgPlmt],"&gt;0",tblParticipants[EmployQtr],3,tblParticipants[ExitQtr],3,tblParticipants[Homeless],1)</f>
        <v>0</v>
      </c>
      <c r="O50" s="194">
        <f>IFERROR(AVERAGEIFS(tblParticipants[HrlyWgPlmt],tblParticipants[ParticipantID],"&lt;&gt;",tblParticipants[ParticipantName],"&lt;&gt;",tblParticipants[EnrollQtr],"&gt;=1",tblParticipants[EnrollQtr],"&lt;=3",tblParticipants[HrlyWgPlmt],"&gt;0",tblParticipants[EmployQtr],3,tblParticipants[ExitQtr],3,tblParticipants[Homeless],1),0)</f>
        <v>0</v>
      </c>
      <c r="Q50" s="174">
        <f>COUNTIFS(tblParticipants[ParticipantID],"&lt;&gt;",tblParticipants[ParticipantName],"&lt;&gt;",tblParticipants[EnrollQtr],4,tblParticipants[Homeless],1)</f>
        <v>0</v>
      </c>
      <c r="R50" s="175">
        <f>COUNTIFS(tblParticipants[ParticipantID],"&lt;&gt;",tblParticipants[ParticipantName],"&lt;&gt;",tblParticipants[EnrollQtr],"&gt;=1",tblParticipants[EnrollQtr],"&lt;=4",tblParticipants[ExitQtr],4,tblParticipants[Homeless],1)</f>
        <v>0</v>
      </c>
      <c r="S50" s="175">
        <f>COUNTIFS(tblParticipants[ParticipantID],"&lt;&gt;",tblParticipants[ParticipantName],"&lt;&gt;",tblParticipants[EnrollQtr],"&gt;=1",tblParticipants[EnrollQtr],"&lt;=4",tblParticipants[HrlyWgPlmt],"&gt;0",tblParticipants[EmployQtr],4,tblParticipants[ExitQtr],4,tblParticipants[Homeless],1)</f>
        <v>0</v>
      </c>
      <c r="T50" s="194">
        <f>IFERROR(AVERAGEIFS(tblParticipants[HrlyWgPlmt],tblParticipants[ParticipantID],"&lt;&gt;",tblParticipants[ParticipantName],"&lt;&gt;",tblParticipants[EnrollQtr],"&gt;=1",tblParticipants[EnrollQtr],"&lt;=4",tblParticipants[HrlyWgPlmt],"&gt;0",tblParticipants[EmployQtr],4,tblParticipants[ExitQtr],4,tblParticipants[Homeless],1),0)</f>
        <v>0</v>
      </c>
      <c r="V50" s="152">
        <f t="shared" ref="V50:V61" si="15">$B50+$G50+$L50+$Q50</f>
        <v>0</v>
      </c>
      <c r="W50" s="153">
        <f t="shared" ref="W50:W61" si="16">$C50+$H50+$M50+$R50</f>
        <v>0</v>
      </c>
      <c r="X50" s="153">
        <f t="shared" ref="X50:X61" si="17">$D50+$I50+$N50+$S50</f>
        <v>0</v>
      </c>
      <c r="Y50" s="200">
        <f t="shared" ref="Y50:Y63" si="18">IF($X50=0,0,$X50/$W50)</f>
        <v>0</v>
      </c>
      <c r="Z50" s="198">
        <f t="shared" ref="Z50:Z63" si="19">IF($X50=0,0,(($D50*$E50)+($I50*$J50)+($N50*$O50)+($S50*$T50))/$X50)</f>
        <v>0</v>
      </c>
    </row>
    <row r="51" spans="1:26" x14ac:dyDescent="0.3">
      <c r="A51" s="212" t="s">
        <v>2689</v>
      </c>
      <c r="B51" s="174">
        <f>COUNTIFS(tblParticipants[ParticipantID],"&lt;&gt;",tblParticipants[ParticipantName],"&lt;&gt;",tblParticipants[EnrollQtr],1,tblParticipants[HlessWfam],1)</f>
        <v>0</v>
      </c>
      <c r="C51" s="175">
        <f>COUNTIFS(tblParticipants[ParticipantID],"&lt;&gt;",tblParticipants[ParticipantName],"&lt;&gt;",tblParticipants[EnrollQtr],1,tblParticipants[ExitQtr],1,tblParticipants[HlessWfam],1)</f>
        <v>0</v>
      </c>
      <c r="D51" s="175">
        <f>COUNTIFS(tblParticipants[ParticipantID],"&lt;&gt;",tblParticipants[ParticipantName],"&lt;&gt;",tblParticipants[EnrollQtr],1,tblParticipants[HrlyWgPlmt],"&gt;0",tblParticipants[EmployQtr],1,tblParticipants[ExitQtr],1,tblParticipants[HlessWfam],1)</f>
        <v>0</v>
      </c>
      <c r="E51" s="194">
        <f>IFERROR(AVERAGEIFS(tblParticipants[HrlyWgPlmt],tblParticipants[ParticipantID],"&lt;&gt;",tblParticipants[ParticipantName],"&lt;&gt;",tblParticipants[EnrollQtr],1,tblParticipants[HrlyWgPlmt],"&gt;0",tblParticipants[EmployQtr],1,tblParticipants[ExitQtr],1,tblParticipants[HlessWfam],1),0)</f>
        <v>0</v>
      </c>
      <c r="G51" s="174">
        <f>COUNTIFS(tblParticipants[ParticipantID],"&lt;&gt;",tblParticipants[ParticipantName],"&lt;&gt;",tblParticipants[EnrollQtr],2,tblParticipants[HlessWfam],1)</f>
        <v>0</v>
      </c>
      <c r="H51" s="175">
        <f>COUNTIFS(tblParticipants[ParticipantID],"&lt;&gt;",tblParticipants[ParticipantName],"&lt;&gt;",tblParticipants[EnrollQtr],"&gt;=1",tblParticipants[EnrollQtr],"&lt;=2",tblParticipants[ExitQtr],2,tblParticipants[HlessWfam],1)</f>
        <v>0</v>
      </c>
      <c r="I51" s="175">
        <f>COUNTIFS(tblParticipants[ParticipantID],"&lt;&gt;",tblParticipants[ParticipantName],"&lt;&gt;",tblParticipants[EnrollQtr],"&gt;=1",tblParticipants[EnrollQtr],"&lt;=2",tblParticipants[HrlyWgPlmt],"&gt;0",tblParticipants[EmployQtr],2,tblParticipants[ExitQtr],2,tblParticipants[HlessWfam],1)</f>
        <v>0</v>
      </c>
      <c r="J51" s="194">
        <f>IFERROR(AVERAGEIFS(tblParticipants[HrlyWgPlmt],tblParticipants[ParticipantID],"&lt;&gt;",tblParticipants[ParticipantName],"&lt;&gt;",tblParticipants[EnrollQtr],"&gt;=1",tblParticipants[EnrollQtr],"&lt;=2",tblParticipants[HrlyWgPlmt],"&gt;0",tblParticipants[EmployQtr],2,tblParticipants[ExitQtr],2,tblParticipants[HlessWfam],1),0)</f>
        <v>0</v>
      </c>
      <c r="L51" s="174">
        <f>COUNTIFS(tblParticipants[ParticipantID],"&lt;&gt;",tblParticipants[ParticipantName],"&lt;&gt;",tblParticipants[EnrollQtr],3,tblParticipants[HlessWfam],1)</f>
        <v>0</v>
      </c>
      <c r="M51" s="175">
        <f>COUNTIFS(tblParticipants[ParticipantID],"&lt;&gt;",tblParticipants[ParticipantName],"&lt;&gt;",tblParticipants[EnrollQtr],"&gt;=1",tblParticipants[EnrollQtr],"&lt;=3",tblParticipants[ExitQtr],3,tblParticipants[HlessWfam],1)</f>
        <v>0</v>
      </c>
      <c r="N51" s="175">
        <f>COUNTIFS(tblParticipants[ParticipantID],"&lt;&gt;",tblParticipants[ParticipantName],"&lt;&gt;",tblParticipants[EnrollQtr],"&gt;=1",tblParticipants[EnrollQtr],"&lt;=3",tblParticipants[HrlyWgPlmt],"&gt;0",tblParticipants[EmployQtr],3,tblParticipants[ExitQtr],3,tblParticipants[HlessWfam],1)</f>
        <v>0</v>
      </c>
      <c r="O51" s="194">
        <f>IFERROR(AVERAGEIFS(tblParticipants[HrlyWgPlmt],tblParticipants[ParticipantID],"&lt;&gt;",tblParticipants[ParticipantName],"&lt;&gt;",tblParticipants[EnrollQtr],"&gt;=1",tblParticipants[EnrollQtr],"&lt;=3",tblParticipants[HrlyWgPlmt],"&gt;0",tblParticipants[EmployQtr],3,tblParticipants[ExitQtr],3,tblParticipants[HlessWfam],1),0)</f>
        <v>0</v>
      </c>
      <c r="Q51" s="174">
        <f>COUNTIFS(tblParticipants[ParticipantID],"&lt;&gt;",tblParticipants[ParticipantName],"&lt;&gt;",tblParticipants[EnrollQtr],4,tblParticipants[HlessWfam],1)</f>
        <v>0</v>
      </c>
      <c r="R51" s="175">
        <f>COUNTIFS(tblParticipants[ParticipantID],"&lt;&gt;",tblParticipants[ParticipantName],"&lt;&gt;",tblParticipants[EnrollQtr],"&gt;=1",tblParticipants[EnrollQtr],"&lt;=4",tblParticipants[ExitQtr],4,tblParticipants[HlessWfam],1)</f>
        <v>0</v>
      </c>
      <c r="S51" s="175">
        <f>COUNTIFS(tblParticipants[ParticipantID],"&lt;&gt;",tblParticipants[ParticipantName],"&lt;&gt;",tblParticipants[EnrollQtr],"&gt;=1",tblParticipants[EnrollQtr],"&lt;=4",tblParticipants[HrlyWgPlmt],"&gt;0",tblParticipants[EmployQtr],4,tblParticipants[ExitQtr],4,tblParticipants[HlessWfam],1)</f>
        <v>0</v>
      </c>
      <c r="T51" s="194">
        <f>IFERROR(AVERAGEIFS(tblParticipants[HrlyWgPlmt],tblParticipants[ParticipantID],"&lt;&gt;",tblParticipants[ParticipantName],"&lt;&gt;",tblParticipants[EnrollQtr],"&gt;=1",tblParticipants[EnrollQtr],"&lt;=4",tblParticipants[HrlyWgPlmt],"&gt;0",tblParticipants[EmployQtr],4,tblParticipants[ExitQtr],4,tblParticipants[HlessWfam],1),0)</f>
        <v>0</v>
      </c>
      <c r="V51" s="152">
        <f t="shared" si="15"/>
        <v>0</v>
      </c>
      <c r="W51" s="153">
        <f t="shared" si="16"/>
        <v>0</v>
      </c>
      <c r="X51" s="153">
        <f t="shared" si="17"/>
        <v>0</v>
      </c>
      <c r="Y51" s="200">
        <f t="shared" si="18"/>
        <v>0</v>
      </c>
      <c r="Z51" s="198">
        <f t="shared" si="19"/>
        <v>0</v>
      </c>
    </row>
    <row r="52" spans="1:26" x14ac:dyDescent="0.3">
      <c r="A52" s="211" t="s">
        <v>2758</v>
      </c>
      <c r="B52" s="174">
        <f>COUNTIFS(tblParticipants[ParticipantID],"&lt;&gt;",tblParticipants[ParticipantName],"&lt;&gt;",tblParticipants[EnrollQtr],1,tblParticipants[IvtpElig],1)</f>
        <v>0</v>
      </c>
      <c r="C52" s="175">
        <f>COUNTIFS(tblParticipants[ParticipantID],"&lt;&gt;",tblParticipants[ParticipantName],"&lt;&gt;",tblParticipants[EnrollQtr],1,tblParticipants[ExitQtr],1,tblParticipants[IvtpElig],1)</f>
        <v>0</v>
      </c>
      <c r="D52" s="175">
        <f>COUNTIFS(tblParticipants[ParticipantID],"&lt;&gt;",tblParticipants[ParticipantName],"&lt;&gt;",tblParticipants[EnrollQtr],1,tblParticipants[HrlyWgPlmt],"&gt;0",tblParticipants[EmployQtr],1,tblParticipants[ExitQtr],1,tblParticipants[IvtpElig],1)</f>
        <v>0</v>
      </c>
      <c r="E52" s="194">
        <f>IFERROR(AVERAGEIFS(tblParticipants[HrlyWgPlmt],tblParticipants[ParticipantID],"&lt;&gt;",tblParticipants[ParticipantName],"&lt;&gt;",tblParticipants[EnrollQtr],1,tblParticipants[HrlyWgPlmt],"&gt;0",tblParticipants[EmployQtr],1,tblParticipants[ExitQtr],1,tblParticipants[IvtpElig],1),0)</f>
        <v>0</v>
      </c>
      <c r="G52" s="174">
        <f>COUNTIFS(tblParticipants[ParticipantID],"&lt;&gt;",tblParticipants[ParticipantName],"&lt;&gt;",tblParticipants[EnrollQtr],2,tblParticipants[IvtpElig],1)</f>
        <v>0</v>
      </c>
      <c r="H52" s="175">
        <f>COUNTIFS(tblParticipants[ParticipantID],"&lt;&gt;",tblParticipants[ParticipantName],"&lt;&gt;",tblParticipants[EnrollQtr],"&gt;=1",tblParticipants[EnrollQtr],"&lt;=2",tblParticipants[ExitQtr],2,tblParticipants[IvtpElig],1)</f>
        <v>0</v>
      </c>
      <c r="I52" s="175">
        <f>COUNTIFS(tblParticipants[ParticipantID],"&lt;&gt;",tblParticipants[ParticipantName],"&lt;&gt;",tblParticipants[EnrollQtr],"&gt;=1",tblParticipants[EnrollQtr],"&lt;=2",tblParticipants[HrlyWgPlmt],"&gt;0",tblParticipants[EmployQtr],2,tblParticipants[ExitQtr],2,tblParticipants[IvtpElig],1)</f>
        <v>0</v>
      </c>
      <c r="J52" s="194">
        <f>IFERROR(AVERAGEIFS(tblParticipants[HrlyWgPlmt],tblParticipants[ParticipantID],"&lt;&gt;",tblParticipants[ParticipantName],"&lt;&gt;",tblParticipants[EnrollQtr],"&gt;=1",tblParticipants[EnrollQtr],"&lt;=2",tblParticipants[HrlyWgPlmt],"&gt;0",tblParticipants[EmployQtr],2,tblParticipants[ExitQtr],2,tblParticipants[IvtpElig],1),0)</f>
        <v>0</v>
      </c>
      <c r="L52" s="174">
        <f>COUNTIFS(tblParticipants[ParticipantID],"&lt;&gt;",tblParticipants[ParticipantName],"&lt;&gt;",tblParticipants[EnrollQtr],3,tblParticipants[IvtpElig],1)</f>
        <v>0</v>
      </c>
      <c r="M52" s="175">
        <f>COUNTIFS(tblParticipants[ParticipantID],"&lt;&gt;",tblParticipants[ParticipantName],"&lt;&gt;",tblParticipants[EnrollQtr],"&gt;=1",tblParticipants[EnrollQtr],"&lt;=3",tblParticipants[ExitQtr],3,tblParticipants[IvtpElig],1)</f>
        <v>0</v>
      </c>
      <c r="N52" s="175">
        <f>COUNTIFS(tblParticipants[ParticipantID],"&lt;&gt;",tblParticipants[ParticipantName],"&lt;&gt;",tblParticipants[EnrollQtr],"&gt;=1",tblParticipants[EnrollQtr],"&lt;=3",tblParticipants[HrlyWgPlmt],"&gt;0",tblParticipants[EmployQtr],3,tblParticipants[ExitQtr],3,tblParticipants[IvtpElig],1)</f>
        <v>0</v>
      </c>
      <c r="O52" s="194">
        <f>IFERROR(AVERAGEIFS(tblParticipants[HrlyWgPlmt],tblParticipants[ParticipantID],"&lt;&gt;",tblParticipants[ParticipantName],"&lt;&gt;",tblParticipants[EnrollQtr],"&gt;=1",tblParticipants[EnrollQtr],"&lt;=3",tblParticipants[HrlyWgPlmt],"&gt;0",tblParticipants[EmployQtr],3,tblParticipants[ExitQtr],3,tblParticipants[IvtpElig],1),0)</f>
        <v>0</v>
      </c>
      <c r="Q52" s="174">
        <f>COUNTIFS(tblParticipants[ParticipantID],"&lt;&gt;",tblParticipants[ParticipantName],"&lt;&gt;",tblParticipants[EnrollQtr],4,tblParticipants[IvtpElig],1)</f>
        <v>0</v>
      </c>
      <c r="R52" s="175">
        <f>COUNTIFS(tblParticipants[ParticipantID],"&lt;&gt;",tblParticipants[ParticipantName],"&lt;&gt;",tblParticipants[EnrollQtr],"&gt;=1",tblParticipants[EnrollQtr],"&lt;=4",tblParticipants[ExitQtr],4,tblParticipants[IvtpElig],1)</f>
        <v>0</v>
      </c>
      <c r="S52" s="175">
        <f>COUNTIFS(tblParticipants[ParticipantID],"&lt;&gt;",tblParticipants[ParticipantName],"&lt;&gt;",tblParticipants[EnrollQtr],"&gt;=1",tblParticipants[EnrollQtr],"&lt;=4",tblParticipants[HrlyWgPlmt],"&gt;0",tblParticipants[EmployQtr],4,tblParticipants[ExitQtr],4,tblParticipants[IvtpElig],1)</f>
        <v>0</v>
      </c>
      <c r="T52" s="194">
        <f>IFERROR(AVERAGEIFS(tblParticipants[HrlyWgPlmt],tblParticipants[ParticipantID],"&lt;&gt;",tblParticipants[ParticipantName],"&lt;&gt;",tblParticipants[EnrollQtr],"&gt;=1",tblParticipants[EnrollQtr],"&lt;=4",tblParticipants[HrlyWgPlmt],"&gt;0",tblParticipants[EmployQtr],4,tblParticipants[ExitQtr],4,tblParticipants[IvtpElig],1),0)</f>
        <v>0</v>
      </c>
      <c r="V52" s="152">
        <f t="shared" si="15"/>
        <v>0</v>
      </c>
      <c r="W52" s="153">
        <f t="shared" si="16"/>
        <v>0</v>
      </c>
      <c r="X52" s="153">
        <f t="shared" si="17"/>
        <v>0</v>
      </c>
      <c r="Y52" s="200">
        <f t="shared" si="18"/>
        <v>0</v>
      </c>
      <c r="Z52" s="198">
        <f t="shared" si="19"/>
        <v>0</v>
      </c>
    </row>
    <row r="53" spans="1:26" x14ac:dyDescent="0.3">
      <c r="A53" s="211" t="s">
        <v>2690</v>
      </c>
      <c r="B53" s="174">
        <f>COUNTIFS(tblParticipants[ParticipantID],"&lt;&gt;",tblParticipants[ParticipantName],"&lt;&gt;",tblParticipants[EnrollQtr],1,tblParticipants[Homeless],1,tblParticipants[Gender],2)</f>
        <v>0</v>
      </c>
      <c r="C53" s="175">
        <f>COUNTIFS(tblParticipants[ParticipantID],"&lt;&gt;",tblParticipants[ParticipantName],"&lt;&gt;",tblParticipants[EnrollQtr],1,tblParticipants[ExitQtr],1,tblParticipants[Homeless],1,tblParticipants[Gender],2)</f>
        <v>0</v>
      </c>
      <c r="D53" s="175">
        <f>COUNTIFS(tblParticipants[ParticipantID],"&lt;&gt;",tblParticipants[ParticipantName],"&lt;&gt;",tblParticipants[EnrollQtr],1,tblParticipants[HrlyWgPlmt],"&gt;0",tblParticipants[EmployQtr],1,tblParticipants[ExitQtr],1,tblParticipants[Homeless],1,tblParticipants[Gender],2)</f>
        <v>0</v>
      </c>
      <c r="E53" s="194">
        <f>IFERROR(AVERAGEIFS(tblParticipants[HrlyWgPlmt],tblParticipants[ParticipantID],"&lt;&gt;",tblParticipants[ParticipantName],"&lt;&gt;",tblParticipants[EnrollQtr],1,tblParticipants[HrlyWgPlmt],"&gt;0",tblParticipants[EmployQtr],1,tblParticipants[ExitQtr],1,tblParticipants[Homeless],1,tblParticipants[Gender],2),0)</f>
        <v>0</v>
      </c>
      <c r="G53" s="174">
        <f>COUNTIFS(tblParticipants[ParticipantID],"&lt;&gt;",tblParticipants[ParticipantName],"&lt;&gt;",tblParticipants[EnrollQtr],2,tblParticipants[Homeless],1,tblParticipants[Gender],2)</f>
        <v>0</v>
      </c>
      <c r="H53" s="175">
        <f>COUNTIFS(tblParticipants[ParticipantID],"&lt;&gt;",tblParticipants[ParticipantName],"&lt;&gt;",tblParticipants[EnrollQtr],"&gt;=1",tblParticipants[EnrollQtr],"&lt;=2",tblParticipants[ExitQtr],2,tblParticipants[Homeless],1,tblParticipants[Gender],2)</f>
        <v>0</v>
      </c>
      <c r="I53" s="175">
        <f>COUNTIFS(tblParticipants[ParticipantID],"&lt;&gt;",tblParticipants[ParticipantName],"&lt;&gt;",tblParticipants[EnrollQtr],"&gt;=1",tblParticipants[EnrollQtr],"&lt;=2",tblParticipants[HrlyWgPlmt],"&gt;0",tblParticipants[EmployQtr],2,tblParticipants[ExitQtr],2,tblParticipants[Homeless],1,tblParticipants[Gender],2)</f>
        <v>0</v>
      </c>
      <c r="J53" s="194">
        <f>IFERROR(AVERAGEIFS(tblParticipants[HrlyWgPlmt],tblParticipants[ParticipantID],"&lt;&gt;",tblParticipants[ParticipantName],"&lt;&gt;",tblParticipants[EnrollQtr],"&gt;=1",tblParticipants[EnrollQtr],"&lt;=2",tblParticipants[HrlyWgPlmt],"&gt;0",tblParticipants[EmployQtr],2,tblParticipants[ExitQtr],2,tblParticipants[Homeless],1,tblParticipants[Gender],2),0)</f>
        <v>0</v>
      </c>
      <c r="L53" s="174">
        <f>COUNTIFS(tblParticipants[ParticipantID],"&lt;&gt;",tblParticipants[ParticipantName],"&lt;&gt;",tblParticipants[EnrollQtr],3,tblParticipants[Homeless],1,tblParticipants[Gender],2)</f>
        <v>0</v>
      </c>
      <c r="M53" s="175">
        <f>COUNTIFS(tblParticipants[ParticipantID],"&lt;&gt;",tblParticipants[ParticipantName],"&lt;&gt;",tblParticipants[EnrollQtr],"&gt;=1",tblParticipants[EnrollQtr],"&lt;=3",tblParticipants[ExitQtr],3,tblParticipants[Homeless],1,tblParticipants[Gender],2)</f>
        <v>0</v>
      </c>
      <c r="N53" s="175">
        <f>COUNTIFS(tblParticipants[ParticipantID],"&lt;&gt;",tblParticipants[ParticipantName],"&lt;&gt;",tblParticipants[EnrollQtr],"&gt;=1",tblParticipants[EnrollQtr],"&lt;=3",tblParticipants[HrlyWgPlmt],"&gt;0",tblParticipants[EmployQtr],3,tblParticipants[ExitQtr],3,tblParticipants[Homeless],1,tblParticipants[Gender],2)</f>
        <v>0</v>
      </c>
      <c r="O53" s="194">
        <f>IFERROR(AVERAGEIFS(tblParticipants[HrlyWgPlmt],tblParticipants[ParticipantID],"&lt;&gt;",tblParticipants[ParticipantName],"&lt;&gt;",tblParticipants[EnrollQtr],"&gt;=1",tblParticipants[EnrollQtr],"&lt;=3",tblParticipants[HrlyWgPlmt],"&gt;0",tblParticipants[EmployQtr],3,tblParticipants[ExitQtr],3,tblParticipants[Homeless],1,tblParticipants[Gender],2),0)</f>
        <v>0</v>
      </c>
      <c r="Q53" s="174">
        <f>COUNTIFS(tblParticipants[ParticipantID],"&lt;&gt;",tblParticipants[ParticipantName],"&lt;&gt;",tblParticipants[EnrollQtr],4,tblParticipants[Homeless],1,tblParticipants[Gender],2)</f>
        <v>0</v>
      </c>
      <c r="R53" s="175">
        <f>COUNTIFS(tblParticipants[ParticipantID],"&lt;&gt;",tblParticipants[ParticipantName],"&lt;&gt;",tblParticipants[EnrollQtr],"&gt;=1",tblParticipants[EnrollQtr],"&lt;=4",tblParticipants[ExitQtr],4,tblParticipants[Homeless],1,tblParticipants[Gender],2)</f>
        <v>0</v>
      </c>
      <c r="S53" s="175">
        <f>COUNTIFS(tblParticipants[ParticipantID],"&lt;&gt;",tblParticipants[ParticipantName],"&lt;&gt;",tblParticipants[EnrollQtr],"&gt;=1",tblParticipants[EnrollQtr],"&lt;=4",tblParticipants[HrlyWgPlmt],"&gt;0",tblParticipants[EmployQtr],4,tblParticipants[ExitQtr],4,tblParticipants[Homeless],1,tblParticipants[Gender],2)</f>
        <v>0</v>
      </c>
      <c r="T53" s="194">
        <f>IFERROR(AVERAGEIFS(tblParticipants[HrlyWgPlmt],tblParticipants[ParticipantID],"&lt;&gt;",tblParticipants[ParticipantName],"&lt;&gt;",tblParticipants[EnrollQtr],"&gt;=1",tblParticipants[EnrollQtr],"&lt;=4",tblParticipants[HrlyWgPlmt],"&gt;0",tblParticipants[EmployQtr],4,tblParticipants[ExitQtr],4,tblParticipants[Homeless],1,tblParticipants[Gender],2),0)</f>
        <v>0</v>
      </c>
      <c r="V53" s="152">
        <f t="shared" si="15"/>
        <v>0</v>
      </c>
      <c r="W53" s="153">
        <f t="shared" si="16"/>
        <v>0</v>
      </c>
      <c r="X53" s="153">
        <f t="shared" si="17"/>
        <v>0</v>
      </c>
      <c r="Y53" s="200">
        <f t="shared" si="18"/>
        <v>0</v>
      </c>
      <c r="Z53" s="198">
        <f t="shared" si="19"/>
        <v>0</v>
      </c>
    </row>
    <row r="54" spans="1:26" x14ac:dyDescent="0.3">
      <c r="A54" s="211" t="s">
        <v>2759</v>
      </c>
      <c r="B54" s="174">
        <f>COUNTIFS(tblParticipants[ParticipantID],"&lt;&gt;",tblParticipants[ParticipantName],"&lt;&gt;",tblParticipants[EnrollQtr],1,tblParticipants[AtRisk],1)</f>
        <v>0</v>
      </c>
      <c r="C54" s="175">
        <f>COUNTIFS(tblParticipants[ParticipantID],"&lt;&gt;",tblParticipants[ParticipantName],"&lt;&gt;",tblParticipants[EnrollQtr],1,tblParticipants[ExitQtr],1,tblParticipants[AtRisk],1)</f>
        <v>0</v>
      </c>
      <c r="D54" s="175">
        <f>COUNTIFS(tblParticipants[ParticipantID],"&lt;&gt;",tblParticipants[ParticipantName],"&lt;&gt;",tblParticipants[EnrollQtr],1,tblParticipants[HrlyWgPlmt],"&gt;0",tblParticipants[EmployQtr],1,tblParticipants[ExitQtr],1,tblParticipants[AtRisk],1)</f>
        <v>0</v>
      </c>
      <c r="E54" s="194">
        <f>IFERROR(AVERAGEIFS(tblParticipants[HrlyWgPlmt],tblParticipants[ParticipantID],"&lt;&gt;",tblParticipants[ParticipantName],"&lt;&gt;",tblParticipants[EnrollQtr],1,tblParticipants[HrlyWgPlmt],"&gt;0",tblParticipants[EmployQtr],1,tblParticipants[ExitQtr],1,tblParticipants[AtRisk],1),0)</f>
        <v>0</v>
      </c>
      <c r="G54" s="174">
        <f>COUNTIFS(tblParticipants[ParticipantID],"&lt;&gt;",tblParticipants[ParticipantName],"&lt;&gt;",tblParticipants[EnrollQtr],2,tblParticipants[AtRisk],1)</f>
        <v>0</v>
      </c>
      <c r="H54" s="175">
        <f>COUNTIFS(tblParticipants[ParticipantID],"&lt;&gt;",tblParticipants[ParticipantName],"&lt;&gt;",tblParticipants[EnrollQtr],"&gt;=1",tblParticipants[EnrollQtr],"&lt;=2",tblParticipants[ExitQtr],2,tblParticipants[AtRisk],1)</f>
        <v>0</v>
      </c>
      <c r="I54" s="175">
        <f>COUNTIFS(tblParticipants[ParticipantID],"&lt;&gt;",tblParticipants[ParticipantName],"&lt;&gt;",tblParticipants[EnrollQtr],"&gt;=1",tblParticipants[EnrollQtr],"&lt;=2",tblParticipants[HrlyWgPlmt],"&gt;0",tblParticipants[EmployQtr],2,tblParticipants[ExitQtr],2,tblParticipants[AtRisk],1)</f>
        <v>0</v>
      </c>
      <c r="J54" s="194">
        <f>IFERROR(AVERAGEIFS(tblParticipants[HrlyWgPlmt],tblParticipants[ParticipantID],"&lt;&gt;",tblParticipants[ParticipantName],"&lt;&gt;",tblParticipants[EnrollQtr],"&gt;=1",tblParticipants[EnrollQtr],"&lt;=2",tblParticipants[HrlyWgPlmt],"&gt;0",tblParticipants[EmployQtr],2,tblParticipants[ExitQtr],2,tblParticipants[AtRisk],1),0)</f>
        <v>0</v>
      </c>
      <c r="L54" s="174">
        <f>COUNTIFS(tblParticipants[ParticipantID],"&lt;&gt;",tblParticipants[ParticipantName],"&lt;&gt;",tblParticipants[EnrollQtr],3,tblParticipants[AtRisk],1)</f>
        <v>0</v>
      </c>
      <c r="M54" s="175">
        <f>COUNTIFS(tblParticipants[ParticipantID],"&lt;&gt;",tblParticipants[ParticipantName],"&lt;&gt;",tblParticipants[EnrollQtr],"&gt;=1",tblParticipants[EnrollQtr],"&lt;=3",tblParticipants[ExitQtr],3,tblParticipants[AtRisk],1)</f>
        <v>0</v>
      </c>
      <c r="N54" s="175">
        <f>COUNTIFS(tblParticipants[ParticipantID],"&lt;&gt;",tblParticipants[ParticipantName],"&lt;&gt;",tblParticipants[EnrollQtr],"&gt;=1",tblParticipants[EnrollQtr],"&lt;=3",tblParticipants[HrlyWgPlmt],"&gt;0",tblParticipants[EmployQtr],3,tblParticipants[ExitQtr],3,tblParticipants[AtRisk],1)</f>
        <v>0</v>
      </c>
      <c r="O54" s="194">
        <f>IFERROR(AVERAGEIFS(tblParticipants[HrlyWgPlmt],tblParticipants[ParticipantID],"&lt;&gt;",tblParticipants[ParticipantName],"&lt;&gt;",tblParticipants[EnrollQtr],"&gt;=1",tblParticipants[EnrollQtr],"&lt;=3",tblParticipants[HrlyWgPlmt],"&gt;0",tblParticipants[EmployQtr],3,tblParticipants[ExitQtr],3,tblParticipants[AtRisk],1),0)</f>
        <v>0</v>
      </c>
      <c r="Q54" s="174">
        <f>COUNTIFS(tblParticipants[ParticipantID],"&lt;&gt;",tblParticipants[ParticipantName],"&lt;&gt;",tblParticipants[EnrollQtr],4,tblParticipants[AtRisk],1)</f>
        <v>0</v>
      </c>
      <c r="R54" s="175">
        <f>COUNTIFS(tblParticipants[ParticipantID],"&lt;&gt;",tblParticipants[ParticipantName],"&lt;&gt;",tblParticipants[EnrollQtr],"&gt;=1",tblParticipants[EnrollQtr],"&lt;=4",tblParticipants[ExitQtr],4,tblParticipants[AtRisk],1)</f>
        <v>0</v>
      </c>
      <c r="S54" s="175">
        <f>COUNTIFS(tblParticipants[ParticipantID],"&lt;&gt;",tblParticipants[ParticipantName],"&lt;&gt;",tblParticipants[EnrollQtr],"&gt;=1",tblParticipants[EnrollQtr],"&lt;=4",tblParticipants[HrlyWgPlmt],"&gt;0",tblParticipants[EmployQtr],4,tblParticipants[ExitQtr],4,tblParticipants[AtRisk],1)</f>
        <v>0</v>
      </c>
      <c r="T54" s="194">
        <f>IFERROR(AVERAGEIFS(tblParticipants[HrlyWgPlmt],tblParticipants[ParticipantID],"&lt;&gt;",tblParticipants[ParticipantName],"&lt;&gt;",tblParticipants[EnrollQtr],"&gt;=1",tblParticipants[EnrollQtr],"&lt;=4",tblParticipants[HrlyWgPlmt],"&gt;0",tblParticipants[EmployQtr],4,tblParticipants[ExitQtr],4,tblParticipants[AtRisk],1),0)</f>
        <v>0</v>
      </c>
      <c r="V54" s="152">
        <f t="shared" si="15"/>
        <v>0</v>
      </c>
      <c r="W54" s="153">
        <f t="shared" si="16"/>
        <v>0</v>
      </c>
      <c r="X54" s="153">
        <f t="shared" si="17"/>
        <v>0</v>
      </c>
      <c r="Y54" s="200">
        <f t="shared" si="18"/>
        <v>0</v>
      </c>
      <c r="Z54" s="198">
        <f t="shared" si="19"/>
        <v>0</v>
      </c>
    </row>
    <row r="55" spans="1:26" x14ac:dyDescent="0.3">
      <c r="A55" s="211" t="s">
        <v>6</v>
      </c>
      <c r="B55" s="174">
        <f>COUNTIFS(tblParticipants[ParticipantID],"&lt;&gt;",tblParticipants[ParticipantName],"&lt;&gt;",tblParticipants[EnrollQtr],1,tblParticipants[Disabled],1)</f>
        <v>0</v>
      </c>
      <c r="C55" s="175">
        <f>COUNTIFS(tblParticipants[ParticipantID],"&lt;&gt;",tblParticipants[ParticipantName],"&lt;&gt;",tblParticipants[EnrollQtr],1,tblParticipants[ExitQtr],1,tblParticipants[Disabled],1)</f>
        <v>0</v>
      </c>
      <c r="D55" s="175">
        <f>COUNTIFS(tblParticipants[ParticipantID],"&lt;&gt;",tblParticipants[ParticipantName],"&lt;&gt;",tblParticipants[EnrollQtr],1,tblParticipants[HrlyWgPlmt],"&gt;0",tblParticipants[EmployQtr],1,tblParticipants[ExitQtr],1,tblParticipants[Disabled],1)</f>
        <v>0</v>
      </c>
      <c r="E55" s="194">
        <f>IFERROR(AVERAGEIFS(tblParticipants[HrlyWgPlmt],tblParticipants[ParticipantID],"&lt;&gt;",tblParticipants[ParticipantName],"&lt;&gt;",tblParticipants[EnrollQtr],1,tblParticipants[HrlyWgPlmt],"&gt;0",tblParticipants[EmployQtr],1,tblParticipants[ExitQtr],1,tblParticipants[Disabled],1),0)</f>
        <v>0</v>
      </c>
      <c r="G55" s="174">
        <f>COUNTIFS(tblParticipants[ParticipantID],"&lt;&gt;",tblParticipants[ParticipantName],"&lt;&gt;",tblParticipants[EnrollQtr],2,tblParticipants[Disabled],1)</f>
        <v>0</v>
      </c>
      <c r="H55" s="175">
        <f>COUNTIFS(tblParticipants[ParticipantID],"&lt;&gt;",tblParticipants[ParticipantName],"&lt;&gt;",tblParticipants[EnrollQtr],"&gt;=1",tblParticipants[EnrollQtr],"&lt;=2",tblParticipants[ExitQtr],2,tblParticipants[Disabled],1)</f>
        <v>0</v>
      </c>
      <c r="I55" s="175">
        <f>COUNTIFS(tblParticipants[ParticipantID],"&lt;&gt;",tblParticipants[ParticipantName],"&lt;&gt;",tblParticipants[EnrollQtr],"&gt;=1",tblParticipants[EnrollQtr],"&lt;=2",tblParticipants[HrlyWgPlmt],"&gt;0",tblParticipants[EmployQtr],2,tblParticipants[ExitQtr],2,tblParticipants[Disabled],1)</f>
        <v>0</v>
      </c>
      <c r="J55" s="194">
        <f>IFERROR(AVERAGEIFS(tblParticipants[HrlyWgPlmt],tblParticipants[ParticipantID],"&lt;&gt;",tblParticipants[ParticipantName],"&lt;&gt;",tblParticipants[EnrollQtr],"&gt;=1",tblParticipants[EnrollQtr],"&lt;=2",tblParticipants[HrlyWgPlmt],"&gt;0",tblParticipants[EmployQtr],2,tblParticipants[ExitQtr],2,tblParticipants[Disabled],1),0)</f>
        <v>0</v>
      </c>
      <c r="L55" s="174">
        <f>COUNTIFS(tblParticipants[ParticipantID],"&lt;&gt;",tblParticipants[ParticipantName],"&lt;&gt;",tblParticipants[EnrollQtr],3,tblParticipants[Disabled],1)</f>
        <v>0</v>
      </c>
      <c r="M55" s="175">
        <f>COUNTIFS(tblParticipants[ParticipantID],"&lt;&gt;",tblParticipants[ParticipantName],"&lt;&gt;",tblParticipants[EnrollQtr],"&gt;=1",tblParticipants[EnrollQtr],"&lt;=3",tblParticipants[ExitQtr],3,tblParticipants[Disabled],1)</f>
        <v>0</v>
      </c>
      <c r="N55" s="175">
        <f>COUNTIFS(tblParticipants[ParticipantID],"&lt;&gt;",tblParticipants[ParticipantName],"&lt;&gt;",tblParticipants[EnrollQtr],"&gt;=1",tblParticipants[EnrollQtr],"&lt;=3",tblParticipants[HrlyWgPlmt],"&gt;0",tblParticipants[EmployQtr],3,tblParticipants[ExitQtr],3,tblParticipants[Disabled],1)</f>
        <v>0</v>
      </c>
      <c r="O55" s="194">
        <f>IFERROR(AVERAGEIFS(tblParticipants[HrlyWgPlmt],tblParticipants[ParticipantID],"&lt;&gt;",tblParticipants[ParticipantName],"&lt;&gt;",tblParticipants[EnrollQtr],"&gt;=1",tblParticipants[EnrollQtr],"&lt;=3",tblParticipants[HrlyWgPlmt],"&gt;0",tblParticipants[EmployQtr],3,tblParticipants[ExitQtr],3,tblParticipants[Disabled],1),0)</f>
        <v>0</v>
      </c>
      <c r="Q55" s="174">
        <f>COUNTIFS(tblParticipants[ParticipantID],"&lt;&gt;",tblParticipants[ParticipantName],"&lt;&gt;",tblParticipants[EnrollQtr],4,tblParticipants[Disabled],1)</f>
        <v>0</v>
      </c>
      <c r="R55" s="175">
        <f>COUNTIFS(tblParticipants[ParticipantID],"&lt;&gt;",tblParticipants[ParticipantName],"&lt;&gt;",tblParticipants[EnrollQtr],"&gt;=1",tblParticipants[EnrollQtr],"&lt;=4",tblParticipants[ExitQtr],4,tblParticipants[Disabled],1)</f>
        <v>0</v>
      </c>
      <c r="S55" s="175">
        <f>COUNTIFS(tblParticipants[ParticipantID],"&lt;&gt;",tblParticipants[ParticipantName],"&lt;&gt;",tblParticipants[EnrollQtr],"&gt;=1",tblParticipants[EnrollQtr],"&lt;=4",tblParticipants[HrlyWgPlmt],"&gt;0",tblParticipants[EmployQtr],4,tblParticipants[ExitQtr],4,tblParticipants[Disabled],1)</f>
        <v>0</v>
      </c>
      <c r="T55" s="194">
        <f>IFERROR(AVERAGEIFS(tblParticipants[HrlyWgPlmt],tblParticipants[ParticipantID],"&lt;&gt;",tblParticipants[ParticipantName],"&lt;&gt;",tblParticipants[EnrollQtr],"&gt;=1",tblParticipants[EnrollQtr],"&lt;=4",tblParticipants[HrlyWgPlmt],"&gt;0",tblParticipants[EmployQtr],4,tblParticipants[ExitQtr],4,tblParticipants[Disabled],1),0)</f>
        <v>0</v>
      </c>
      <c r="V55" s="152">
        <f t="shared" si="15"/>
        <v>0</v>
      </c>
      <c r="W55" s="153">
        <f t="shared" si="16"/>
        <v>0</v>
      </c>
      <c r="X55" s="153">
        <f t="shared" si="17"/>
        <v>0</v>
      </c>
      <c r="Y55" s="200">
        <f t="shared" si="18"/>
        <v>0</v>
      </c>
      <c r="Z55" s="198">
        <f t="shared" si="19"/>
        <v>0</v>
      </c>
    </row>
    <row r="56" spans="1:26" x14ac:dyDescent="0.3">
      <c r="A56" s="211" t="s">
        <v>2691</v>
      </c>
      <c r="B56" s="174">
        <f>COUNTIFS(tblParticipants[ParticipantID],"&lt;&gt;",tblParticipants[ParticipantName],"&lt;&gt;",tblParticipants[EnrollQtr],1,tblParticipants[SpcDisabled],1)</f>
        <v>0</v>
      </c>
      <c r="C56" s="175">
        <f>COUNTIFS(tblParticipants[ParticipantID],"&lt;&gt;",tblParticipants[ParticipantName],"&lt;&gt;",tblParticipants[EnrollQtr],1,tblParticipants[ExitQtr],1,tblParticipants[SpcDisabled],1)</f>
        <v>0</v>
      </c>
      <c r="D56" s="175">
        <f>COUNTIFS(tblParticipants[ParticipantID],"&lt;&gt;",tblParticipants[ParticipantName],"&lt;&gt;",tblParticipants[EnrollQtr],1,tblParticipants[HrlyWgPlmt],"&gt;0",tblParticipants[EmployQtr],1,tblParticipants[ExitQtr],1,tblParticipants[SpcDisabled],1)</f>
        <v>0</v>
      </c>
      <c r="E56" s="194">
        <f>IFERROR(AVERAGEIFS(tblParticipants[HrlyWgPlmt],tblParticipants[ParticipantID],"&lt;&gt;",tblParticipants[ParticipantName],"&lt;&gt;",tblParticipants[EnrollQtr],1,tblParticipants[HrlyWgPlmt],"&gt;0",tblParticipants[EmployQtr],1,tblParticipants[ExitQtr],1,tblParticipants[SpcDisabled],1),0)</f>
        <v>0</v>
      </c>
      <c r="G56" s="174">
        <f>COUNTIFS(tblParticipants[ParticipantID],"&lt;&gt;",tblParticipants[ParticipantName],"&lt;&gt;",tblParticipants[EnrollQtr],2,tblParticipants[SpcDisabled],1)</f>
        <v>0</v>
      </c>
      <c r="H56" s="175">
        <f>COUNTIFS(tblParticipants[ParticipantID],"&lt;&gt;",tblParticipants[ParticipantName],"&lt;&gt;",tblParticipants[EnrollQtr],"&gt;=1",tblParticipants[EnrollQtr],"&lt;=2",tblParticipants[ExitQtr],2,tblParticipants[SpcDisabled],1)</f>
        <v>0</v>
      </c>
      <c r="I56" s="175">
        <f>COUNTIFS(tblParticipants[ParticipantID],"&lt;&gt;",tblParticipants[ParticipantName],"&lt;&gt;",tblParticipants[EnrollQtr],"&gt;=1",tblParticipants[EnrollQtr],"&lt;=2",tblParticipants[HrlyWgPlmt],"&gt;0",tblParticipants[EmployQtr],2,tblParticipants[ExitQtr],2,tblParticipants[SpcDisabled],1)</f>
        <v>0</v>
      </c>
      <c r="J56" s="194">
        <f>IFERROR(AVERAGEIFS(tblParticipants[HrlyWgPlmt],tblParticipants[ParticipantID],"&lt;&gt;",tblParticipants[ParticipantName],"&lt;&gt;",tblParticipants[EnrollQtr],"&gt;=1",tblParticipants[EnrollQtr],"&lt;=2",tblParticipants[HrlyWgPlmt],"&gt;0",tblParticipants[EmployQtr],2,tblParticipants[ExitQtr],2,tblParticipants[SpcDisabled],1),0)</f>
        <v>0</v>
      </c>
      <c r="L56" s="174">
        <f>COUNTIFS(tblParticipants[ParticipantID],"&lt;&gt;",tblParticipants[ParticipantName],"&lt;&gt;",tblParticipants[EnrollQtr],3,tblParticipants[SpcDisabled],1)</f>
        <v>0</v>
      </c>
      <c r="M56" s="175">
        <f>COUNTIFS(tblParticipants[ParticipantID],"&lt;&gt;",tblParticipants[ParticipantName],"&lt;&gt;",tblParticipants[EnrollQtr],"&gt;=1",tblParticipants[EnrollQtr],"&lt;=3",tblParticipants[ExitQtr],3,tblParticipants[SpcDisabled],1)</f>
        <v>0</v>
      </c>
      <c r="N56" s="175">
        <f>COUNTIFS(tblParticipants[ParticipantID],"&lt;&gt;",tblParticipants[ParticipantName],"&lt;&gt;",tblParticipants[EnrollQtr],"&gt;=1",tblParticipants[EnrollQtr],"&lt;=3",tblParticipants[HrlyWgPlmt],"&gt;0",tblParticipants[EmployQtr],3,tblParticipants[ExitQtr],3,tblParticipants[SpcDisabled],1)</f>
        <v>0</v>
      </c>
      <c r="O56" s="194">
        <f>IFERROR(AVERAGEIFS(tblParticipants[HrlyWgPlmt],tblParticipants[ParticipantID],"&lt;&gt;",tblParticipants[ParticipantName],"&lt;&gt;",tblParticipants[EnrollQtr],"&gt;=1",tblParticipants[EnrollQtr],"&lt;=3",tblParticipants[HrlyWgPlmt],"&gt;0",tblParticipants[EmployQtr],3,tblParticipants[ExitQtr],3,tblParticipants[SpcDisabled],1),0)</f>
        <v>0</v>
      </c>
      <c r="Q56" s="174">
        <f>COUNTIFS(tblParticipants[ParticipantID],"&lt;&gt;",tblParticipants[ParticipantName],"&lt;&gt;",tblParticipants[EnrollQtr],4,tblParticipants[SpcDisabled],1)</f>
        <v>0</v>
      </c>
      <c r="R56" s="175">
        <f>COUNTIFS(tblParticipants[ParticipantID],"&lt;&gt;",tblParticipants[ParticipantName],"&lt;&gt;",tblParticipants[EnrollQtr],"&gt;=1",tblParticipants[EnrollQtr],"&lt;=4",tblParticipants[ExitQtr],4,tblParticipants[SpcDisabled],1)</f>
        <v>0</v>
      </c>
      <c r="S56" s="175">
        <f>COUNTIFS(tblParticipants[ParticipantID],"&lt;&gt;",tblParticipants[ParticipantName],"&lt;&gt;",tblParticipants[EnrollQtr],"&gt;=1",tblParticipants[EnrollQtr],"&lt;=4",tblParticipants[HrlyWgPlmt],"&gt;0",tblParticipants[EmployQtr],4,tblParticipants[ExitQtr],4,tblParticipants[SpcDisabled],1)</f>
        <v>0</v>
      </c>
      <c r="T56" s="194">
        <f>IFERROR(AVERAGEIFS(tblParticipants[HrlyWgPlmt],tblParticipants[ParticipantID],"&lt;&gt;",tblParticipants[ParticipantName],"&lt;&gt;",tblParticipants[EnrollQtr],"&gt;=1",tblParticipants[EnrollQtr],"&lt;=4",tblParticipants[HrlyWgPlmt],"&gt;0",tblParticipants[EmployQtr],4,tblParticipants[ExitQtr],4,tblParticipants[SpcDisabled],1),0)</f>
        <v>0</v>
      </c>
      <c r="V56" s="152">
        <f t="shared" si="15"/>
        <v>0</v>
      </c>
      <c r="W56" s="153">
        <f t="shared" si="16"/>
        <v>0</v>
      </c>
      <c r="X56" s="153">
        <f t="shared" si="17"/>
        <v>0</v>
      </c>
      <c r="Y56" s="200">
        <f t="shared" si="18"/>
        <v>0</v>
      </c>
      <c r="Z56" s="198">
        <f t="shared" si="19"/>
        <v>0</v>
      </c>
    </row>
    <row r="57" spans="1:26" x14ac:dyDescent="0.3">
      <c r="A57" s="211" t="s">
        <v>20</v>
      </c>
      <c r="B57" s="174">
        <f>COUNTIFS(tblParticipants[ParticipantID],"&lt;&gt;",tblParticipants[ParticipantName],"&lt;&gt;",tblParticipants[EnrollQtr],1,tblParticipants[LastMilSvcBranch],$A57)</f>
        <v>0</v>
      </c>
      <c r="C57" s="175">
        <f>COUNTIFS(tblParticipants[ParticipantID],"&lt;&gt;",tblParticipants[ParticipantName],"&lt;&gt;",tblParticipants[EnrollQtr],1,tblParticipants[ExitQtr],1,tblParticipants[LastMilSvcBranch],$A57)</f>
        <v>0</v>
      </c>
      <c r="D57" s="175">
        <f>COUNTIFS(tblParticipants[ParticipantID],"&lt;&gt;",tblParticipants[ParticipantName],"&lt;&gt;",tblParticipants[EnrollQtr],1,tblParticipants[HrlyWgPlmt],"&gt;0",tblParticipants[EmployQtr],1,tblParticipants[ExitQtr],1,tblParticipants[LastMilSvcBranch],A57)</f>
        <v>0</v>
      </c>
      <c r="E57" s="194">
        <f>IFERROR(AVERAGEIFS(tblParticipants[HrlyWgPlmt],tblParticipants[ParticipantID],"&lt;&gt;",tblParticipants[ParticipantName],"&lt;&gt;",tblParticipants[EnrollQtr],1,tblParticipants[HrlyWgPlmt],"&gt;0",tblParticipants[EmployQtr],1,tblParticipants[ExitQtr],1,tblParticipants[LastMilSvcBranch],A57),0)</f>
        <v>0</v>
      </c>
      <c r="G57" s="174">
        <f>COUNTIFS(tblParticipants[ParticipantID],"&lt;&gt;",tblParticipants[ParticipantName],"&lt;&gt;",tblParticipants[EnrollQtr],2,tblParticipants[LastMilSvcBranch],$A57)</f>
        <v>0</v>
      </c>
      <c r="H57" s="175">
        <f>COUNTIFS(tblParticipants[ParticipantID],"&lt;&gt;",tblParticipants[ParticipantName],"&lt;&gt;",tblParticipants[EnrollQtr],"&gt;=1",tblParticipants[EnrollQtr],"&lt;=2",tblParticipants[ExitQtr],2,tblParticipants[LastMilSvcBranch],$A57)</f>
        <v>0</v>
      </c>
      <c r="I57" s="175">
        <f>COUNTIFS(tblParticipants[ParticipantID],"&lt;&gt;",tblParticipants[ParticipantName],"&lt;&gt;",tblParticipants[EnrollQtr],"&gt;=1",tblParticipants[EnrollQtr],"&lt;=2",tblParticipants[HrlyWgPlmt],"&gt;0",tblParticipants[EmployQtr],2,tblParticipants[ExitQtr],2,tblParticipants[LastMilSvcBranch],F57)</f>
        <v>0</v>
      </c>
      <c r="J57" s="194">
        <f>IFERROR(AVERAGEIFS(tblParticipants[HrlyWgPlmt],tblParticipants[ParticipantID],"&lt;&gt;",tblParticipants[ParticipantName],"&lt;&gt;",tblParticipants[EnrollQtr],"&gt;=1",tblParticipants[EnrollQtr],"&lt;=2",tblParticipants[HrlyWgPlmt],"&gt;0",tblParticipants[EmployQtr],2,tblParticipants[ExitQtr],2,tblParticipants[LastMilSvcBranch],F57),0)</f>
        <v>0</v>
      </c>
      <c r="L57" s="174">
        <f>COUNTIFS(tblParticipants[ParticipantID],"&lt;&gt;",tblParticipants[ParticipantName],"&lt;&gt;",tblParticipants[EnrollQtr],3,tblParticipants[LastMilSvcBranch],$A57)</f>
        <v>0</v>
      </c>
      <c r="M57" s="175">
        <f>COUNTIFS(tblParticipants[ParticipantID],"&lt;&gt;",tblParticipants[ParticipantName],"&lt;&gt;",tblParticipants[EnrollQtr],"&gt;=1",tblParticipants[EnrollQtr],"&lt;=3",tblParticipants[ExitQtr],3,tblParticipants[LastMilSvcBranch],$A57)</f>
        <v>0</v>
      </c>
      <c r="N57" s="175">
        <f>COUNTIFS(tblParticipants[ParticipantID],"&lt;&gt;",tblParticipants[ParticipantName],"&lt;&gt;",tblParticipants[EnrollQtr],"&gt;=1",tblParticipants[EnrollQtr],"&lt;=3",tblParticipants[HrlyWgPlmt],"&gt;0",tblParticipants[EmployQtr],3,tblParticipants[ExitQtr],3,tblParticipants[LastMilSvcBranch],K57)</f>
        <v>0</v>
      </c>
      <c r="O57" s="194">
        <f>IFERROR(AVERAGEIFS(tblParticipants[HrlyWgPlmt],tblParticipants[ParticipantID],"&lt;&gt;",tblParticipants[ParticipantName],"&lt;&gt;",tblParticipants[EnrollQtr],"&gt;=1",tblParticipants[EnrollQtr],"&lt;=3",tblParticipants[HrlyWgPlmt],"&gt;0",tblParticipants[EmployQtr],3,tblParticipants[ExitQtr],3,tblParticipants[LastMilSvcBranch],K57),0)</f>
        <v>0</v>
      </c>
      <c r="Q57" s="174">
        <f>COUNTIFS(tblParticipants[ParticipantID],"&lt;&gt;",tblParticipants[ParticipantName],"&lt;&gt;",tblParticipants[EnrollQtr],4,tblParticipants[LastMilSvcBranch],$A57)</f>
        <v>0</v>
      </c>
      <c r="R57" s="175">
        <f>COUNTIFS(tblParticipants[ParticipantID],"&lt;&gt;",tblParticipants[ParticipantName],"&lt;&gt;",tblParticipants[EnrollQtr],"&gt;=1",tblParticipants[EnrollQtr],"&lt;=4",tblParticipants[ExitQtr],4,tblParticipants[LastMilSvcBranch],$A57)</f>
        <v>0</v>
      </c>
      <c r="S57" s="175">
        <f>COUNTIFS(tblParticipants[ParticipantID],"&lt;&gt;",tblParticipants[ParticipantName],"&lt;&gt;",tblParticipants[EnrollQtr],"&gt;=1",tblParticipants[EnrollQtr],"&lt;=4",tblParticipants[HrlyWgPlmt],"&gt;0",tblParticipants[EmployQtr],4,tblParticipants[ExitQtr],4,tblParticipants[LastMilSvcBranch],P57)</f>
        <v>0</v>
      </c>
      <c r="T57" s="194">
        <f>IFERROR(AVERAGEIFS(tblParticipants[HrlyWgPlmt],tblParticipants[ParticipantID],"&lt;&gt;",tblParticipants[ParticipantName],"&lt;&gt;",tblParticipants[EnrollQtr],"&gt;=1",tblParticipants[EnrollQtr],"&lt;=4",tblParticipants[HrlyWgPlmt],"&gt;0",tblParticipants[EmployQtr],4,tblParticipants[ExitQtr],4,tblParticipants[LastMilSvcBranch],P57),0)</f>
        <v>0</v>
      </c>
      <c r="V57" s="152">
        <f t="shared" si="15"/>
        <v>0</v>
      </c>
      <c r="W57" s="153">
        <f t="shared" si="16"/>
        <v>0</v>
      </c>
      <c r="X57" s="153">
        <f t="shared" si="17"/>
        <v>0</v>
      </c>
      <c r="Y57" s="200">
        <f t="shared" si="18"/>
        <v>0</v>
      </c>
      <c r="Z57" s="198">
        <f t="shared" si="19"/>
        <v>0</v>
      </c>
    </row>
    <row r="58" spans="1:26" x14ac:dyDescent="0.3">
      <c r="A58" s="211" t="s">
        <v>21</v>
      </c>
      <c r="B58" s="174">
        <f>COUNTIFS(tblParticipants[ParticipantID],"&lt;&gt;",tblParticipants[ParticipantName],"&lt;&gt;",tblParticipants[EnrollQtr],1,tblParticipants[LastMilSvcBranch],$A58)</f>
        <v>0</v>
      </c>
      <c r="C58" s="175">
        <f>COUNTIFS(tblParticipants[ParticipantID],"&lt;&gt;",tblParticipants[ParticipantName],"&lt;&gt;",tblParticipants[EnrollQtr],1,tblParticipants[ExitQtr],1,tblParticipants[LastMilSvcBranch],$A58)</f>
        <v>0</v>
      </c>
      <c r="D58" s="175">
        <f>COUNTIFS(tblParticipants[ParticipantID],"&lt;&gt;",tblParticipants[ParticipantName],"&lt;&gt;",tblParticipants[EnrollQtr],1,tblParticipants[HrlyWgPlmt],"&gt;0",tblParticipants[EmployQtr],1,tblParticipants[ExitQtr],1,tblParticipants[LastMilSvcBranch],A58)</f>
        <v>0</v>
      </c>
      <c r="E58" s="194">
        <f>IFERROR(AVERAGEIFS(tblParticipants[HrlyWgPlmt],tblParticipants[ParticipantID],"&lt;&gt;",tblParticipants[ParticipantName],"&lt;&gt;",tblParticipants[EnrollQtr],1,tblParticipants[HrlyWgPlmt],"&gt;0",tblParticipants[EmployQtr],1,tblParticipants[ExitQtr],1,tblParticipants[LastMilSvcBranch],A58),0)</f>
        <v>0</v>
      </c>
      <c r="G58" s="174">
        <f>COUNTIFS(tblParticipants[ParticipantID],"&lt;&gt;",tblParticipants[ParticipantName],"&lt;&gt;",tblParticipants[EnrollQtr],2,tblParticipants[LastMilSvcBranch],$A58)</f>
        <v>0</v>
      </c>
      <c r="H58" s="175">
        <f>COUNTIFS(tblParticipants[ParticipantID],"&lt;&gt;",tblParticipants[ParticipantName],"&lt;&gt;",tblParticipants[EnrollQtr],"&gt;=1",tblParticipants[EnrollQtr],"&lt;=2",tblParticipants[ExitQtr],2,tblParticipants[LastMilSvcBranch],$A58)</f>
        <v>0</v>
      </c>
      <c r="I58" s="175">
        <f>COUNTIFS(tblParticipants[ParticipantID],"&lt;&gt;",tblParticipants[ParticipantName],"&lt;&gt;",tblParticipants[EnrollQtr],"&gt;=1",tblParticipants[EnrollQtr],"&lt;=2",tblParticipants[HrlyWgPlmt],"&gt;0",tblParticipants[EmployQtr],2,tblParticipants[ExitQtr],2,tblParticipants[LastMilSvcBranch],F58)</f>
        <v>0</v>
      </c>
      <c r="J58" s="194">
        <f>IFERROR(AVERAGEIFS(tblParticipants[HrlyWgPlmt],tblParticipants[ParticipantID],"&lt;&gt;",tblParticipants[ParticipantName],"&lt;&gt;",tblParticipants[EnrollQtr],"&gt;=1",tblParticipants[EnrollQtr],"&lt;=2",tblParticipants[HrlyWgPlmt],"&gt;0",tblParticipants[EmployQtr],2,tblParticipants[ExitQtr],2,tblParticipants[LastMilSvcBranch],F58),0)</f>
        <v>0</v>
      </c>
      <c r="L58" s="174">
        <f>COUNTIFS(tblParticipants[ParticipantID],"&lt;&gt;",tblParticipants[ParticipantName],"&lt;&gt;",tblParticipants[EnrollQtr],3,tblParticipants[LastMilSvcBranch],$A58)</f>
        <v>0</v>
      </c>
      <c r="M58" s="175">
        <f>COUNTIFS(tblParticipants[ParticipantID],"&lt;&gt;",tblParticipants[ParticipantName],"&lt;&gt;",tblParticipants[EnrollQtr],"&gt;=1",tblParticipants[EnrollQtr],"&lt;=3",tblParticipants[ExitQtr],3,tblParticipants[LastMilSvcBranch],$A58)</f>
        <v>0</v>
      </c>
      <c r="N58" s="175">
        <f>COUNTIFS(tblParticipants[ParticipantID],"&lt;&gt;",tblParticipants[ParticipantName],"&lt;&gt;",tblParticipants[EnrollQtr],"&gt;=1",tblParticipants[EnrollQtr],"&lt;=3",tblParticipants[HrlyWgPlmt],"&gt;0",tblParticipants[EmployQtr],3,tblParticipants[ExitQtr],3,tblParticipants[LastMilSvcBranch],K58)</f>
        <v>0</v>
      </c>
      <c r="O58" s="194">
        <f>IFERROR(AVERAGEIFS(tblParticipants[HrlyWgPlmt],tblParticipants[ParticipantID],"&lt;&gt;",tblParticipants[ParticipantName],"&lt;&gt;",tblParticipants[EnrollQtr],"&gt;=1",tblParticipants[EnrollQtr],"&lt;=3",tblParticipants[HrlyWgPlmt],"&gt;0",tblParticipants[EmployQtr],3,tblParticipants[ExitQtr],3,tblParticipants[LastMilSvcBranch],K58),0)</f>
        <v>0</v>
      </c>
      <c r="Q58" s="174">
        <f>COUNTIFS(tblParticipants[ParticipantID],"&lt;&gt;",tblParticipants[ParticipantName],"&lt;&gt;",tblParticipants[EnrollQtr],4,tblParticipants[LastMilSvcBranch],$A58)</f>
        <v>0</v>
      </c>
      <c r="R58" s="175">
        <f>COUNTIFS(tblParticipants[ParticipantID],"&lt;&gt;",tblParticipants[ParticipantName],"&lt;&gt;",tblParticipants[EnrollQtr],"&gt;=1",tblParticipants[EnrollQtr],"&lt;=4",tblParticipants[ExitQtr],4,tblParticipants[LastMilSvcBranch],$A58)</f>
        <v>0</v>
      </c>
      <c r="S58" s="175">
        <f>COUNTIFS(tblParticipants[ParticipantID],"&lt;&gt;",tblParticipants[ParticipantName],"&lt;&gt;",tblParticipants[EnrollQtr],"&gt;=1",tblParticipants[EnrollQtr],"&lt;=4",tblParticipants[HrlyWgPlmt],"&gt;0",tblParticipants[EmployQtr],4,tblParticipants[ExitQtr],4,tblParticipants[LastMilSvcBranch],P58)</f>
        <v>0</v>
      </c>
      <c r="T58" s="194">
        <f>IFERROR(AVERAGEIFS(tblParticipants[HrlyWgPlmt],tblParticipants[ParticipantID],"&lt;&gt;",tblParticipants[ParticipantName],"&lt;&gt;",tblParticipants[EnrollQtr],"&gt;=1",tblParticipants[EnrollQtr],"&lt;=4",tblParticipants[HrlyWgPlmt],"&gt;0",tblParticipants[EmployQtr],4,tblParticipants[ExitQtr],4,tblParticipants[LastMilSvcBranch],P58),0)</f>
        <v>0</v>
      </c>
      <c r="V58" s="152">
        <f t="shared" si="15"/>
        <v>0</v>
      </c>
      <c r="W58" s="153">
        <f t="shared" si="16"/>
        <v>0</v>
      </c>
      <c r="X58" s="153">
        <f t="shared" si="17"/>
        <v>0</v>
      </c>
      <c r="Y58" s="200">
        <f t="shared" si="18"/>
        <v>0</v>
      </c>
      <c r="Z58" s="198">
        <f t="shared" si="19"/>
        <v>0</v>
      </c>
    </row>
    <row r="59" spans="1:26" x14ac:dyDescent="0.3">
      <c r="A59" s="203" t="s">
        <v>22</v>
      </c>
      <c r="B59" s="174">
        <f>COUNTIFS(tblParticipants[ParticipantID],"&lt;&gt;",tblParticipants[ParticipantName],"&lt;&gt;",tblParticipants[EnrollQtr],1,tblParticipants[LastMilSvcBranch],$A59)</f>
        <v>0</v>
      </c>
      <c r="C59" s="175">
        <f>COUNTIFS(tblParticipants[ParticipantID],"&lt;&gt;",tblParticipants[ParticipantName],"&lt;&gt;",tblParticipants[EnrollQtr],1,tblParticipants[ExitQtr],1,tblParticipants[LastMilSvcBranch],$A59)</f>
        <v>0</v>
      </c>
      <c r="D59" s="175">
        <f>COUNTIFS(tblParticipants[ParticipantID],"&lt;&gt;",tblParticipants[ParticipantName],"&lt;&gt;",tblParticipants[EnrollQtr],1,tblParticipants[HrlyWgPlmt],"&gt;0",tblParticipants[EmployQtr],1,tblParticipants[ExitQtr],1,tblParticipants[LastMilSvcBranch],A59)</f>
        <v>0</v>
      </c>
      <c r="E59" s="194">
        <f>IFERROR(AVERAGEIFS(tblParticipants[HrlyWgPlmt],tblParticipants[ParticipantID],"&lt;&gt;",tblParticipants[ParticipantName],"&lt;&gt;",tblParticipants[EnrollQtr],1,tblParticipants[HrlyWgPlmt],"&gt;0",tblParticipants[EmployQtr],1,tblParticipants[ExitQtr],1,tblParticipants[LastMilSvcBranch],A59),0)</f>
        <v>0</v>
      </c>
      <c r="G59" s="174">
        <f>COUNTIFS(tblParticipants[ParticipantID],"&lt;&gt;",tblParticipants[ParticipantName],"&lt;&gt;",tblParticipants[EnrollQtr],2,tblParticipants[LastMilSvcBranch],$A59)</f>
        <v>0</v>
      </c>
      <c r="H59" s="175">
        <f>COUNTIFS(tblParticipants[ParticipantID],"&lt;&gt;",tblParticipants[ParticipantName],"&lt;&gt;",tblParticipants[EnrollQtr],"&gt;=1",tblParticipants[EnrollQtr],"&lt;=2",tblParticipants[ExitQtr],2,tblParticipants[LastMilSvcBranch],$A59)</f>
        <v>0</v>
      </c>
      <c r="I59" s="175">
        <f>COUNTIFS(tblParticipants[ParticipantID],"&lt;&gt;",tblParticipants[ParticipantName],"&lt;&gt;",tblParticipants[EnrollQtr],"&gt;=1",tblParticipants[EnrollQtr],"&lt;=2",tblParticipants[HrlyWgPlmt],"&gt;0",tblParticipants[EmployQtr],2,tblParticipants[ExitQtr],2,tblParticipants[LastMilSvcBranch],F59)</f>
        <v>0</v>
      </c>
      <c r="J59" s="194">
        <f>IFERROR(AVERAGEIFS(tblParticipants[HrlyWgPlmt],tblParticipants[ParticipantID],"&lt;&gt;",tblParticipants[ParticipantName],"&lt;&gt;",tblParticipants[EnrollQtr],"&gt;=1",tblParticipants[EnrollQtr],"&lt;=2",tblParticipants[HrlyWgPlmt],"&gt;0",tblParticipants[EmployQtr],2,tblParticipants[ExitQtr],2,tblParticipants[LastMilSvcBranch],F59),0)</f>
        <v>0</v>
      </c>
      <c r="L59" s="174">
        <f>COUNTIFS(tblParticipants[ParticipantID],"&lt;&gt;",tblParticipants[ParticipantName],"&lt;&gt;",tblParticipants[EnrollQtr],3,tblParticipants[LastMilSvcBranch],$A59)</f>
        <v>0</v>
      </c>
      <c r="M59" s="175">
        <f>COUNTIFS(tblParticipants[ParticipantID],"&lt;&gt;",tblParticipants[ParticipantName],"&lt;&gt;",tblParticipants[EnrollQtr],"&gt;=1",tblParticipants[EnrollQtr],"&lt;=3",tblParticipants[ExitQtr],3,tblParticipants[LastMilSvcBranch],$A59)</f>
        <v>0</v>
      </c>
      <c r="N59" s="175">
        <f>COUNTIFS(tblParticipants[ParticipantID],"&lt;&gt;",tblParticipants[ParticipantName],"&lt;&gt;",tblParticipants[EnrollQtr],"&gt;=1",tblParticipants[EnrollQtr],"&lt;=3",tblParticipants[HrlyWgPlmt],"&gt;0",tblParticipants[EmployQtr],3,tblParticipants[ExitQtr],3,tblParticipants[LastMilSvcBranch],K59)</f>
        <v>0</v>
      </c>
      <c r="O59" s="194">
        <f>IFERROR(AVERAGEIFS(tblParticipants[HrlyWgPlmt],tblParticipants[ParticipantID],"&lt;&gt;",tblParticipants[ParticipantName],"&lt;&gt;",tblParticipants[EnrollQtr],"&gt;=1",tblParticipants[EnrollQtr],"&lt;=3",tblParticipants[HrlyWgPlmt],"&gt;0",tblParticipants[EmployQtr],3,tblParticipants[ExitQtr],3,tblParticipants[LastMilSvcBranch],K59),0)</f>
        <v>0</v>
      </c>
      <c r="P59" s="145"/>
      <c r="Q59" s="174">
        <f>COUNTIFS(tblParticipants[ParticipantID],"&lt;&gt;",tblParticipants[ParticipantName],"&lt;&gt;",tblParticipants[EnrollQtr],4,tblParticipants[LastMilSvcBranch],$A59)</f>
        <v>0</v>
      </c>
      <c r="R59" s="175">
        <f>COUNTIFS(tblParticipants[ParticipantID],"&lt;&gt;",tblParticipants[ParticipantName],"&lt;&gt;",tblParticipants[EnrollQtr],"&gt;=1",tblParticipants[EnrollQtr],"&lt;=4",tblParticipants[ExitQtr],4,tblParticipants[LastMilSvcBranch],$A59)</f>
        <v>0</v>
      </c>
      <c r="S59" s="175">
        <f>COUNTIFS(tblParticipants[ParticipantID],"&lt;&gt;",tblParticipants[ParticipantName],"&lt;&gt;",tblParticipants[EnrollQtr],"&gt;=1",tblParticipants[EnrollQtr],"&lt;=4",tblParticipants[HrlyWgPlmt],"&gt;0",tblParticipants[EmployQtr],4,tblParticipants[ExitQtr],4,tblParticipants[LastMilSvcBranch],P59)</f>
        <v>0</v>
      </c>
      <c r="T59" s="194">
        <f>IFERROR(AVERAGEIFS(tblParticipants[HrlyWgPlmt],tblParticipants[ParticipantID],"&lt;&gt;",tblParticipants[ParticipantName],"&lt;&gt;",tblParticipants[EnrollQtr],"&gt;=1",tblParticipants[EnrollQtr],"&lt;=4",tblParticipants[HrlyWgPlmt],"&gt;0",tblParticipants[EmployQtr],4,tblParticipants[ExitQtr],4,tblParticipants[LastMilSvcBranch],P59),0)</f>
        <v>0</v>
      </c>
      <c r="V59" s="152">
        <f t="shared" si="15"/>
        <v>0</v>
      </c>
      <c r="W59" s="153">
        <f t="shared" si="16"/>
        <v>0</v>
      </c>
      <c r="X59" s="153">
        <f t="shared" si="17"/>
        <v>0</v>
      </c>
      <c r="Y59" s="200">
        <f t="shared" si="18"/>
        <v>0</v>
      </c>
      <c r="Z59" s="198">
        <f t="shared" si="19"/>
        <v>0</v>
      </c>
    </row>
    <row r="60" spans="1:26" x14ac:dyDescent="0.3">
      <c r="A60" s="203" t="s">
        <v>23</v>
      </c>
      <c r="B60" s="174">
        <f>COUNTIFS(tblParticipants[ParticipantID],"&lt;&gt;",tblParticipants[ParticipantName],"&lt;&gt;",tblParticipants[EnrollQtr],1,tblParticipants[LastMilSvcBranch],$A60)</f>
        <v>0</v>
      </c>
      <c r="C60" s="175">
        <f>COUNTIFS(tblParticipants[ParticipantID],"&lt;&gt;",tblParticipants[ParticipantName],"&lt;&gt;",tblParticipants[EnrollQtr],1,tblParticipants[ExitQtr],1,tblParticipants[LastMilSvcBranch],$A60)</f>
        <v>0</v>
      </c>
      <c r="D60" s="175">
        <f>COUNTIFS(tblParticipants[ParticipantID],"&lt;&gt;",tblParticipants[ParticipantName],"&lt;&gt;",tblParticipants[EnrollQtr],1,tblParticipants[HrlyWgPlmt],"&gt;0",tblParticipants[EmployQtr],1,tblParticipants[ExitQtr],1,tblParticipants[LastMilSvcBranch],A60)</f>
        <v>0</v>
      </c>
      <c r="E60" s="194">
        <f>IFERROR(AVERAGEIFS(tblParticipants[HrlyWgPlmt],tblParticipants[ParticipantID],"&lt;&gt;",tblParticipants[ParticipantName],"&lt;&gt;",tblParticipants[EnrollQtr],1,tblParticipants[HrlyWgPlmt],"&gt;0",tblParticipants[EmployQtr],1,tblParticipants[ExitQtr],1,tblParticipants[LastMilSvcBranch],A60),0)</f>
        <v>0</v>
      </c>
      <c r="G60" s="174">
        <f>COUNTIFS(tblParticipants[ParticipantID],"&lt;&gt;",tblParticipants[ParticipantName],"&lt;&gt;",tblParticipants[EnrollQtr],2,tblParticipants[LastMilSvcBranch],$A60)</f>
        <v>0</v>
      </c>
      <c r="H60" s="175">
        <f>COUNTIFS(tblParticipants[ParticipantID],"&lt;&gt;",tblParticipants[ParticipantName],"&lt;&gt;",tblParticipants[EnrollQtr],"&gt;=1",tblParticipants[EnrollQtr],"&lt;=2",tblParticipants[ExitQtr],2,tblParticipants[LastMilSvcBranch],$A60)</f>
        <v>0</v>
      </c>
      <c r="I60" s="175">
        <f>COUNTIFS(tblParticipants[ParticipantID],"&lt;&gt;",tblParticipants[ParticipantName],"&lt;&gt;",tblParticipants[EnrollQtr],"&gt;=1",tblParticipants[EnrollQtr],"&lt;=2",tblParticipants[HrlyWgPlmt],"&gt;0",tblParticipants[EmployQtr],2,tblParticipants[ExitQtr],2,tblParticipants[LastMilSvcBranch],F60)</f>
        <v>0</v>
      </c>
      <c r="J60" s="194">
        <f>IFERROR(AVERAGEIFS(tblParticipants[HrlyWgPlmt],tblParticipants[ParticipantID],"&lt;&gt;",tblParticipants[ParticipantName],"&lt;&gt;",tblParticipants[EnrollQtr],"&gt;=1",tblParticipants[EnrollQtr],"&lt;=2",tblParticipants[HrlyWgPlmt],"&gt;0",tblParticipants[EmployQtr],2,tblParticipants[ExitQtr],2,tblParticipants[LastMilSvcBranch],F60),0)</f>
        <v>0</v>
      </c>
      <c r="L60" s="174">
        <f>COUNTIFS(tblParticipants[ParticipantID],"&lt;&gt;",tblParticipants[ParticipantName],"&lt;&gt;",tblParticipants[EnrollQtr],3,tblParticipants[LastMilSvcBranch],$A60)</f>
        <v>0</v>
      </c>
      <c r="M60" s="175">
        <f>COUNTIFS(tblParticipants[ParticipantID],"&lt;&gt;",tblParticipants[ParticipantName],"&lt;&gt;",tblParticipants[EnrollQtr],"&gt;=1",tblParticipants[EnrollQtr],"&lt;=3",tblParticipants[ExitQtr],3,tblParticipants[LastMilSvcBranch],$A60)</f>
        <v>0</v>
      </c>
      <c r="N60" s="175">
        <f>COUNTIFS(tblParticipants[ParticipantID],"&lt;&gt;",tblParticipants[ParticipantName],"&lt;&gt;",tblParticipants[EnrollQtr],"&gt;=1",tblParticipants[EnrollQtr],"&lt;=3",tblParticipants[HrlyWgPlmt],"&gt;0",tblParticipants[EmployQtr],3,tblParticipants[ExitQtr],3,tblParticipants[LastMilSvcBranch],K60)</f>
        <v>0</v>
      </c>
      <c r="O60" s="194">
        <f>IFERROR(AVERAGEIFS(tblParticipants[HrlyWgPlmt],tblParticipants[ParticipantID],"&lt;&gt;",tblParticipants[ParticipantName],"&lt;&gt;",tblParticipants[EnrollQtr],"&gt;=1",tblParticipants[EnrollQtr],"&lt;=3",tblParticipants[HrlyWgPlmt],"&gt;0",tblParticipants[EmployQtr],3,tblParticipants[ExitQtr],3,tblParticipants[LastMilSvcBranch],K60),0)</f>
        <v>0</v>
      </c>
      <c r="Q60" s="174">
        <f>COUNTIFS(tblParticipants[ParticipantID],"&lt;&gt;",tblParticipants[ParticipantName],"&lt;&gt;",tblParticipants[EnrollQtr],4,tblParticipants[LastMilSvcBranch],$A60)</f>
        <v>0</v>
      </c>
      <c r="R60" s="175">
        <f>COUNTIFS(tblParticipants[ParticipantID],"&lt;&gt;",tblParticipants[ParticipantName],"&lt;&gt;",tblParticipants[EnrollQtr],"&gt;=1",tblParticipants[EnrollQtr],"&lt;=4",tblParticipants[ExitQtr],4,tblParticipants[LastMilSvcBranch],$A60)</f>
        <v>0</v>
      </c>
      <c r="S60" s="175">
        <f>COUNTIFS(tblParticipants[ParticipantID],"&lt;&gt;",tblParticipants[ParticipantName],"&lt;&gt;",tblParticipants[EnrollQtr],"&gt;=1",tblParticipants[EnrollQtr],"&lt;=4",tblParticipants[HrlyWgPlmt],"&gt;0",tblParticipants[EmployQtr],4,tblParticipants[ExitQtr],4,tblParticipants[LastMilSvcBranch],P60)</f>
        <v>0</v>
      </c>
      <c r="T60" s="194">
        <f>IFERROR(AVERAGEIFS(tblParticipants[HrlyWgPlmt],tblParticipants[ParticipantID],"&lt;&gt;",tblParticipants[ParticipantName],"&lt;&gt;",tblParticipants[EnrollQtr],"&gt;=1",tblParticipants[EnrollQtr],"&lt;=4",tblParticipants[HrlyWgPlmt],"&gt;0",tblParticipants[EmployQtr],4,tblParticipants[ExitQtr],4,tblParticipants[LastMilSvcBranch],P60),0)</f>
        <v>0</v>
      </c>
      <c r="V60" s="152">
        <f t="shared" si="15"/>
        <v>0</v>
      </c>
      <c r="W60" s="153">
        <f t="shared" si="16"/>
        <v>0</v>
      </c>
      <c r="X60" s="153">
        <f t="shared" si="17"/>
        <v>0</v>
      </c>
      <c r="Y60" s="200">
        <f t="shared" si="18"/>
        <v>0</v>
      </c>
      <c r="Z60" s="198">
        <f t="shared" si="19"/>
        <v>0</v>
      </c>
    </row>
    <row r="61" spans="1:26" x14ac:dyDescent="0.3">
      <c r="A61" s="203" t="s">
        <v>2522</v>
      </c>
      <c r="B61" s="174">
        <f>COUNTIFS(tblParticipants[ParticipantID],"&lt;&gt;",tblParticipants[ParticipantName],"&lt;&gt;",tblParticipants[EnrollQtr],1,tblParticipants[LastMilSvcBranch],$A61)</f>
        <v>0</v>
      </c>
      <c r="C61" s="175">
        <f>COUNTIFS(tblParticipants[ParticipantID],"&lt;&gt;",tblParticipants[ParticipantName],"&lt;&gt;",tblParticipants[EnrollQtr],1,tblParticipants[ExitQtr],1,tblParticipants[LastMilSvcBranch],$A61)</f>
        <v>0</v>
      </c>
      <c r="D61" s="175">
        <f>COUNTIFS(tblParticipants[ParticipantID],"&lt;&gt;",tblParticipants[ParticipantName],"&lt;&gt;",tblParticipants[EnrollQtr],1,tblParticipants[HrlyWgPlmt],"&gt;0",tblParticipants[EmployQtr],1,tblParticipants[ExitQtr],1,tblParticipants[LastMilSvcBranch],A61)</f>
        <v>0</v>
      </c>
      <c r="E61" s="194">
        <f>IFERROR(AVERAGEIFS(tblParticipants[HrlyWgPlmt],tblParticipants[ParticipantID],"&lt;&gt;",tblParticipants[ParticipantName],"&lt;&gt;",tblParticipants[EnrollQtr],1,tblParticipants[HrlyWgPlmt],"&gt;0",tblParticipants[EmployQtr],1,tblParticipants[ExitQtr],1,tblParticipants[LastMilSvcBranch],A61),0)</f>
        <v>0</v>
      </c>
      <c r="G61" s="174">
        <f>COUNTIFS(tblParticipants[ParticipantID],"&lt;&gt;",tblParticipants[ParticipantName],"&lt;&gt;",tblParticipants[EnrollQtr],2,tblParticipants[LastMilSvcBranch],$A61)</f>
        <v>0</v>
      </c>
      <c r="H61" s="175">
        <f>COUNTIFS(tblParticipants[ParticipantID],"&lt;&gt;",tblParticipants[ParticipantName],"&lt;&gt;",tblParticipants[EnrollQtr],"&gt;=1",tblParticipants[EnrollQtr],"&lt;=2",tblParticipants[ExitQtr],2,tblParticipants[LastMilSvcBranch],$A61)</f>
        <v>0</v>
      </c>
      <c r="I61" s="175">
        <f>COUNTIFS(tblParticipants[ParticipantID],"&lt;&gt;",tblParticipants[ParticipantName],"&lt;&gt;",tblParticipants[EnrollQtr],"&gt;=1",tblParticipants[EnrollQtr],"&lt;=2",tblParticipants[HrlyWgPlmt],"&gt;0",tblParticipants[EmployQtr],2,tblParticipants[ExitQtr],2,tblParticipants[LastMilSvcBranch],F61)</f>
        <v>0</v>
      </c>
      <c r="J61" s="194">
        <f>IFERROR(AVERAGEIFS(tblParticipants[HrlyWgPlmt],tblParticipants[ParticipantID],"&lt;&gt;",tblParticipants[ParticipantName],"&lt;&gt;",tblParticipants[EnrollQtr],"&gt;=1",tblParticipants[EnrollQtr],"&lt;=2",tblParticipants[HrlyWgPlmt],"&gt;0",tblParticipants[EmployQtr],2,tblParticipants[ExitQtr],2,tblParticipants[LastMilSvcBranch],F61),0)</f>
        <v>0</v>
      </c>
      <c r="L61" s="174">
        <f>COUNTIFS(tblParticipants[ParticipantID],"&lt;&gt;",tblParticipants[ParticipantName],"&lt;&gt;",tblParticipants[EnrollQtr],3,tblParticipants[LastMilSvcBranch],$A61)</f>
        <v>0</v>
      </c>
      <c r="M61" s="175">
        <f>COUNTIFS(tblParticipants[ParticipantID],"&lt;&gt;",tblParticipants[ParticipantName],"&lt;&gt;",tblParticipants[EnrollQtr],"&gt;=1",tblParticipants[EnrollQtr],"&lt;=3",tblParticipants[ExitQtr],3,tblParticipants[LastMilSvcBranch],$A61)</f>
        <v>0</v>
      </c>
      <c r="N61" s="175">
        <f>COUNTIFS(tblParticipants[ParticipantID],"&lt;&gt;",tblParticipants[ParticipantName],"&lt;&gt;",tblParticipants[EnrollQtr],"&gt;=1",tblParticipants[EnrollQtr],"&lt;=3",tblParticipants[HrlyWgPlmt],"&gt;0",tblParticipants[EmployQtr],3,tblParticipants[ExitQtr],3,tblParticipants[LastMilSvcBranch],K61)</f>
        <v>0</v>
      </c>
      <c r="O61" s="194">
        <f>IFERROR(AVERAGEIFS(tblParticipants[HrlyWgPlmt],tblParticipants[ParticipantID],"&lt;&gt;",tblParticipants[ParticipantName],"&lt;&gt;",tblParticipants[EnrollQtr],"&gt;=1",tblParticipants[EnrollQtr],"&lt;=3",tblParticipants[HrlyWgPlmt],"&gt;0",tblParticipants[EmployQtr],3,tblParticipants[ExitQtr],3,tblParticipants[LastMilSvcBranch],K61),0)</f>
        <v>0</v>
      </c>
      <c r="Q61" s="174">
        <f>COUNTIFS(tblParticipants[ParticipantID],"&lt;&gt;",tblParticipants[ParticipantName],"&lt;&gt;",tblParticipants[EnrollQtr],4,tblParticipants[LastMilSvcBranch],$A61)</f>
        <v>0</v>
      </c>
      <c r="R61" s="175">
        <f>COUNTIFS(tblParticipants[ParticipantID],"&lt;&gt;",tblParticipants[ParticipantName],"&lt;&gt;",tblParticipants[EnrollQtr],"&gt;=1",tblParticipants[EnrollQtr],"&lt;=4",tblParticipants[ExitQtr],4,tblParticipants[LastMilSvcBranch],$A61)</f>
        <v>0</v>
      </c>
      <c r="S61" s="175">
        <f>COUNTIFS(tblParticipants[ParticipantID],"&lt;&gt;",tblParticipants[ParticipantName],"&lt;&gt;",tblParticipants[EnrollQtr],"&gt;=1",tblParticipants[EnrollQtr],"&lt;=4",tblParticipants[HrlyWgPlmt],"&gt;0",tblParticipants[EmployQtr],4,tblParticipants[ExitQtr],4,tblParticipants[LastMilSvcBranch],P61)</f>
        <v>0</v>
      </c>
      <c r="T61" s="194">
        <f>IFERROR(AVERAGEIFS(tblParticipants[HrlyWgPlmt],tblParticipants[ParticipantID],"&lt;&gt;",tblParticipants[ParticipantName],"&lt;&gt;",tblParticipants[EnrollQtr],"&gt;=1",tblParticipants[EnrollQtr],"&lt;=4",tblParticipants[HrlyWgPlmt],"&gt;0",tblParticipants[EmployQtr],4,tblParticipants[ExitQtr],4,tblParticipants[LastMilSvcBranch],P61),0)</f>
        <v>0</v>
      </c>
      <c r="V61" s="152">
        <f t="shared" si="15"/>
        <v>0</v>
      </c>
      <c r="W61" s="153">
        <f t="shared" si="16"/>
        <v>0</v>
      </c>
      <c r="X61" s="153">
        <f t="shared" si="17"/>
        <v>0</v>
      </c>
      <c r="Y61" s="200">
        <f t="shared" si="18"/>
        <v>0</v>
      </c>
      <c r="Z61" s="198">
        <f t="shared" si="19"/>
        <v>0</v>
      </c>
    </row>
    <row r="62" spans="1:26" x14ac:dyDescent="0.3">
      <c r="A62" s="203" t="s">
        <v>2692</v>
      </c>
      <c r="B62" s="174">
        <f t="array" ref="B62">SUM(IF((tblParticipants[ParticipantID]&lt;&gt;"")*(tblParticipants[ParticipantName]&lt;&gt;"")*(tblParticipants[EnrollQtr]=1)*(((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1,0))</f>
        <v>0</v>
      </c>
      <c r="C62" s="175">
        <f t="array" ref="C62">SUM(IF((tblParticipants[ParticipantID]&lt;&gt;"")*(tblParticipants[ParticipantName]&lt;&gt;"")*(tblParticipants[EnrollQtr]=1)*(tblParticipants[ExitQtr]=1)*(((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1,0))</f>
        <v>0</v>
      </c>
      <c r="D62" s="175">
        <f t="array" aca="1" ref="D62" ca="1">SUM(IF((tblParticipants[ParticipantID]&lt;&gt;"")*(tblParticipants[ParticipantName]&lt;&gt;"")*(tblParticipants[EnrollQtr]=1)*(tblParticipants[HrlyWgPlmt]&gt;0)*(tblParticipants[EmployQtr]=1)*(tblParticipants[ExitQtr]=1)*(((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1,0))</f>
        <v>0</v>
      </c>
      <c r="E62" s="194">
        <f t="array" aca="1" ref="E62" ca="1">IFERROR((SUM(IF((tblParticipants[ParticipantID]&lt;&gt;"")*(tblParticipants[ParticipantName]&lt;&gt;"")*(tblParticipants[EnrollQtr]=1)*(tblParticipants[HrlyWgPlmt]&gt;0)*(tblParticipants[EmployQtr]=1)*(tblParticipants[ExitQtr]=1)*(((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tblParticipants[HrlyWgPlmt],0)))/(SUM(IF((tblParticipants[ParticipantID]&lt;&gt;"")*(tblParticipants[ParticipantName]&lt;&gt;"")*(tblParticipants[EnrollQtr]=1)*(tblParticipants[HrlyWgPlmt]&gt;0)*(tblParticipants[EmployQtr]=1)*(tblParticipants[ExitQtr]=1)*(((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1,0))),0)</f>
        <v>0</v>
      </c>
      <c r="G62" s="174">
        <f t="array" ref="G62">SUM(IF((tblParticipants[ParticipantID]&lt;&gt;"")*(tblParticipants[ParticipantName]&lt;&gt;"")*(tblParticipants[EnrollQtr]=2)*(((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1,0))</f>
        <v>0</v>
      </c>
      <c r="H62" s="175">
        <f t="array" ref="H62">SUM(IF((tblParticipants[ParticipantID]&lt;&gt;"")*(tblParticipants[ParticipantName]&lt;&gt;"")*(tblParticipants[EnrollQtr]&gt;=1)*(tblParticipants[EnrollQtr]&lt;=2)*(tblParticipants[ExitQtr]=2)*(((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1,0))</f>
        <v>0</v>
      </c>
      <c r="I62" s="175">
        <f t="array" aca="1" ref="I62" ca="1">SUM(IF((tblParticipants[ParticipantID]&lt;&gt;"")*(tblParticipants[ParticipantName]&lt;&gt;"")*(tblParticipants[EnrollQtr]&gt;=1)*(tblParticipants[EnrollQtr]&lt;=2)*(tblParticipants[EmployQtr]=2)*(tblParticipants[HrlyWgPlmt]&gt;0)*(tblParticipants[ExitQtr]=2)*(((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1,0))</f>
        <v>0</v>
      </c>
      <c r="J62" s="194">
        <f t="array" aca="1" ref="J62" ca="1">IFERROR((SUM(IF((tblParticipants[ParticipantID]&lt;&gt;"")*(tblParticipants[ParticipantName]&lt;&gt;"")*(tblParticipants[EnrollQtr]&gt;=1)*(tblParticipants[EnrollQtr]&lt;=2)*(tblParticipants[HrlyWgPlmt]&gt;0)*(tblParticipants[EmployQtr]=2)*(tblParticipants[ExitQtr]=2)*(((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tblParticipants[HrlyWgPlmt],0)))/(SUM(IF((tblParticipants[ParticipantID]&lt;&gt;"")*(tblParticipants[ParticipantName]&lt;&gt;"")*(tblParticipants[EnrollQtr]&gt;=1)*(tblParticipants[EnrollQtr]&lt;=2)*(tblParticipants[HrlyWgPlmt]&gt;0)*(tblParticipants[EmployQtr]=2)*(tblParticipants[ExitQtr]=2)*(((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1,0))),0)</f>
        <v>0</v>
      </c>
      <c r="L62" s="174">
        <f t="array" ref="L62">SUM(IF((tblParticipants[ParticipantID]&lt;&gt;"")*(tblParticipants[ParticipantName]&lt;&gt;"")*(tblParticipants[EnrollQtr]=3)*(((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1,0))</f>
        <v>0</v>
      </c>
      <c r="M62" s="175">
        <f t="array" ref="M62">SUM(IF((tblParticipants[ParticipantID]&lt;&gt;"")*(tblParticipants[ParticipantName]&lt;&gt;"")*(tblParticipants[EnrollQtr]&gt;=1)*(tblParticipants[EnrollQtr]&lt;=3)*(tblParticipants[ExitQtr]=3)*(((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1,0))</f>
        <v>0</v>
      </c>
      <c r="N62" s="175">
        <f t="array" aca="1" ref="N62" ca="1">SUM(IF((tblParticipants[ParticipantID]&lt;&gt;"")*(tblParticipants[ParticipantName]&lt;&gt;"")*(tblParticipants[EnrollQtr]&gt;=1)*(tblParticipants[EnrollQtr]&lt;=3)*(tblParticipants[EmployQtr]=3)*(tblParticipants[HrlyWgPlmt]&gt;0)*(tblParticipants[ExitQtr]=3)*(((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1,0))</f>
        <v>0</v>
      </c>
      <c r="O62" s="194">
        <f t="array" aca="1" ref="O62" ca="1">IFERROR((SUM(IF((tblParticipants[ParticipantID]&lt;&gt;"")*(tblParticipants[ParticipantName]&lt;&gt;"")*(tblParticipants[EnrollQtr]&gt;=1)*(tblParticipants[EnrollQtr]&lt;=3)*(tblParticipants[HrlyWgPlmt]&gt;0)*(tblParticipants[EmployQtr]=3)*(tblParticipants[ExitQtr]=3)*(((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tblParticipants[HrlyWgPlmt],0)))/(SUM(IF((tblParticipants[ParticipantID]&lt;&gt;"")*(tblParticipants[ParticipantName]&lt;&gt;"")*(tblParticipants[EnrollQtr]&gt;=1)*(tblParticipants[EnrollQtr]&lt;=3)*(tblParticipants[HrlyWgPlmt]&gt;0)*(tblParticipants[EmployQtr]=3)*(tblParticipants[ExitQtr]=3)*(((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1,0))),0)</f>
        <v>0</v>
      </c>
      <c r="Q62" s="174">
        <f t="array" ref="Q62">SUM(IF((tblParticipants[ParticipantID]&lt;&gt;"")*(tblParticipants[ParticipantName]&lt;&gt;"")*(tblParticipants[EnrollQtr]=4)*(((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1,0))</f>
        <v>0</v>
      </c>
      <c r="R62" s="175">
        <f t="array" ref="R62">SUM(IF((tblParticipants[ParticipantID]&lt;&gt;"")*(tblParticipants[ParticipantName]&lt;&gt;"")*(tblParticipants[EnrollQtr]&gt;=1)*(tblParticipants[EnrollQtr]&lt;=4)*(tblParticipants[ExitQtr]=4)*(((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1,0))</f>
        <v>0</v>
      </c>
      <c r="S62" s="175">
        <f t="array" aca="1" ref="S62" ca="1">SUM(IF((tblParticipants[ParticipantID]&lt;&gt;"")*(tblParticipants[ParticipantName]&lt;&gt;"")*(tblParticipants[EnrollQtr]&gt;=1)*(tblParticipants[EnrollQtr]&lt;=4)*(tblParticipants[EmployQtr]=4)*(tblParticipants[HrlyWgPlmt]&gt;0)*(tblParticipants[ExitQtr]=4)*(((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1,0))</f>
        <v>0</v>
      </c>
      <c r="T62" s="194">
        <f t="array" aca="1" ref="T62" ca="1">IFERROR((SUM(IF((tblParticipants[ParticipantID]&lt;&gt;"")*(tblParticipants[ParticipantName]&lt;&gt;"")*(tblParticipants[EnrollQtr]&gt;=1)*(tblParticipants[EnrollQtr]&lt;=4)*(tblParticipants[HrlyWgPlmt]&gt;0)*(tblParticipants[EmployQtr]=4)*(tblParticipants[ExitQtr]=4)*(((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tblParticipants[HrlyWgPlmt],0)))/(SUM(IF((tblParticipants[ParticipantID]&lt;&gt;"")*(tblParticipants[ParticipantName]&lt;&gt;"")*(tblParticipants[EnrollQtr]&gt;=1)*(tblParticipants[EnrollQtr]&lt;=4)*(tblParticipants[HrlyWgPlmt]&gt;0)*(tblParticipants[EmployQtr]=4)*(tblParticipants[ExitQtr]=4)*(((tblParticipants[MilSvcEntryDate]&gt;=VLOOKUP("OIF",tblConflicts[],MATCH("StartDate",tblConflicts[#Headers],0),FALSE))*(tblParticipants[MilSvcEntryDate]&lt;=VLOOKUP("OIF",tblConflicts[],MATCH("EndDate",tblConflicts[#Headers],0),FALSE)))+((tblParticipants[MilSvcDischargeDate]&gt;=VLOOKUP("OIF",tblConflicts[],MATCH("StartDate",tblConflicts[#Headers],0),FALSE))*(tblParticipants[MilSvcDischargeDate]&lt;=VLOOKUP("OIF",tblConflicts[],MATCH("EndDate",tblConflicts[#Headers],0),FALSE)))),1,0))),0)</f>
        <v>0</v>
      </c>
      <c r="V62" s="152">
        <f>SUM(B62,G62,L62,Q62)</f>
        <v>0</v>
      </c>
      <c r="W62" s="153">
        <f>SUM(C62,H62,M62,R62)</f>
        <v>0</v>
      </c>
      <c r="X62" s="153">
        <f ca="1">SUM(D62,I62,N62,S62)</f>
        <v>0</v>
      </c>
      <c r="Y62" s="200">
        <f t="shared" ca="1" si="18"/>
        <v>0</v>
      </c>
      <c r="Z62" s="198">
        <f t="shared" ca="1" si="19"/>
        <v>0</v>
      </c>
    </row>
    <row r="63" spans="1:26" ht="15" thickBot="1" x14ac:dyDescent="0.35">
      <c r="A63" s="210" t="s">
        <v>2693</v>
      </c>
      <c r="B63" s="166">
        <f t="array" ref="B63">SUM(IF((tblParticipants[ParticipantID]&lt;&gt;"")*(tblParticipants[ParticipantName]&lt;&gt;"")*(tblParticipants[EnrollQtr]=1)*(((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1,0))</f>
        <v>0</v>
      </c>
      <c r="C63" s="167">
        <f t="array" ref="C63">SUM(IF((tblParticipants[ParticipantID]&lt;&gt;"")*(tblParticipants[ParticipantName]&lt;&gt;"")*(tblParticipants[EnrollQtr]=1)*(tblParticipants[ExitQtr]=1)*(((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1,0))</f>
        <v>0</v>
      </c>
      <c r="D63" s="167">
        <f t="array" aca="1" ref="D63" ca="1">SUM(IF((tblParticipants[ParticipantID]&lt;&gt;"")*(tblParticipants[ParticipantName]&lt;&gt;"")*(tblParticipants[EnrollQtr]=1)*(tblParticipants[EmployQtr]=1)*(tblParticipants[HrlyWgPlmt]&gt;0)*(tblParticipants[ExitQtr]=1)*(((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1,0))</f>
        <v>0</v>
      </c>
      <c r="E63" s="168">
        <f t="array" aca="1" ref="E63" ca="1">IFERROR((SUM(IF((tblParticipants[ParticipantID]&lt;&gt;"")*(tblParticipants[ParticipantName]&lt;&gt;"")*(tblParticipants[EnrollQtr]=1)*(tblParticipants[HrlyWgPlmt]&gt;0)*(tblParticipants[EmployQtr]=1)*(tblParticipants[ExitQtr]=1)*(((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tblParticipants[HrlyWgPlmt],0)))/(SUM(IF((tblParticipants[ParticipantID]&lt;&gt;"")*(tblParticipants[ParticipantName]&lt;&gt;"")*(tblParticipants[EnrollQtr]=1)*(tblParticipants[HrlyWgPlmt]&gt;0)*(tblParticipants[EmployQtr]=1)*(tblParticipants[ExitQtr]=1)*(((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1,0))),0)</f>
        <v>0</v>
      </c>
      <c r="G63" s="166">
        <f t="array" ref="G63">SUM(IF((tblParticipants[ParticipantID]&lt;&gt;"")*(tblParticipants[ParticipantName]&lt;&gt;"")*(tblParticipants[EnrollQtr]=2)*(((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1,0))</f>
        <v>0</v>
      </c>
      <c r="H63" s="167">
        <f t="array" ref="H63">SUM(IF((tblParticipants[ParticipantID]&lt;&gt;"")*(tblParticipants[ParticipantName]&lt;&gt;"")*(tblParticipants[EnrollQtr]&gt;=1)*(tblParticipants[EnrollQtr]&lt;=2)*(tblParticipants[ExitQtr]=2)*(((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1,0))</f>
        <v>0</v>
      </c>
      <c r="I63" s="167">
        <f t="array" aca="1" ref="I63" ca="1">SUM(IF((tblParticipants[ParticipantID]&lt;&gt;"")*(tblParticipants[ParticipantName]&lt;&gt;"")*(tblParticipants[EnrollQtr]&gt;=1)*(tblParticipants[EnrollQtr]&lt;=2)*(tblParticipants[EmployQtr]=2)*(tblParticipants[HrlyWgPlmt]&gt;0)*(tblParticipants[ExitQtr]=2)*(((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1,0))</f>
        <v>0</v>
      </c>
      <c r="J63" s="168">
        <f t="array" aca="1" ref="J63" ca="1">IFERROR((SUM(IF((tblParticipants[ParticipantID]&lt;&gt;"")*(tblParticipants[ParticipantName]&lt;&gt;"")*(tblParticipants[EnrollQtr]&gt;=1)*(tblParticipants[EnrollQtr]&lt;=2)*(tblParticipants[HrlyWgPlmt]&gt;0)*(tblParticipants[EmployQtr]=2)*(tblParticipants[ExitQtr]=2)*(((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tblParticipants[HrlyWgPlmt],0)))/(SUM(IF((tblParticipants[ParticipantID]&lt;&gt;"")*(tblParticipants[ParticipantName]&lt;&gt;"")*(tblParticipants[EnrollQtr]&gt;=1)*(tblParticipants[EnrollQtr]&lt;=2)*(tblParticipants[HrlyWgPlmt]&gt;0)*(tblParticipants[EmployQtr]=2)*(tblParticipants[ExitQtr]=2)*(((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1,0))),0)</f>
        <v>0</v>
      </c>
      <c r="L63" s="166">
        <f t="array" ref="L63">SUM(IF((tblParticipants[ParticipantID]&lt;&gt;"")*(tblParticipants[ParticipantName]&lt;&gt;"")*(tblParticipants[EnrollQtr]=3)*(((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1,0))</f>
        <v>0</v>
      </c>
      <c r="M63" s="167">
        <f t="array" ref="M63">SUM(IF((tblParticipants[ParticipantID]&lt;&gt;"")*(tblParticipants[ParticipantName]&lt;&gt;"")*(tblParticipants[EnrollQtr]&gt;=1)*(tblParticipants[EnrollQtr]&lt;=3)*(tblParticipants[ExitQtr]=3)*(((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1,0))</f>
        <v>0</v>
      </c>
      <c r="N63" s="167">
        <f t="array" aca="1" ref="N63" ca="1">SUM(IF((tblParticipants[ParticipantID]&lt;&gt;"")*(tblParticipants[ParticipantName]&lt;&gt;"")*(tblParticipants[EnrollQtr]&gt;=1)*(tblParticipants[EnrollQtr]&lt;=3)*(tblParticipants[EmployQtr]=3)*(tblParticipants[HrlyWgPlmt]&gt;0)*(tblParticipants[ExitQtr]=3)*(((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1,0))</f>
        <v>0</v>
      </c>
      <c r="O63" s="168">
        <f t="array" aca="1" ref="O63" ca="1">IFERROR((SUM(IF((tblParticipants[ParticipantID]&lt;&gt;"")*(tblParticipants[ParticipantName]&lt;&gt;"")*(tblParticipants[EnrollQtr]&gt;=1)*(tblParticipants[EnrollQtr]&lt;=3)*(tblParticipants[HrlyWgPlmt]&gt;0)*(tblParticipants[EmployQtr]=3)*(tblParticipants[ExitQtr]=3)*(((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tblParticipants[HrlyWgPlmt],0)))/(SUM(IF((tblParticipants[ParticipantID]&lt;&gt;"")*(tblParticipants[ParticipantName]&lt;&gt;"")*(tblParticipants[EnrollQtr]&gt;=1)*(tblParticipants[EnrollQtr]&lt;=3)*(tblParticipants[HrlyWgPlmt]&gt;0)*(tblParticipants[EmployQtr]=3)*(tblParticipants[ExitQtr]=3)*(((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1,0))),0)</f>
        <v>0</v>
      </c>
      <c r="Q63" s="166">
        <f t="array" ref="Q63">SUM(IF((tblParticipants[ParticipantID]&lt;&gt;"")*(tblParticipants[ParticipantName]&lt;&gt;"")*(tblParticipants[EnrollQtr]=4)*(((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1,0))</f>
        <v>0</v>
      </c>
      <c r="R63" s="167">
        <f t="array" ref="R63">SUM(IF((tblParticipants[ParticipantID]&lt;&gt;"")*(tblParticipants[ParticipantName]&lt;&gt;"")*(tblParticipants[EnrollQtr]&gt;=1)*(tblParticipants[EnrollQtr]&lt;=4)*(tblParticipants[ExitQtr]=4)*(((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1,0))</f>
        <v>0</v>
      </c>
      <c r="S63" s="167">
        <f t="array" aca="1" ref="S63" ca="1">SUM(IF((tblParticipants[ParticipantID]&lt;&gt;"")*(tblParticipants[ParticipantName]&lt;&gt;"")*(tblParticipants[EnrollQtr]&gt;=1)*(tblParticipants[EnrollQtr]&lt;=4)*(tblParticipants[EmployQtr]=4)*(tblParticipants[HrlyWgPlmt]&gt;0)*(tblParticipants[ExitQtr]=4)*(((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1,0))</f>
        <v>0</v>
      </c>
      <c r="T63" s="168">
        <f t="array" aca="1" ref="T63" ca="1">IFERROR((SUM(IF((tblParticipants[ParticipantID]&lt;&gt;"")*(tblParticipants[ParticipantName]&lt;&gt;"")*(tblParticipants[EnrollQtr]&gt;=1)*(tblParticipants[EnrollQtr]&lt;=4)*(tblParticipants[HrlyWgPlmt]&gt;0)*(tblParticipants[EmployQtr]=4)*(tblParticipants[ExitQtr]=4)*(((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tblParticipants[HrlyWgPlmt],0)))/(SUM(IF((tblParticipants[ParticipantID]&lt;&gt;"")*(tblParticipants[ParticipantName]&lt;&gt;"")*(tblParticipants[EnrollQtr]&gt;=1)*(tblParticipants[EnrollQtr]&lt;=4)*(tblParticipants[HrlyWgPlmt]&gt;0)*(tblParticipants[EmployQtr]=4)*(tblParticipants[ExitQtr]=4)*(((tblParticipants[MilSvcEntryDate]&gt;=VLOOKUP("OEF",tblConflicts[],MATCH("StartDate",tblConflicts[#Headers],0),FALSE))*(tblParticipants[MilSvcEntryDate]&lt;=VLOOKUP("OEF",tblConflicts[],MATCH("EndDate",tblConflicts[#Headers],0),FALSE)))+((tblParticipants[MilSvcDischargeDate]&gt;=VLOOKUP("OEF",tblConflicts[],MATCH("StartDate",tblConflicts[#Headers],0),FALSE))*(tblParticipants[MilSvcDischargeDate]&lt;=VLOOKUP("OEF",tblConflicts[],MATCH("EndDate",tblConflicts[#Headers],0),FALSE)))),1,0))),0)</f>
        <v>0</v>
      </c>
      <c r="V63" s="154">
        <f>SUM(B63,G63,L63,Q63)</f>
        <v>0</v>
      </c>
      <c r="W63" s="155">
        <f>SUM(C63,H63,M63,R63)</f>
        <v>0</v>
      </c>
      <c r="X63" s="155">
        <f ca="1">SUM(D63,I63,N63,S63,)</f>
        <v>0</v>
      </c>
      <c r="Y63" s="201">
        <f t="shared" ca="1" si="18"/>
        <v>0</v>
      </c>
      <c r="Z63" s="199">
        <f t="shared" ca="1" si="19"/>
        <v>0</v>
      </c>
    </row>
    <row r="64" spans="1:26" x14ac:dyDescent="0.3">
      <c r="A64" s="156"/>
    </row>
    <row r="66" spans="1:26" x14ac:dyDescent="0.3">
      <c r="A66" s="213" t="s">
        <v>2760</v>
      </c>
      <c r="B66" s="179"/>
      <c r="C66" s="157"/>
      <c r="D66" s="178"/>
      <c r="E66" s="179"/>
      <c r="F66" s="157"/>
      <c r="G66" s="178"/>
      <c r="H66" s="178"/>
      <c r="I66" s="179"/>
      <c r="J66" s="179"/>
      <c r="K66" s="157"/>
      <c r="L66" s="178"/>
      <c r="M66" s="178"/>
      <c r="N66" s="179"/>
      <c r="O66" s="157"/>
      <c r="P66" s="178"/>
      <c r="Q66" s="179"/>
      <c r="R66" s="179"/>
      <c r="S66" s="157"/>
      <c r="T66" s="178"/>
      <c r="U66" s="178"/>
      <c r="V66" s="179"/>
      <c r="W66" s="157"/>
      <c r="X66" s="178"/>
      <c r="Y66" s="179"/>
      <c r="Z66" s="157"/>
    </row>
    <row r="67" spans="1:26" x14ac:dyDescent="0.3">
      <c r="A67" s="214" t="s">
        <v>2801</v>
      </c>
      <c r="B67" s="174">
        <f>COUNTIFS(tblParticipants[EnrollQtr],1,tblParticipants[HighestEdLvl],1)</f>
        <v>0</v>
      </c>
      <c r="C67" s="175">
        <f>COUNTIFS(tblParticipants[ParticipantID],"&lt;&gt;",tblParticipants[ParticipantName],"&lt;&gt;",tblParticipants[EnrollQtr],1,tblParticipants[ExitQtr],1,tblParticipants[HighestEdLvl],1)</f>
        <v>0</v>
      </c>
      <c r="D67" s="175">
        <f>COUNTIFS(tblParticipants[ParticipantID],"&lt;&gt;",tblParticipants[ParticipantName],"&lt;&gt;",tblParticipants[EnrollQtr],1,tblParticipants[HrlyWgPlmt],"&gt;0",tblParticipants[EmployQtr],1,tblParticipants[ExitQtr],1,tblParticipants[HighestEdLvl],1)</f>
        <v>0</v>
      </c>
      <c r="E67" s="194">
        <f>IFERROR(AVERAGEIFS(tblParticipants[HrlyWgPlmt],tblParticipants[ParticipantID],"&lt;&gt;",tblParticipants[ParticipantName],"&lt;&gt;",tblParticipants[EnrollQtr],1,tblParticipants[HrlyWgPlmt],"&gt;0",tblParticipants[EmployQtr],1,tblParticipants[ExitQtr],1,tblParticipants[HighestEdLvl],1),0)</f>
        <v>0</v>
      </c>
      <c r="G67" s="174">
        <f>COUNTIFS(tblParticipants[ParticipantID],"&lt;&gt;",tblParticipants[ParticipantName],"&lt;&gt;",tblParticipants[EnrollQtr],2,tblParticipants[HighestEdLvl],1)</f>
        <v>0</v>
      </c>
      <c r="H67" s="175">
        <f>COUNTIFS(tblParticipants[ParticipantID],"&lt;&gt;",tblParticipants[ParticipantName],"&lt;&gt;",tblParticipants[EnrollQtr],"&gt;=1",tblParticipants[EnrollQtr],"&lt;=2",tblParticipants[ExitQtr],2,tblParticipants[HighestEdLvl],1)</f>
        <v>0</v>
      </c>
      <c r="I67" s="175">
        <f>COUNTIFS(tblParticipants[ParticipantID],"&lt;&gt;",tblParticipants[ParticipantName],"&lt;&gt;",tblParticipants[EnrollQtr],"&gt;=1",tblParticipants[EnrollQtr],"&lt;=4",tblParticipants[HrlyWgPlmt],"&gt;0",tblParticipants[EmployQtr],2,tblParticipants[ExitQtr],2,tblParticipants[HighestEdLvl],1)</f>
        <v>0</v>
      </c>
      <c r="J67" s="194">
        <f>IFERROR(AVERAGEIFS(tblParticipants[HrlyWgPlmt],tblParticipants[ParticipantID],"&lt;&gt;",tblParticipants[ParticipantName],"&lt;&gt;",tblParticipants[EnrollQtr],"&gt;=1",tblParticipants[EnrollQtr],"&lt;=2",tblParticipants[HrlyWgPlmt],"&gt;0",tblParticipants[EmployQtr],2,tblParticipants[ExitQtr],2,tblParticipants[HighestEdLvl],1),0)</f>
        <v>0</v>
      </c>
      <c r="L67" s="174">
        <f>COUNTIFS(tblParticipants[ParticipantID],"&lt;&gt;",tblParticipants[ParticipantName],"&lt;&gt;",tblParticipants[EnrollQtr],3,tblParticipants[HighestEdLvl],1)</f>
        <v>0</v>
      </c>
      <c r="M67" s="175">
        <f>COUNTIFS(tblParticipants[ParticipantID],"&lt;&gt;",tblParticipants[ParticipantName],"&lt;&gt;",tblParticipants[EnrollQtr],"&gt;=1",tblParticipants[EnrollQtr],"&lt;=3",tblParticipants[ExitQtr],3,tblParticipants[HighestEdLvl],1)</f>
        <v>0</v>
      </c>
      <c r="N67" s="175">
        <f>COUNTIFS(tblParticipants[ParticipantID],"&lt;&gt;",tblParticipants[ParticipantName],"&lt;&gt;",tblParticipants[EnrollQtr],"&gt;=1",tblParticipants[EnrollQtr],"&lt;=3",tblParticipants[HrlyWgPlmt],"&gt;0",tblParticipants[EmployQtr],3,tblParticipants[ExitQtr],3,tblParticipants[HighestEdLvl],1)</f>
        <v>0</v>
      </c>
      <c r="O67" s="194">
        <f>IFERROR(AVERAGEIFS(tblParticipants[HrlyWgPlmt],tblParticipants[ParticipantID],"&lt;&gt;",tblParticipants[ParticipantName],"&lt;&gt;",tblParticipants[EnrollQtr],"&gt;=1",tblParticipants[EnrollQtr],"&lt;=3",tblParticipants[HrlyWgPlmt],"&gt;0",tblParticipants[EmployQtr],3,tblParticipants[ExitQtr],3,tblParticipants[HighestEdLvl],1),0)</f>
        <v>0</v>
      </c>
      <c r="Q67" s="174">
        <f>COUNTIFS(tblParticipants[ParticipantID],"&lt;&gt;",tblParticipants[ParticipantName],"&lt;&gt;",tblParticipants[EnrollQtr],4,tblParticipants[HighestEdLvl],1)</f>
        <v>0</v>
      </c>
      <c r="R67" s="175">
        <f>COUNTIFS(tblParticipants[ParticipantID],"&lt;&gt;",tblParticipants[ParticipantName],"&lt;&gt;",tblParticipants[EnrollQtr],"&gt;=1",tblParticipants[EnrollQtr],"&lt;=4",tblParticipants[ExitQtr],4,tblParticipants[HighestEdLvl],1)</f>
        <v>0</v>
      </c>
      <c r="S67" s="175">
        <f>COUNTIFS(tblParticipants[ParticipantID],"&lt;&gt;",tblParticipants[ParticipantName],"&lt;&gt;",tblParticipants[EnrollQtr],"&gt;=1",tblParticipants[EnrollQtr],"&lt;=4",tblParticipants[HrlyWgPlmt],"&gt;0",tblParticipants[EmployQtr],4,tblParticipants[ExitQtr],4,tblParticipants[HighestEdLvl],1)</f>
        <v>0</v>
      </c>
      <c r="T67" s="194">
        <f>IFERROR(AVERAGEIFS(tblParticipants[HrlyWgPlmt],tblParticipants[ParticipantID],"&lt;&gt;",tblParticipants[ParticipantName],"&lt;&gt;",tblParticipants[EnrollQtr],"&gt;=1",tblParticipants[EnrollQtr],"&lt;=4",tblParticipants[HrlyWgPlmt],"&gt;0",tblParticipants[EmployQtr],4,tblParticipants[ExitQtr],4,tblParticipants[HighestEdLvl],1),0)</f>
        <v>0</v>
      </c>
      <c r="V67" s="152">
        <f t="shared" ref="V67:V75" si="20">$B67+$G67+$L67+$Q67</f>
        <v>0</v>
      </c>
      <c r="W67" s="153">
        <f t="shared" ref="W67:W75" si="21">$C67+$H67+$M67+$R67</f>
        <v>0</v>
      </c>
      <c r="X67" s="153">
        <f t="shared" ref="X67:X75" si="22">$D67+$I67+$N67+$S67</f>
        <v>0</v>
      </c>
      <c r="Y67" s="200">
        <f t="shared" ref="Y67:Y75" si="23">IF($X67=0,0,$X67/$W67)</f>
        <v>0</v>
      </c>
      <c r="Z67" s="198">
        <f t="shared" ref="Z67:Z75" si="24">IF($X67=0,0,(($D67*$E67)+($I67*$J67)+($N67*$O67)+($S67*$T67))/$X67)</f>
        <v>0</v>
      </c>
    </row>
    <row r="68" spans="1:26" x14ac:dyDescent="0.3">
      <c r="A68" s="215" t="s">
        <v>2802</v>
      </c>
      <c r="B68" s="174">
        <f>COUNTIFS(tblParticipants[EnrollQtr],1,tblParticipants[HighestEdLvl],2)</f>
        <v>0</v>
      </c>
      <c r="C68" s="175">
        <f>COUNTIFS(tblParticipants[ParticipantID],"&lt;&gt;",tblParticipants[ParticipantName],"&lt;&gt;",tblParticipants[EnrollQtr],1,tblParticipants[ExitQtr],1,tblParticipants[HighestEdLvl],2)</f>
        <v>0</v>
      </c>
      <c r="D68" s="175">
        <f>COUNTIFS(tblParticipants[ParticipantID],"&lt;&gt;",tblParticipants[ParticipantName],"&lt;&gt;",tblParticipants[EnrollQtr],1,tblParticipants[HrlyWgPlmt],"&gt;0",tblParticipants[EmployQtr],1,tblParticipants[ExitQtr],1,tblParticipants[HighestEdLvl],2)</f>
        <v>0</v>
      </c>
      <c r="E68" s="194">
        <f>IFERROR(AVERAGEIFS(tblParticipants[HrlyWgPlmt],tblParticipants[ParticipantID],"&lt;&gt;",tblParticipants[ParticipantName],"&lt;&gt;",tblParticipants[EnrollQtr],1,tblParticipants[HrlyWgPlmt],"&gt;0",tblParticipants[EmployQtr],1,tblParticipants[ExitQtr],1,tblParticipants[HighestEdLvl],2),0)</f>
        <v>0</v>
      </c>
      <c r="G68" s="174">
        <f>COUNTIFS(tblParticipants[ParticipantID],"&lt;&gt;",tblParticipants[ParticipantName],"&lt;&gt;",tblParticipants[EnrollQtr],2,tblParticipants[HighestEdLvl],2)</f>
        <v>0</v>
      </c>
      <c r="H68" s="175">
        <f>COUNTIFS(tblParticipants[ParticipantID],"&lt;&gt;",tblParticipants[ParticipantName],"&lt;&gt;",tblParticipants[EnrollQtr],"&gt;=1",tblParticipants[EnrollQtr],"&lt;=2",tblParticipants[ExitQtr],2,tblParticipants[HighestEdLvl],2)</f>
        <v>0</v>
      </c>
      <c r="I68" s="175">
        <f>COUNTIFS(tblParticipants[ParticipantID],"&lt;&gt;",tblParticipants[ParticipantName],"&lt;&gt;",tblParticipants[EnrollQtr],"&gt;=1",tblParticipants[EnrollQtr],"&lt;=4",tblParticipants[HrlyWgPlmt],"&gt;0",tblParticipants[EmployQtr],2,tblParticipants[ExitQtr],2,tblParticipants[HighestEdLvl],2)</f>
        <v>0</v>
      </c>
      <c r="J68" s="194">
        <f>IFERROR(AVERAGEIFS(tblParticipants[HrlyWgPlmt],tblParticipants[ParticipantID],"&lt;&gt;",tblParticipants[ParticipantName],"&lt;&gt;",tblParticipants[EnrollQtr],"&gt;=1",tblParticipants[EnrollQtr],"&lt;=2",tblParticipants[HrlyWgPlmt],"&gt;0",tblParticipants[EmployQtr],2,tblParticipants[ExitQtr],2,tblParticipants[HighestEdLvl],2),0)</f>
        <v>0</v>
      </c>
      <c r="L68" s="174">
        <f>COUNTIFS(tblParticipants[ParticipantID],"&lt;&gt;",tblParticipants[ParticipantName],"&lt;&gt;",tblParticipants[EnrollQtr],3,tblParticipants[HighestEdLvl],2)</f>
        <v>0</v>
      </c>
      <c r="M68" s="175">
        <f>COUNTIFS(tblParticipants[ParticipantID],"&lt;&gt;",tblParticipants[ParticipantName],"&lt;&gt;",tblParticipants[EnrollQtr],"&gt;=1",tblParticipants[EnrollQtr],"&lt;=3",tblParticipants[ExitQtr],3,tblParticipants[HighestEdLvl],2)</f>
        <v>0</v>
      </c>
      <c r="N68" s="175">
        <f>COUNTIFS(tblParticipants[ParticipantID],"&lt;&gt;",tblParticipants[ParticipantName],"&lt;&gt;",tblParticipants[EnrollQtr],"&gt;=1",tblParticipants[EnrollQtr],"&lt;=3",tblParticipants[HrlyWgPlmt],"&gt;0",tblParticipants[EmployQtr],3,tblParticipants[ExitQtr],3,tblParticipants[HighestEdLvl],2)</f>
        <v>0</v>
      </c>
      <c r="O68" s="194">
        <f>IFERROR(AVERAGEIFS(tblParticipants[HrlyWgPlmt],tblParticipants[ParticipantID],"&lt;&gt;",tblParticipants[ParticipantName],"&lt;&gt;",tblParticipants[EnrollQtr],"&gt;=1",tblParticipants[EnrollQtr],"&lt;=3",tblParticipants[HrlyWgPlmt],"&gt;0",tblParticipants[EmployQtr],3,tblParticipants[ExitQtr],3,tblParticipants[HighestEdLvl],2),0)</f>
        <v>0</v>
      </c>
      <c r="Q68" s="174">
        <f>COUNTIFS(tblParticipants[ParticipantID],"&lt;&gt;",tblParticipants[ParticipantName],"&lt;&gt;",tblParticipants[EnrollQtr],4,tblParticipants[HighestEdLvl],2)</f>
        <v>0</v>
      </c>
      <c r="R68" s="175">
        <f>COUNTIFS(tblParticipants[ParticipantID],"&lt;&gt;",tblParticipants[ParticipantName],"&lt;&gt;",tblParticipants[EnrollQtr],"&gt;=1",tblParticipants[EnrollQtr],"&lt;=4",tblParticipants[ExitQtr],4,tblParticipants[HighestEdLvl],2)</f>
        <v>0</v>
      </c>
      <c r="S68" s="175">
        <f>COUNTIFS(tblParticipants[ParticipantID],"&lt;&gt;",tblParticipants[ParticipantName],"&lt;&gt;",tblParticipants[EnrollQtr],"&gt;=1",tblParticipants[EnrollQtr],"&lt;=4",tblParticipants[HrlyWgPlmt],"&gt;0",tblParticipants[EmployQtr],4,tblParticipants[ExitQtr],4,tblParticipants[HighestEdLvl],2)</f>
        <v>0</v>
      </c>
      <c r="T68" s="194">
        <f>IFERROR(AVERAGEIFS(tblParticipants[HrlyWgPlmt],tblParticipants[ParticipantID],"&lt;&gt;",tblParticipants[ParticipantName],"&lt;&gt;",tblParticipants[EnrollQtr],"&gt;=1",tblParticipants[EnrollQtr],"&lt;=4",tblParticipants[HrlyWgPlmt],"&gt;0",tblParticipants[EmployQtr],4,tblParticipants[ExitQtr],4,tblParticipants[HighestEdLvl],2),0)</f>
        <v>0</v>
      </c>
      <c r="V68" s="152">
        <f t="shared" si="20"/>
        <v>0</v>
      </c>
      <c r="W68" s="153">
        <f t="shared" si="21"/>
        <v>0</v>
      </c>
      <c r="X68" s="153">
        <f t="shared" si="22"/>
        <v>0</v>
      </c>
      <c r="Y68" s="200">
        <f t="shared" si="23"/>
        <v>0</v>
      </c>
      <c r="Z68" s="198">
        <f t="shared" si="24"/>
        <v>0</v>
      </c>
    </row>
    <row r="69" spans="1:26" ht="57.6" x14ac:dyDescent="0.3">
      <c r="A69" s="215" t="s">
        <v>2803</v>
      </c>
      <c r="B69" s="174">
        <f>COUNTIFS(tblParticipants[EnrollQtr],1,tblParticipants[HighestEdLvl],3)</f>
        <v>0</v>
      </c>
      <c r="C69" s="175">
        <f>COUNTIFS(tblParticipants[ParticipantID],"&lt;&gt;",tblParticipants[ParticipantName],"&lt;&gt;",tblParticipants[EnrollQtr],1,tblParticipants[ExitQtr],1,tblParticipants[HighestEdLvl],3)</f>
        <v>0</v>
      </c>
      <c r="D69" s="175">
        <f>COUNTIFS(tblParticipants[ParticipantID],"&lt;&gt;",tblParticipants[ParticipantName],"&lt;&gt;",tblParticipants[EnrollQtr],1,tblParticipants[HrlyWgPlmt],"&gt;0",tblParticipants[EmployQtr],1,tblParticipants[ExitQtr],1,tblParticipants[HighestEdLvl],3)</f>
        <v>0</v>
      </c>
      <c r="E69" s="194">
        <f>IFERROR(AVERAGEIFS(tblParticipants[HrlyWgPlmt],tblParticipants[ParticipantID],"&lt;&gt;",tblParticipants[ParticipantName],"&lt;&gt;",tblParticipants[EnrollQtr],1,tblParticipants[HrlyWgPlmt],"&gt;0",tblParticipants[EmployQtr],1,tblParticipants[ExitQtr],1,tblParticipants[HighestEdLvl],3),0)</f>
        <v>0</v>
      </c>
      <c r="G69" s="174">
        <f>COUNTIFS(tblParticipants[ParticipantID],"&lt;&gt;",tblParticipants[ParticipantName],"&lt;&gt;",tblParticipants[EnrollQtr],2,tblParticipants[HighestEdLvl],3)</f>
        <v>0</v>
      </c>
      <c r="H69" s="175">
        <f>COUNTIFS(tblParticipants[ParticipantID],"&lt;&gt;",tblParticipants[ParticipantName],"&lt;&gt;",tblParticipants[EnrollQtr],"&gt;=1",tblParticipants[EnrollQtr],"&lt;=2",tblParticipants[ExitQtr],2,tblParticipants[HighestEdLvl],3)</f>
        <v>0</v>
      </c>
      <c r="I69" s="175">
        <f>COUNTIFS(tblParticipants[ParticipantID],"&lt;&gt;",tblParticipants[ParticipantName],"&lt;&gt;",tblParticipants[EnrollQtr],"&gt;=1",tblParticipants[EnrollQtr],"&lt;=4",tblParticipants[HrlyWgPlmt],"&gt;0",tblParticipants[EmployQtr],2,tblParticipants[ExitQtr],2,tblParticipants[HighestEdLvl],3)</f>
        <v>0</v>
      </c>
      <c r="J69" s="194">
        <f>IFERROR(AVERAGEIFS(tblParticipants[HrlyWgPlmt],tblParticipants[ParticipantID],"&lt;&gt;",tblParticipants[ParticipantName],"&lt;&gt;",tblParticipants[EnrollQtr],"&gt;=1",tblParticipants[EnrollQtr],"&lt;=2",tblParticipants[HrlyWgPlmt],"&gt;0",tblParticipants[EmployQtr],2,tblParticipants[ExitQtr],2,tblParticipants[HighestEdLvl],3),0)</f>
        <v>0</v>
      </c>
      <c r="L69" s="174">
        <f>COUNTIFS(tblParticipants[ParticipantID],"&lt;&gt;",tblParticipants[ParticipantName],"&lt;&gt;",tblParticipants[EnrollQtr],3,tblParticipants[HighestEdLvl],3)</f>
        <v>0</v>
      </c>
      <c r="M69" s="175">
        <f>COUNTIFS(tblParticipants[ParticipantID],"&lt;&gt;",tblParticipants[ParticipantName],"&lt;&gt;",tblParticipants[EnrollQtr],"&gt;=1",tblParticipants[EnrollQtr],"&lt;=3",tblParticipants[ExitQtr],3,tblParticipants[HighestEdLvl],3)</f>
        <v>0</v>
      </c>
      <c r="N69" s="175">
        <f>COUNTIFS(tblParticipants[ParticipantID],"&lt;&gt;",tblParticipants[ParticipantName],"&lt;&gt;",tblParticipants[EnrollQtr],"&gt;=1",tblParticipants[EnrollQtr],"&lt;=3",tblParticipants[HrlyWgPlmt],"&gt;0",tblParticipants[EmployQtr],3,tblParticipants[ExitQtr],3,tblParticipants[HighestEdLvl],3)</f>
        <v>0</v>
      </c>
      <c r="O69" s="194">
        <f>IFERROR(AVERAGEIFS(tblParticipants[HrlyWgPlmt],tblParticipants[ParticipantID],"&lt;&gt;",tblParticipants[ParticipantName],"&lt;&gt;",tblParticipants[EnrollQtr],"&gt;=1",tblParticipants[EnrollQtr],"&lt;=3",tblParticipants[HrlyWgPlmt],"&gt;0",tblParticipants[EmployQtr],3,tblParticipants[ExitQtr],3,tblParticipants[HighestEdLvl],3),0)</f>
        <v>0</v>
      </c>
      <c r="Q69" s="174">
        <f>COUNTIFS(tblParticipants[ParticipantID],"&lt;&gt;",tblParticipants[ParticipantName],"&lt;&gt;",tblParticipants[EnrollQtr],4,tblParticipants[HighestEdLvl],3)</f>
        <v>0</v>
      </c>
      <c r="R69" s="175">
        <f>COUNTIFS(tblParticipants[ParticipantID],"&lt;&gt;",tblParticipants[ParticipantName],"&lt;&gt;",tblParticipants[EnrollQtr],"&gt;=1",tblParticipants[EnrollQtr],"&lt;=4",tblParticipants[ExitQtr],4,tblParticipants[HighestEdLvl],3)</f>
        <v>0</v>
      </c>
      <c r="S69" s="175">
        <f>COUNTIFS(tblParticipants[ParticipantID],"&lt;&gt;",tblParticipants[ParticipantName],"&lt;&gt;",tblParticipants[EnrollQtr],"&gt;=1",tblParticipants[EnrollQtr],"&lt;=4",tblParticipants[HrlyWgPlmt],"&gt;0",tblParticipants[EmployQtr],4,tblParticipants[ExitQtr],4,tblParticipants[HighestEdLvl],3)</f>
        <v>0</v>
      </c>
      <c r="T69" s="194">
        <f>IFERROR(AVERAGEIFS(tblParticipants[HrlyWgPlmt],tblParticipants[ParticipantID],"&lt;&gt;",tblParticipants[ParticipantName],"&lt;&gt;",tblParticipants[EnrollQtr],"&gt;=1",tblParticipants[EnrollQtr],"&lt;=4",tblParticipants[HrlyWgPlmt],"&gt;0",tblParticipants[EmployQtr],4,tblParticipants[ExitQtr],4,tblParticipants[HighestEdLvl],3),0)</f>
        <v>0</v>
      </c>
      <c r="V69" s="152">
        <f t="shared" si="20"/>
        <v>0</v>
      </c>
      <c r="W69" s="153">
        <f t="shared" si="21"/>
        <v>0</v>
      </c>
      <c r="X69" s="153">
        <f t="shared" si="22"/>
        <v>0</v>
      </c>
      <c r="Y69" s="200">
        <f t="shared" si="23"/>
        <v>0</v>
      </c>
      <c r="Z69" s="198">
        <f t="shared" si="24"/>
        <v>0</v>
      </c>
    </row>
    <row r="70" spans="1:26" ht="28.8" x14ac:dyDescent="0.3">
      <c r="A70" s="216" t="s">
        <v>2804</v>
      </c>
      <c r="B70" s="174">
        <f>COUNTIFS(tblParticipants[EnrollQtr],1,tblParticipants[HighestEdLvl],4)</f>
        <v>0</v>
      </c>
      <c r="C70" s="175">
        <f>COUNTIFS(tblParticipants[ParticipantID],"&lt;&gt;",tblParticipants[ParticipantName],"&lt;&gt;",tblParticipants[EnrollQtr],1,tblParticipants[ExitQtr],1,tblParticipants[HighestEdLvl],4)</f>
        <v>0</v>
      </c>
      <c r="D70" s="175">
        <f>COUNTIFS(tblParticipants[ParticipantID],"&lt;&gt;",tblParticipants[ParticipantName],"&lt;&gt;",tblParticipants[EnrollQtr],1,tblParticipants[HrlyWgPlmt],"&gt;0",tblParticipants[EmployQtr],1,tblParticipants[ExitQtr],1,tblParticipants[HighestEdLvl],4)</f>
        <v>0</v>
      </c>
      <c r="E70" s="194">
        <f>IFERROR(AVERAGEIFS(tblParticipants[HrlyWgPlmt],tblParticipants[ParticipantID],"&lt;&gt;",tblParticipants[ParticipantName],"&lt;&gt;",tblParticipants[EnrollQtr],1,tblParticipants[HrlyWgPlmt],"&gt;0",tblParticipants[EmployQtr],1,tblParticipants[ExitQtr],1,tblParticipants[HighestEdLvl],4),0)</f>
        <v>0</v>
      </c>
      <c r="G70" s="174">
        <f>COUNTIFS(tblParticipants[ParticipantID],"&lt;&gt;",tblParticipants[ParticipantName],"&lt;&gt;",tblParticipants[EnrollQtr],2,tblParticipants[HighestEdLvl],4)</f>
        <v>0</v>
      </c>
      <c r="H70" s="175">
        <f>COUNTIFS(tblParticipants[ParticipantID],"&lt;&gt;",tblParticipants[ParticipantName],"&lt;&gt;",tblParticipants[EnrollQtr],"&gt;=1",tblParticipants[EnrollQtr],"&lt;=2",tblParticipants[ExitQtr],2,tblParticipants[HighestEdLvl],4)</f>
        <v>0</v>
      </c>
      <c r="I70" s="175">
        <f>COUNTIFS(tblParticipants[ParticipantID],"&lt;&gt;",tblParticipants[ParticipantName],"&lt;&gt;",tblParticipants[EnrollQtr],"&gt;=1",tblParticipants[EnrollQtr],"&lt;=4",tblParticipants[HrlyWgPlmt],"&gt;0",tblParticipants[EmployQtr],2,tblParticipants[ExitQtr],2,tblParticipants[HighestEdLvl],4)</f>
        <v>0</v>
      </c>
      <c r="J70" s="194">
        <f>IFERROR(AVERAGEIFS(tblParticipants[HrlyWgPlmt],tblParticipants[ParticipantID],"&lt;&gt;",tblParticipants[ParticipantName],"&lt;&gt;",tblParticipants[EnrollQtr],"&gt;=1",tblParticipants[EnrollQtr],"&lt;=2",tblParticipants[HrlyWgPlmt],"&gt;0",tblParticipants[EmployQtr],2,tblParticipants[ExitQtr],2,tblParticipants[HighestEdLvl],4),0)</f>
        <v>0</v>
      </c>
      <c r="L70" s="174">
        <f>COUNTIFS(tblParticipants[ParticipantID],"&lt;&gt;",tblParticipants[ParticipantName],"&lt;&gt;",tblParticipants[EnrollQtr],3,tblParticipants[HighestEdLvl],4)</f>
        <v>0</v>
      </c>
      <c r="M70" s="175">
        <f>COUNTIFS(tblParticipants[ParticipantID],"&lt;&gt;",tblParticipants[ParticipantName],"&lt;&gt;",tblParticipants[EnrollQtr],"&gt;=1",tblParticipants[EnrollQtr],"&lt;=3",tblParticipants[ExitQtr],3,tblParticipants[HighestEdLvl],4)</f>
        <v>0</v>
      </c>
      <c r="N70" s="175">
        <f>COUNTIFS(tblParticipants[ParticipantID],"&lt;&gt;",tblParticipants[ParticipantName],"&lt;&gt;",tblParticipants[EnrollQtr],"&gt;=1",tblParticipants[EnrollQtr],"&lt;=3",tblParticipants[HrlyWgPlmt],"&gt;0",tblParticipants[EmployQtr],3,tblParticipants[ExitQtr],3,tblParticipants[HighestEdLvl],4)</f>
        <v>0</v>
      </c>
      <c r="O70" s="194">
        <f>IFERROR(AVERAGEIFS(tblParticipants[HrlyWgPlmt],tblParticipants[ParticipantID],"&lt;&gt;",tblParticipants[ParticipantName],"&lt;&gt;",tblParticipants[EnrollQtr],"&gt;=1",tblParticipants[EnrollQtr],"&lt;=3",tblParticipants[HrlyWgPlmt],"&gt;0",tblParticipants[EmployQtr],3,tblParticipants[ExitQtr],3,tblParticipants[HighestEdLvl],4),0)</f>
        <v>0</v>
      </c>
      <c r="Q70" s="174">
        <f>COUNTIFS(tblParticipants[ParticipantID],"&lt;&gt;",tblParticipants[ParticipantName],"&lt;&gt;",tblParticipants[EnrollQtr],4,tblParticipants[HighestEdLvl],4)</f>
        <v>0</v>
      </c>
      <c r="R70" s="175">
        <f>COUNTIFS(tblParticipants[ParticipantID],"&lt;&gt;",tblParticipants[ParticipantName],"&lt;&gt;",tblParticipants[EnrollQtr],"&gt;=1",tblParticipants[EnrollQtr],"&lt;=4",tblParticipants[ExitQtr],4,tblParticipants[HighestEdLvl],4)</f>
        <v>0</v>
      </c>
      <c r="S70" s="175">
        <f>COUNTIFS(tblParticipants[ParticipantID],"&lt;&gt;",tblParticipants[ParticipantName],"&lt;&gt;",tblParticipants[EnrollQtr],"&gt;=1",tblParticipants[EnrollQtr],"&lt;=4",tblParticipants[HrlyWgPlmt],"&gt;0",tblParticipants[EmployQtr],4,tblParticipants[ExitQtr],4,tblParticipants[HighestEdLvl],4)</f>
        <v>0</v>
      </c>
      <c r="T70" s="194">
        <f>IFERROR(AVERAGEIFS(tblParticipants[HrlyWgPlmt],tblParticipants[ParticipantID],"&lt;&gt;",tblParticipants[ParticipantName],"&lt;&gt;",tblParticipants[EnrollQtr],"&gt;=1",tblParticipants[EnrollQtr],"&lt;=4",tblParticipants[HrlyWgPlmt],"&gt;0",tblParticipants[EmployQtr],4,tblParticipants[ExitQtr],4,tblParticipants[HighestEdLvl],4),0)</f>
        <v>0</v>
      </c>
      <c r="V70" s="152">
        <f t="shared" si="20"/>
        <v>0</v>
      </c>
      <c r="W70" s="153">
        <f t="shared" si="21"/>
        <v>0</v>
      </c>
      <c r="X70" s="153">
        <f t="shared" si="22"/>
        <v>0</v>
      </c>
      <c r="Y70" s="200">
        <f t="shared" si="23"/>
        <v>0</v>
      </c>
      <c r="Z70" s="198">
        <f t="shared" si="24"/>
        <v>0</v>
      </c>
    </row>
    <row r="71" spans="1:26" ht="28.8" x14ac:dyDescent="0.3">
      <c r="A71" s="214" t="s">
        <v>2805</v>
      </c>
      <c r="B71" s="174">
        <f>COUNTIFS(tblParticipants[EnrollQtr],1,tblParticipants[HighestEdLvl],5)</f>
        <v>0</v>
      </c>
      <c r="C71" s="175">
        <f>COUNTIFS(tblParticipants[ParticipantID],"&lt;&gt;",tblParticipants[ParticipantName],"&lt;&gt;",tblParticipants[EnrollQtr],1,tblParticipants[ExitQtr],1,tblParticipants[HighestEdLvl],5)</f>
        <v>0</v>
      </c>
      <c r="D71" s="175">
        <f>COUNTIFS(tblParticipants[ParticipantID],"&lt;&gt;",tblParticipants[ParticipantName],"&lt;&gt;",tblParticipants[EnrollQtr],1,tblParticipants[HrlyWgPlmt],"&gt;0",tblParticipants[EmployQtr],1,tblParticipants[ExitQtr],1,tblParticipants[HighestEdLvl],5)</f>
        <v>0</v>
      </c>
      <c r="E71" s="194">
        <f>IFERROR(AVERAGEIFS(tblParticipants[HrlyWgPlmt],tblParticipants[ParticipantID],"&lt;&gt;",tblParticipants[ParticipantName],"&lt;&gt;",tblParticipants[EnrollQtr],1,tblParticipants[HrlyWgPlmt],"&gt;0",tblParticipants[EmployQtr],1,tblParticipants[ExitQtr],1,tblParticipants[HighestEdLvl],5),0)</f>
        <v>0</v>
      </c>
      <c r="G71" s="174">
        <f>COUNTIFS(tblParticipants[ParticipantID],"&lt;&gt;",tblParticipants[ParticipantName],"&lt;&gt;",tblParticipants[EnrollQtr],2,tblParticipants[HighestEdLvl],5)</f>
        <v>0</v>
      </c>
      <c r="H71" s="175">
        <f>COUNTIFS(tblParticipants[ParticipantID],"&lt;&gt;",tblParticipants[ParticipantName],"&lt;&gt;",tblParticipants[EnrollQtr],"&gt;=1",tblParticipants[EnrollQtr],"&lt;=2",tblParticipants[ExitQtr],2,tblParticipants[HighestEdLvl],5)</f>
        <v>0</v>
      </c>
      <c r="I71" s="175">
        <f>COUNTIFS(tblParticipants[ParticipantID],"&lt;&gt;",tblParticipants[ParticipantName],"&lt;&gt;",tblParticipants[EnrollQtr],"&gt;=1",tblParticipants[EnrollQtr],"&lt;=4",tblParticipants[HrlyWgPlmt],"&gt;0",tblParticipants[EmployQtr],2,tblParticipants[ExitQtr],2,tblParticipants[HighestEdLvl],5)</f>
        <v>0</v>
      </c>
      <c r="J71" s="194">
        <f>IFERROR(AVERAGEIFS(tblParticipants[HrlyWgPlmt],tblParticipants[ParticipantID],"&lt;&gt;",tblParticipants[ParticipantName],"&lt;&gt;",tblParticipants[EnrollQtr],"&gt;=1",tblParticipants[EnrollQtr],"&lt;=2",tblParticipants[HrlyWgPlmt],"&gt;0",tblParticipants[EmployQtr],2,tblParticipants[ExitQtr],2,tblParticipants[HighestEdLvl],5),0)</f>
        <v>0</v>
      </c>
      <c r="L71" s="174">
        <f>COUNTIFS(tblParticipants[ParticipantID],"&lt;&gt;",tblParticipants[ParticipantName],"&lt;&gt;",tblParticipants[EnrollQtr],3,tblParticipants[HighestEdLvl],5)</f>
        <v>0</v>
      </c>
      <c r="M71" s="175">
        <f>COUNTIFS(tblParticipants[ParticipantID],"&lt;&gt;",tblParticipants[ParticipantName],"&lt;&gt;",tblParticipants[EnrollQtr],"&gt;=1",tblParticipants[EnrollQtr],"&lt;=3",tblParticipants[ExitQtr],3,tblParticipants[HighestEdLvl],5)</f>
        <v>0</v>
      </c>
      <c r="N71" s="175">
        <f>COUNTIFS(tblParticipants[ParticipantID],"&lt;&gt;",tblParticipants[ParticipantName],"&lt;&gt;",tblParticipants[EnrollQtr],"&gt;=1",tblParticipants[EnrollQtr],"&lt;=3",tblParticipants[HrlyWgPlmt],"&gt;0",tblParticipants[EmployQtr],3,tblParticipants[ExitQtr],3,tblParticipants[HighestEdLvl],5)</f>
        <v>0</v>
      </c>
      <c r="O71" s="194">
        <f>IFERROR(AVERAGEIFS(tblParticipants[HrlyWgPlmt],tblParticipants[ParticipantID],"&lt;&gt;",tblParticipants[ParticipantName],"&lt;&gt;",tblParticipants[EnrollQtr],"&gt;=1",tblParticipants[EnrollQtr],"&lt;=3",tblParticipants[HrlyWgPlmt],"&gt;0",tblParticipants[EmployQtr],3,tblParticipants[ExitQtr],3,tblParticipants[HighestEdLvl],5),0)</f>
        <v>0</v>
      </c>
      <c r="Q71" s="174">
        <f>COUNTIFS(tblParticipants[ParticipantID],"&lt;&gt;",tblParticipants[ParticipantName],"&lt;&gt;",tblParticipants[EnrollQtr],4,tblParticipants[HighestEdLvl],5)</f>
        <v>0</v>
      </c>
      <c r="R71" s="175">
        <f>COUNTIFS(tblParticipants[ParticipantID],"&lt;&gt;",tblParticipants[ParticipantName],"&lt;&gt;",tblParticipants[EnrollQtr],"&gt;=1",tblParticipants[EnrollQtr],"&lt;=4",tblParticipants[ExitQtr],4,tblParticipants[HighestEdLvl],5)</f>
        <v>0</v>
      </c>
      <c r="S71" s="175">
        <f>COUNTIFS(tblParticipants[ParticipantID],"&lt;&gt;",tblParticipants[ParticipantName],"&lt;&gt;",tblParticipants[EnrollQtr],"&gt;=1",tblParticipants[EnrollQtr],"&lt;=4",tblParticipants[HrlyWgPlmt],"&gt;0",tblParticipants[EmployQtr],4,tblParticipants[ExitQtr],4,tblParticipants[HighestEdLvl],5)</f>
        <v>0</v>
      </c>
      <c r="T71" s="194">
        <f>IFERROR(AVERAGEIFS(tblParticipants[HrlyWgPlmt],tblParticipants[ParticipantID],"&lt;&gt;",tblParticipants[ParticipantName],"&lt;&gt;",tblParticipants[EnrollQtr],"&gt;=1",tblParticipants[EnrollQtr],"&lt;=4",tblParticipants[HrlyWgPlmt],"&gt;0",tblParticipants[EmployQtr],4,tblParticipants[ExitQtr],4,tblParticipants[HighestEdLvl],5),0)</f>
        <v>0</v>
      </c>
      <c r="V71" s="152">
        <f t="shared" si="20"/>
        <v>0</v>
      </c>
      <c r="W71" s="153">
        <f t="shared" si="21"/>
        <v>0</v>
      </c>
      <c r="X71" s="153">
        <f t="shared" si="22"/>
        <v>0</v>
      </c>
      <c r="Y71" s="200">
        <f t="shared" si="23"/>
        <v>0</v>
      </c>
      <c r="Z71" s="198">
        <f t="shared" si="24"/>
        <v>0</v>
      </c>
    </row>
    <row r="72" spans="1:26" x14ac:dyDescent="0.3">
      <c r="A72" s="215" t="s">
        <v>2806</v>
      </c>
      <c r="B72" s="174">
        <f>COUNTIFS(tblParticipants[EnrollQtr],1,tblParticipants[HighestEdLvl],6)</f>
        <v>0</v>
      </c>
      <c r="C72" s="175">
        <f>COUNTIFS(tblParticipants[ParticipantID],"&lt;&gt;",tblParticipants[ParticipantName],"&lt;&gt;",tblParticipants[EnrollQtr],1,tblParticipants[ExitQtr],1,tblParticipants[HighestEdLvl],6)</f>
        <v>0</v>
      </c>
      <c r="D72" s="175">
        <f>COUNTIFS(tblParticipants[ParticipantID],"&lt;&gt;",tblParticipants[ParticipantName],"&lt;&gt;",tblParticipants[EnrollQtr],1,tblParticipants[HrlyWgPlmt],"&gt;0",tblParticipants[EmployQtr],1,tblParticipants[ExitQtr],1,tblParticipants[HighestEdLvl],6)</f>
        <v>0</v>
      </c>
      <c r="E72" s="194">
        <f>IFERROR(AVERAGEIFS(tblParticipants[HrlyWgPlmt],tblParticipants[ParticipantID],"&lt;&gt;",tblParticipants[ParticipantName],"&lt;&gt;",tblParticipants[EnrollQtr],1,tblParticipants[HrlyWgPlmt],"&gt;0",tblParticipants[EmployQtr],1,tblParticipants[ExitQtr],1,tblParticipants[HighestEdLvl],6),0)</f>
        <v>0</v>
      </c>
      <c r="G72" s="174">
        <f>COUNTIFS(tblParticipants[ParticipantID],"&lt;&gt;",tblParticipants[ParticipantName],"&lt;&gt;",tblParticipants[EnrollQtr],2,tblParticipants[HighestEdLvl],6)</f>
        <v>0</v>
      </c>
      <c r="H72" s="175">
        <f>COUNTIFS(tblParticipants[ParticipantID],"&lt;&gt;",tblParticipants[ParticipantName],"&lt;&gt;",tblParticipants[EnrollQtr],"&gt;=1",tblParticipants[EnrollQtr],"&lt;=2",tblParticipants[ExitQtr],2,tblParticipants[HighestEdLvl],6)</f>
        <v>0</v>
      </c>
      <c r="I72" s="175">
        <f>COUNTIFS(tblParticipants[ParticipantID],"&lt;&gt;",tblParticipants[ParticipantName],"&lt;&gt;",tblParticipants[EnrollQtr],"&gt;=1",tblParticipants[EnrollQtr],"&lt;=4",tblParticipants[HrlyWgPlmt],"&gt;0",tblParticipants[EmployQtr],2,tblParticipants[ExitQtr],2,tblParticipants[HighestEdLvl],6)</f>
        <v>0</v>
      </c>
      <c r="J72" s="194">
        <f>IFERROR(AVERAGEIFS(tblParticipants[HrlyWgPlmt],tblParticipants[ParticipantID],"&lt;&gt;",tblParticipants[ParticipantName],"&lt;&gt;",tblParticipants[EnrollQtr],"&gt;=1",tblParticipants[EnrollQtr],"&lt;=2",tblParticipants[HrlyWgPlmt],"&gt;0",tblParticipants[EmployQtr],2,tblParticipants[ExitQtr],2,tblParticipants[HighestEdLvl],6),0)</f>
        <v>0</v>
      </c>
      <c r="L72" s="174">
        <f>COUNTIFS(tblParticipants[ParticipantID],"&lt;&gt;",tblParticipants[ParticipantName],"&lt;&gt;",tblParticipants[EnrollQtr],3,tblParticipants[HighestEdLvl],6)</f>
        <v>0</v>
      </c>
      <c r="M72" s="175">
        <f>COUNTIFS(tblParticipants[ParticipantID],"&lt;&gt;",tblParticipants[ParticipantName],"&lt;&gt;",tblParticipants[EnrollQtr],"&gt;=1",tblParticipants[EnrollQtr],"&lt;=3",tblParticipants[ExitQtr],3,tblParticipants[HighestEdLvl],6)</f>
        <v>0</v>
      </c>
      <c r="N72" s="175">
        <f>COUNTIFS(tblParticipants[ParticipantID],"&lt;&gt;",tblParticipants[ParticipantName],"&lt;&gt;",tblParticipants[EnrollQtr],"&gt;=1",tblParticipants[EnrollQtr],"&lt;=3",tblParticipants[HrlyWgPlmt],"&gt;0",tblParticipants[EmployQtr],3,tblParticipants[ExitQtr],3,tblParticipants[HighestEdLvl],6)</f>
        <v>0</v>
      </c>
      <c r="O72" s="194">
        <f>IFERROR(AVERAGEIFS(tblParticipants[HrlyWgPlmt],tblParticipants[ParticipantID],"&lt;&gt;",tblParticipants[ParticipantName],"&lt;&gt;",tblParticipants[EnrollQtr],"&gt;=1",tblParticipants[EnrollQtr],"&lt;=3",tblParticipants[HrlyWgPlmt],"&gt;0",tblParticipants[EmployQtr],3,tblParticipants[ExitQtr],3,tblParticipants[HighestEdLvl],6),0)</f>
        <v>0</v>
      </c>
      <c r="Q72" s="174">
        <f>COUNTIFS(tblParticipants[ParticipantID],"&lt;&gt;",tblParticipants[ParticipantName],"&lt;&gt;",tblParticipants[EnrollQtr],4,tblParticipants[HighestEdLvl],6)</f>
        <v>0</v>
      </c>
      <c r="R72" s="175">
        <f>COUNTIFS(tblParticipants[ParticipantID],"&lt;&gt;",tblParticipants[ParticipantName],"&lt;&gt;",tblParticipants[EnrollQtr],"&gt;=1",tblParticipants[EnrollQtr],"&lt;=4",tblParticipants[ExitQtr],4,tblParticipants[HighestEdLvl],6)</f>
        <v>0</v>
      </c>
      <c r="S72" s="175">
        <f>COUNTIFS(tblParticipants[ParticipantID],"&lt;&gt;",tblParticipants[ParticipantName],"&lt;&gt;",tblParticipants[EnrollQtr],"&gt;=1",tblParticipants[EnrollQtr],"&lt;=4",tblParticipants[HrlyWgPlmt],"&gt;0",tblParticipants[EmployQtr],4,tblParticipants[ExitQtr],4,tblParticipants[HighestEdLvl],6)</f>
        <v>0</v>
      </c>
      <c r="T72" s="194">
        <f>IFERROR(AVERAGEIFS(tblParticipants[HrlyWgPlmt],tblParticipants[ParticipantID],"&lt;&gt;",tblParticipants[ParticipantName],"&lt;&gt;",tblParticipants[EnrollQtr],"&gt;=1",tblParticipants[EnrollQtr],"&lt;=4",tblParticipants[HrlyWgPlmt],"&gt;0",tblParticipants[EmployQtr],4,tblParticipants[ExitQtr],4,tblParticipants[HighestEdLvl],6),0)</f>
        <v>0</v>
      </c>
      <c r="V72" s="152">
        <f t="shared" si="20"/>
        <v>0</v>
      </c>
      <c r="W72" s="153">
        <f t="shared" si="21"/>
        <v>0</v>
      </c>
      <c r="X72" s="153">
        <f t="shared" si="22"/>
        <v>0</v>
      </c>
      <c r="Y72" s="200">
        <f t="shared" si="23"/>
        <v>0</v>
      </c>
      <c r="Z72" s="198">
        <f t="shared" si="24"/>
        <v>0</v>
      </c>
    </row>
    <row r="73" spans="1:26" x14ac:dyDescent="0.3">
      <c r="A73" s="215" t="s">
        <v>2807</v>
      </c>
      <c r="B73" s="174">
        <f>COUNTIFS(tblParticipants[EnrollQtr],1,tblParticipants[HighestEdLvl],7)</f>
        <v>0</v>
      </c>
      <c r="C73" s="175">
        <f>COUNTIFS(tblParticipants[ParticipantID],"&lt;&gt;",tblParticipants[ParticipantName],"&lt;&gt;",tblParticipants[EnrollQtr],1,tblParticipants[ExitQtr],1,tblParticipants[HighestEdLvl],7)</f>
        <v>0</v>
      </c>
      <c r="D73" s="175">
        <f>COUNTIFS(tblParticipants[ParticipantID],"&lt;&gt;",tblParticipants[ParticipantName],"&lt;&gt;",tblParticipants[EnrollQtr],1,tblParticipants[HrlyWgPlmt],"&gt;0",tblParticipants[EmployQtr],1,tblParticipants[ExitQtr],1,tblParticipants[HighestEdLvl],7)</f>
        <v>0</v>
      </c>
      <c r="E73" s="194">
        <f>IFERROR(AVERAGEIFS(tblParticipants[HrlyWgPlmt],tblParticipants[ParticipantID],"&lt;&gt;",tblParticipants[ParticipantName],"&lt;&gt;",tblParticipants[EnrollQtr],1,tblParticipants[HrlyWgPlmt],"&gt;0",tblParticipants[EmployQtr],1,tblParticipants[ExitQtr],1,tblParticipants[HighestEdLvl],7),0)</f>
        <v>0</v>
      </c>
      <c r="G73" s="174">
        <f>COUNTIFS(tblParticipants[ParticipantID],"&lt;&gt;",tblParticipants[ParticipantName],"&lt;&gt;",tblParticipants[EnrollQtr],2,tblParticipants[HighestEdLvl],7)</f>
        <v>0</v>
      </c>
      <c r="H73" s="175">
        <f>COUNTIFS(tblParticipants[ParticipantID],"&lt;&gt;",tblParticipants[ParticipantName],"&lt;&gt;",tblParticipants[EnrollQtr],"&gt;=1",tblParticipants[EnrollQtr],"&lt;=2",tblParticipants[ExitQtr],2,tblParticipants[HighestEdLvl],7)</f>
        <v>0</v>
      </c>
      <c r="I73" s="175">
        <f>COUNTIFS(tblParticipants[ParticipantID],"&lt;&gt;",tblParticipants[ParticipantName],"&lt;&gt;",tblParticipants[EnrollQtr],"&gt;=1",tblParticipants[EnrollQtr],"&lt;=4",tblParticipants[HrlyWgPlmt],"&gt;0",tblParticipants[EmployQtr],2,tblParticipants[ExitQtr],2,tblParticipants[HighestEdLvl],7)</f>
        <v>0</v>
      </c>
      <c r="J73" s="194">
        <f>IFERROR(AVERAGEIFS(tblParticipants[HrlyWgPlmt],tblParticipants[ParticipantID],"&lt;&gt;",tblParticipants[ParticipantName],"&lt;&gt;",tblParticipants[EnrollQtr],"&gt;=1",tblParticipants[EnrollQtr],"&lt;=2",tblParticipants[HrlyWgPlmt],"&gt;0",tblParticipants[EmployQtr],2,tblParticipants[ExitQtr],2,tblParticipants[HighestEdLvl],7),0)</f>
        <v>0</v>
      </c>
      <c r="L73" s="174">
        <f>COUNTIFS(tblParticipants[ParticipantID],"&lt;&gt;",tblParticipants[ParticipantName],"&lt;&gt;",tblParticipants[EnrollQtr],3,tblParticipants[HighestEdLvl],7)</f>
        <v>0</v>
      </c>
      <c r="M73" s="175">
        <f>COUNTIFS(tblParticipants[ParticipantID],"&lt;&gt;",tblParticipants[ParticipantName],"&lt;&gt;",tblParticipants[EnrollQtr],"&gt;=1",tblParticipants[EnrollQtr],"&lt;=3",tblParticipants[ExitQtr],3,tblParticipants[HighestEdLvl],7)</f>
        <v>0</v>
      </c>
      <c r="N73" s="175">
        <f>COUNTIFS(tblParticipants[ParticipantID],"&lt;&gt;",tblParticipants[ParticipantName],"&lt;&gt;",tblParticipants[EnrollQtr],"&gt;=1",tblParticipants[EnrollQtr],"&lt;=3",tblParticipants[HrlyWgPlmt],"&gt;0",tblParticipants[EmployQtr],3,tblParticipants[ExitQtr],3,tblParticipants[HighestEdLvl],7)</f>
        <v>0</v>
      </c>
      <c r="O73" s="194">
        <f>IFERROR(AVERAGEIFS(tblParticipants[HrlyWgPlmt],tblParticipants[ParticipantID],"&lt;&gt;",tblParticipants[ParticipantName],"&lt;&gt;",tblParticipants[EnrollQtr],"&gt;=1",tblParticipants[EnrollQtr],"&lt;=3",tblParticipants[HrlyWgPlmt],"&gt;0",tblParticipants[EmployQtr],3,tblParticipants[ExitQtr],3,tblParticipants[HighestEdLvl],7),0)</f>
        <v>0</v>
      </c>
      <c r="Q73" s="174">
        <f>COUNTIFS(tblParticipants[ParticipantID],"&lt;&gt;",tblParticipants[ParticipantName],"&lt;&gt;",tblParticipants[EnrollQtr],4,tblParticipants[HighestEdLvl],7)</f>
        <v>0</v>
      </c>
      <c r="R73" s="175">
        <f>COUNTIFS(tblParticipants[ParticipantID],"&lt;&gt;",tblParticipants[ParticipantName],"&lt;&gt;",tblParticipants[EnrollQtr],"&gt;=1",tblParticipants[EnrollQtr],"&lt;=4",tblParticipants[ExitQtr],4,tblParticipants[HighestEdLvl],7)</f>
        <v>0</v>
      </c>
      <c r="S73" s="175">
        <f>COUNTIFS(tblParticipants[ParticipantID],"&lt;&gt;",tblParticipants[ParticipantName],"&lt;&gt;",tblParticipants[EnrollQtr],"&gt;=1",tblParticipants[EnrollQtr],"&lt;=4",tblParticipants[HrlyWgPlmt],"&gt;0",tblParticipants[EmployQtr],4,tblParticipants[ExitQtr],4,tblParticipants[HighestEdLvl],7)</f>
        <v>0</v>
      </c>
      <c r="T73" s="194">
        <f>IFERROR(AVERAGEIFS(tblParticipants[HrlyWgPlmt],tblParticipants[ParticipantID],"&lt;&gt;",tblParticipants[ParticipantName],"&lt;&gt;",tblParticipants[EnrollQtr],"&gt;=1",tblParticipants[EnrollQtr],"&lt;=4",tblParticipants[HrlyWgPlmt],"&gt;0",tblParticipants[EmployQtr],4,tblParticipants[ExitQtr],4,tblParticipants[HighestEdLvl],7),0)</f>
        <v>0</v>
      </c>
      <c r="V73" s="152">
        <f t="shared" si="20"/>
        <v>0</v>
      </c>
      <c r="W73" s="153">
        <f t="shared" si="21"/>
        <v>0</v>
      </c>
      <c r="X73" s="153">
        <f t="shared" si="22"/>
        <v>0</v>
      </c>
      <c r="Y73" s="200">
        <f t="shared" si="23"/>
        <v>0</v>
      </c>
      <c r="Z73" s="198">
        <f t="shared" si="24"/>
        <v>0</v>
      </c>
    </row>
    <row r="74" spans="1:26" x14ac:dyDescent="0.3">
      <c r="A74" s="215" t="s">
        <v>2808</v>
      </c>
      <c r="B74" s="174">
        <f>COUNTIFS(tblParticipants[EnrollQtr],1,tblParticipants[HighestEdLvl],8)</f>
        <v>0</v>
      </c>
      <c r="C74" s="175">
        <f>COUNTIFS(tblParticipants[ParticipantID],"&lt;&gt;",tblParticipants[ParticipantName],"&lt;&gt;",tblParticipants[EnrollQtr],1,tblParticipants[ExitQtr],1,tblParticipants[HighestEdLvl],8)</f>
        <v>0</v>
      </c>
      <c r="D74" s="175">
        <f>COUNTIFS(tblParticipants[ParticipantID],"&lt;&gt;",tblParticipants[ParticipantName],"&lt;&gt;",tblParticipants[EnrollQtr],1,tblParticipants[HrlyWgPlmt],"&gt;0",tblParticipants[EmployQtr],1,tblParticipants[ExitQtr],1,tblParticipants[HighestEdLvl],8)</f>
        <v>0</v>
      </c>
      <c r="E74" s="194">
        <f>IFERROR(AVERAGEIFS(tblParticipants[HrlyWgPlmt],tblParticipants[ParticipantID],"&lt;&gt;",tblParticipants[ParticipantName],"&lt;&gt;",tblParticipants[EnrollQtr],1,tblParticipants[HrlyWgPlmt],"&gt;0",tblParticipants[EmployQtr],1,tblParticipants[ExitQtr],1,tblParticipants[HighestEdLvl],8),0)</f>
        <v>0</v>
      </c>
      <c r="G74" s="174">
        <f>COUNTIFS(tblParticipants[ParticipantID],"&lt;&gt;",tblParticipants[ParticipantName],"&lt;&gt;",tblParticipants[EnrollQtr],2,tblParticipants[HighestEdLvl],8)</f>
        <v>0</v>
      </c>
      <c r="H74" s="175">
        <f>COUNTIFS(tblParticipants[ParticipantID],"&lt;&gt;",tblParticipants[ParticipantName],"&lt;&gt;",tblParticipants[EnrollQtr],"&gt;=1",tblParticipants[EnrollQtr],"&lt;=2",tblParticipants[ExitQtr],2,tblParticipants[HighestEdLvl],8)</f>
        <v>0</v>
      </c>
      <c r="I74" s="175">
        <f>COUNTIFS(tblParticipants[ParticipantID],"&lt;&gt;",tblParticipants[ParticipantName],"&lt;&gt;",tblParticipants[EnrollQtr],"&gt;=1",tblParticipants[EnrollQtr],"&lt;=4",tblParticipants[HrlyWgPlmt],"&gt;0",tblParticipants[EmployQtr],2,tblParticipants[ExitQtr],2,tblParticipants[HighestEdLvl],8)</f>
        <v>0</v>
      </c>
      <c r="J74" s="194">
        <f>IFERROR(AVERAGEIFS(tblParticipants[HrlyWgPlmt],tblParticipants[ParticipantID],"&lt;&gt;",tblParticipants[ParticipantName],"&lt;&gt;",tblParticipants[EnrollQtr],"&gt;=1",tblParticipants[EnrollQtr],"&lt;=2",tblParticipants[HrlyWgPlmt],"&gt;0",tblParticipants[EmployQtr],2,tblParticipants[ExitQtr],2,tblParticipants[HighestEdLvl],8),0)</f>
        <v>0</v>
      </c>
      <c r="L74" s="174">
        <f>COUNTIFS(tblParticipants[ParticipantID],"&lt;&gt;",tblParticipants[ParticipantName],"&lt;&gt;",tblParticipants[EnrollQtr],3,tblParticipants[HighestEdLvl],8)</f>
        <v>0</v>
      </c>
      <c r="M74" s="175">
        <f>COUNTIFS(tblParticipants[ParticipantID],"&lt;&gt;",tblParticipants[ParticipantName],"&lt;&gt;",tblParticipants[EnrollQtr],"&gt;=1",tblParticipants[EnrollQtr],"&lt;=3",tblParticipants[ExitQtr],3,tblParticipants[HighestEdLvl],8)</f>
        <v>0</v>
      </c>
      <c r="N74" s="175">
        <f>COUNTIFS(tblParticipants[ParticipantID],"&lt;&gt;",tblParticipants[ParticipantName],"&lt;&gt;",tblParticipants[EnrollQtr],"&gt;=1",tblParticipants[EnrollQtr],"&lt;=3",tblParticipants[HrlyWgPlmt],"&gt;0",tblParticipants[EmployQtr],3,tblParticipants[ExitQtr],3,tblParticipants[HighestEdLvl],8)</f>
        <v>0</v>
      </c>
      <c r="O74" s="194">
        <f>IFERROR(AVERAGEIFS(tblParticipants[HrlyWgPlmt],tblParticipants[ParticipantID],"&lt;&gt;",tblParticipants[ParticipantName],"&lt;&gt;",tblParticipants[EnrollQtr],"&gt;=1",tblParticipants[EnrollQtr],"&lt;=3",tblParticipants[HrlyWgPlmt],"&gt;0",tblParticipants[EmployQtr],3,tblParticipants[ExitQtr],3,tblParticipants[HighestEdLvl],8),0)</f>
        <v>0</v>
      </c>
      <c r="Q74" s="174">
        <f>COUNTIFS(tblParticipants[ParticipantID],"&lt;&gt;",tblParticipants[ParticipantName],"&lt;&gt;",tblParticipants[EnrollQtr],4,tblParticipants[HighestEdLvl],8)</f>
        <v>0</v>
      </c>
      <c r="R74" s="175">
        <f>COUNTIFS(tblParticipants[ParticipantID],"&lt;&gt;",tblParticipants[ParticipantName],"&lt;&gt;",tblParticipants[EnrollQtr],"&gt;=1",tblParticipants[EnrollQtr],"&lt;=4",tblParticipants[ExitQtr],4,tblParticipants[HighestEdLvl],8)</f>
        <v>0</v>
      </c>
      <c r="S74" s="175">
        <f>COUNTIFS(tblParticipants[ParticipantID],"&lt;&gt;",tblParticipants[ParticipantName],"&lt;&gt;",tblParticipants[EnrollQtr],"&gt;=1",tblParticipants[EnrollQtr],"&lt;=4",tblParticipants[HrlyWgPlmt],"&gt;0",tblParticipants[EmployQtr],4,tblParticipants[ExitQtr],4,tblParticipants[HighestEdLvl],8)</f>
        <v>0</v>
      </c>
      <c r="T74" s="194">
        <f>IFERROR(AVERAGEIFS(tblParticipants[HrlyWgPlmt],tblParticipants[ParticipantID],"&lt;&gt;",tblParticipants[ParticipantName],"&lt;&gt;",tblParticipants[EnrollQtr],"&gt;=1",tblParticipants[EnrollQtr],"&lt;=4",tblParticipants[HrlyWgPlmt],"&gt;0",tblParticipants[EmployQtr],4,tblParticipants[ExitQtr],4,tblParticipants[HighestEdLvl],8),0)</f>
        <v>0</v>
      </c>
      <c r="V74" s="152">
        <f t="shared" si="20"/>
        <v>0</v>
      </c>
      <c r="W74" s="153">
        <f t="shared" si="21"/>
        <v>0</v>
      </c>
      <c r="X74" s="153">
        <f t="shared" si="22"/>
        <v>0</v>
      </c>
      <c r="Y74" s="200">
        <f t="shared" si="23"/>
        <v>0</v>
      </c>
      <c r="Z74" s="198">
        <f t="shared" si="24"/>
        <v>0</v>
      </c>
    </row>
    <row r="75" spans="1:26" x14ac:dyDescent="0.3">
      <c r="A75" s="215" t="s">
        <v>2551</v>
      </c>
      <c r="B75" s="174">
        <f>COUNTIFS(tblParticipants[EnrollQtr],1,tblParticipants[HighestEdLvl],0)</f>
        <v>0</v>
      </c>
      <c r="C75" s="175">
        <f>COUNTIFS(tblParticipants[ParticipantID],"&lt;&gt;",tblParticipants[ParticipantName],"&lt;&gt;",tblParticipants[EnrollQtr],1,tblParticipants[ExitQtr],1,tblParticipants[HighestEdLvl],0)</f>
        <v>0</v>
      </c>
      <c r="D75" s="175">
        <f>COUNTIFS(tblParticipants[ParticipantID],"&lt;&gt;",tblParticipants[ParticipantName],"&lt;&gt;",tblParticipants[EnrollQtr],1,tblParticipants[HrlyWgPlmt],"&gt;0",tblParticipants[EmployQtr],1,tblParticipants[ExitQtr],1,tblParticipants[HighestEdLvl],0)</f>
        <v>0</v>
      </c>
      <c r="E75" s="194">
        <f>IFERROR(AVERAGEIFS(tblParticipants[HrlyWgPlmt],tblParticipants[ParticipantID],"&lt;&gt;",tblParticipants[ParticipantName],"&lt;&gt;",tblParticipants[EnrollQtr],1,tblParticipants[HrlyWgPlmt],"&gt;0",tblParticipants[EmployQtr],1,tblParticipants[ExitQtr],1,tblParticipants[HighestEdLvl],0),0)</f>
        <v>0</v>
      </c>
      <c r="G75" s="174">
        <f>COUNTIFS(tblParticipants[ParticipantID],"&lt;&gt;",tblParticipants[ParticipantName],"&lt;&gt;",tblParticipants[EnrollQtr],2,tblParticipants[HighestEdLvl],0)</f>
        <v>0</v>
      </c>
      <c r="H75" s="175">
        <f>COUNTIFS(tblParticipants[ParticipantID],"&lt;&gt;",tblParticipants[ParticipantName],"&lt;&gt;",tblParticipants[EnrollQtr],"&gt;=1",tblParticipants[EnrollQtr],"&lt;=2",tblParticipants[ExitQtr],2,tblParticipants[HighestEdLvl],0)</f>
        <v>0</v>
      </c>
      <c r="I75" s="175">
        <f>COUNTIFS(tblParticipants[ParticipantID],"&lt;&gt;",tblParticipants[ParticipantName],"&lt;&gt;",tblParticipants[EnrollQtr],"&gt;=1",tblParticipants[EnrollQtr],"&lt;=4",tblParticipants[HrlyWgPlmt],"&gt;0",tblParticipants[EmployQtr],2,tblParticipants[ExitQtr],2,tblParticipants[HighestEdLvl],0)</f>
        <v>0</v>
      </c>
      <c r="J75" s="194">
        <f>IFERROR(AVERAGEIFS(tblParticipants[HrlyWgPlmt],tblParticipants[ParticipantID],"&lt;&gt;",tblParticipants[ParticipantName],"&lt;&gt;",tblParticipants[EnrollQtr],"&gt;=1",tblParticipants[EnrollQtr],"&lt;=2",tblParticipants[HrlyWgPlmt],"&gt;0",tblParticipants[EmployQtr],2,tblParticipants[ExitQtr],2,tblParticipants[HighestEdLvl],0),0)</f>
        <v>0</v>
      </c>
      <c r="L75" s="174">
        <f>COUNTIFS(tblParticipants[ParticipantID],"&lt;&gt;",tblParticipants[ParticipantName],"&lt;&gt;",tblParticipants[EnrollQtr],3,tblParticipants[HighestEdLvl],0)</f>
        <v>0</v>
      </c>
      <c r="M75" s="175">
        <f>COUNTIFS(tblParticipants[ParticipantID],"&lt;&gt;",tblParticipants[ParticipantName],"&lt;&gt;",tblParticipants[EnrollQtr],"&gt;=1",tblParticipants[EnrollQtr],"&lt;=3",tblParticipants[ExitQtr],3,tblParticipants[HighestEdLvl],0)</f>
        <v>0</v>
      </c>
      <c r="N75" s="175">
        <f>COUNTIFS(tblParticipants[ParticipantID],"&lt;&gt;",tblParticipants[ParticipantName],"&lt;&gt;",tblParticipants[EnrollQtr],"&gt;=1",tblParticipants[EnrollQtr],"&lt;=3",tblParticipants[HrlyWgPlmt],"&gt;0",tblParticipants[EmployQtr],3,tblParticipants[ExitQtr],3,tblParticipants[HighestEdLvl],0)</f>
        <v>0</v>
      </c>
      <c r="O75" s="194">
        <f>IFERROR(AVERAGEIFS(tblParticipants[HrlyWgPlmt],tblParticipants[ParticipantID],"&lt;&gt;",tblParticipants[ParticipantName],"&lt;&gt;",tblParticipants[EnrollQtr],"&gt;=1",tblParticipants[EnrollQtr],"&lt;=3",tblParticipants[HrlyWgPlmt],"&gt;0",tblParticipants[EmployQtr],3,tblParticipants[ExitQtr],3,tblParticipants[HighestEdLvl],0),0)</f>
        <v>0</v>
      </c>
      <c r="Q75" s="174">
        <f>COUNTIFS(tblParticipants[ParticipantID],"&lt;&gt;",tblParticipants[ParticipantName],"&lt;&gt;",tblParticipants[EnrollQtr],4,tblParticipants[HighestEdLvl],0)</f>
        <v>0</v>
      </c>
      <c r="R75" s="175">
        <f>COUNTIFS(tblParticipants[ParticipantID],"&lt;&gt;",tblParticipants[ParticipantName],"&lt;&gt;",tblParticipants[EnrollQtr],"&gt;=1",tblParticipants[EnrollQtr],"&lt;=4",tblParticipants[ExitQtr],4,tblParticipants[HighestEdLvl],0)</f>
        <v>0</v>
      </c>
      <c r="S75" s="175">
        <f>COUNTIFS(tblParticipants[ParticipantID],"&lt;&gt;",tblParticipants[ParticipantName],"&lt;&gt;",tblParticipants[EnrollQtr],"&gt;=1",tblParticipants[EnrollQtr],"&lt;=4",tblParticipants[HrlyWgPlmt],"&gt;0",tblParticipants[EmployQtr],4,tblParticipants[ExitQtr],4,tblParticipants[HighestEdLvl],0)</f>
        <v>0</v>
      </c>
      <c r="T75" s="194">
        <f>IFERROR(AVERAGEIFS(tblParticipants[HrlyWgPlmt],tblParticipants[ParticipantID],"&lt;&gt;",tblParticipants[ParticipantName],"&lt;&gt;",tblParticipants[EnrollQtr],"&gt;=1",tblParticipants[EnrollQtr],"&lt;=4",tblParticipants[HrlyWgPlmt],"&gt;0",tblParticipants[EmployQtr],4,tblParticipants[ExitQtr],4,tblParticipants[HighestEdLvl],0),0)</f>
        <v>0</v>
      </c>
      <c r="V75" s="152">
        <f t="shared" si="20"/>
        <v>0</v>
      </c>
      <c r="W75" s="153">
        <f t="shared" si="21"/>
        <v>0</v>
      </c>
      <c r="X75" s="153">
        <f t="shared" si="22"/>
        <v>0</v>
      </c>
      <c r="Y75" s="200">
        <f t="shared" si="23"/>
        <v>0</v>
      </c>
      <c r="Z75" s="198">
        <f t="shared" si="24"/>
        <v>0</v>
      </c>
    </row>
    <row r="76" spans="1:26" x14ac:dyDescent="0.3">
      <c r="A76" s="156"/>
    </row>
  </sheetData>
  <sheetProtection algorithmName="SHA-512" hashValue="MgClC/HF6Qzvtjt1dZ5Acf2pdG4LoLwDpN2WumI5dzL0O3VM6uRCBV1ThvzRSSms+o0c1x5RWa1+WAVeMKny8Q==" saltValue="8ExsUhyplqAT///zaY1tkg==" spinCount="100000" sheet="1" objects="1" scenarios="1" formatColumns="0" formatRows="0"/>
  <mergeCells count="10">
    <mergeCell ref="A3:A4"/>
    <mergeCell ref="V3:Z4"/>
    <mergeCell ref="B4:E4"/>
    <mergeCell ref="B3:E3"/>
    <mergeCell ref="G4:J4"/>
    <mergeCell ref="L4:O4"/>
    <mergeCell ref="Q4:T4"/>
    <mergeCell ref="G3:J3"/>
    <mergeCell ref="L3:O3"/>
    <mergeCell ref="Q3:T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Rollup"/>
  <dimension ref="A1:AY43"/>
  <sheetViews>
    <sheetView workbookViewId="0">
      <pane xSplit="3" ySplit="4" topLeftCell="D5" activePane="bottomRight" state="frozen"/>
      <selection pane="topRight" activeCell="D1" sqref="D1"/>
      <selection pane="bottomLeft" activeCell="A5" sqref="A5"/>
      <selection pane="bottomRight" activeCell="D11" sqref="D11"/>
    </sheetView>
  </sheetViews>
  <sheetFormatPr defaultRowHeight="14.4" x14ac:dyDescent="0.3"/>
  <cols>
    <col min="1" max="1" width="4.6640625" customWidth="1"/>
    <col min="3" max="3" width="66.6640625" customWidth="1"/>
    <col min="4" max="4" width="11.44140625" customWidth="1"/>
    <col min="5" max="5" width="15.6640625" customWidth="1"/>
    <col min="6" max="6" width="10.109375" customWidth="1"/>
    <col min="7" max="7" width="14.109375" customWidth="1"/>
    <col min="8" max="8" width="16.33203125" customWidth="1"/>
    <col min="9" max="9" width="17.5546875" customWidth="1"/>
    <col min="10" max="10" width="16" customWidth="1"/>
    <col min="11" max="11" width="18.44140625" customWidth="1"/>
    <col min="12" max="12" width="14.5546875" customWidth="1"/>
    <col min="13" max="13" width="13.5546875" customWidth="1"/>
    <col min="14" max="14" width="14.88671875" customWidth="1"/>
    <col min="15" max="15" width="12.88671875" customWidth="1"/>
    <col min="16" max="16" width="14" customWidth="1"/>
    <col min="17" max="17" width="17" customWidth="1"/>
    <col min="18" max="18" width="13.5546875" customWidth="1"/>
    <col min="19" max="19" width="14.6640625" customWidth="1"/>
    <col min="20" max="20" width="15.6640625" customWidth="1"/>
    <col min="21" max="21" width="11.109375" bestFit="1" customWidth="1"/>
    <col min="22" max="22" width="13.88671875" customWidth="1"/>
    <col min="23" max="23" width="16.6640625" customWidth="1"/>
    <col min="24" max="24" width="12.88671875" customWidth="1"/>
    <col min="49" max="49" width="13.5546875" customWidth="1"/>
    <col min="50" max="50" width="16.44140625" customWidth="1"/>
    <col min="51" max="51" width="11.109375" bestFit="1" customWidth="1"/>
  </cols>
  <sheetData>
    <row r="1" spans="1:51" x14ac:dyDescent="0.3">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row>
    <row r="2" spans="1:51" ht="18" x14ac:dyDescent="0.35">
      <c r="A2" s="27"/>
      <c r="B2" s="1173" t="str">
        <f>CONCATENATE("PY ",conProgYear," Goals vs. Actuals")</f>
        <v>PY 2020 Goals vs. Actuals</v>
      </c>
      <c r="C2" s="1173"/>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row>
    <row r="3" spans="1:51" x14ac:dyDescent="0.3">
      <c r="A3" s="27"/>
      <c r="B3" s="31"/>
      <c r="C3" s="27"/>
      <c r="D3" s="1169" t="s">
        <v>2891</v>
      </c>
      <c r="E3" s="1170"/>
      <c r="F3" s="1171"/>
      <c r="G3" s="1167" t="s">
        <v>2892</v>
      </c>
      <c r="H3" s="1168"/>
      <c r="I3" s="1168"/>
      <c r="J3" s="1167" t="s">
        <v>2893</v>
      </c>
      <c r="K3" s="1168"/>
      <c r="L3" s="1168"/>
      <c r="M3" s="1167" t="s">
        <v>2895</v>
      </c>
      <c r="N3" s="1168"/>
      <c r="O3" s="1172"/>
      <c r="P3" s="1167" t="s">
        <v>2896</v>
      </c>
      <c r="Q3" s="1168"/>
      <c r="R3" s="1168"/>
      <c r="S3" s="1165" t="s">
        <v>2897</v>
      </c>
      <c r="T3" s="1166"/>
      <c r="U3" s="1166"/>
      <c r="V3" s="1167" t="s">
        <v>2898</v>
      </c>
      <c r="W3" s="1168"/>
      <c r="X3" s="1168"/>
      <c r="Y3" s="1167" t="s">
        <v>2899</v>
      </c>
      <c r="Z3" s="1168"/>
      <c r="AA3" s="1172"/>
      <c r="AB3" s="1167" t="s">
        <v>2900</v>
      </c>
      <c r="AC3" s="1168"/>
      <c r="AD3" s="1168"/>
      <c r="AE3" s="1167" t="s">
        <v>2901</v>
      </c>
      <c r="AF3" s="1168"/>
      <c r="AG3" s="1168"/>
      <c r="AH3" s="1167" t="s">
        <v>2902</v>
      </c>
      <c r="AI3" s="1168"/>
      <c r="AJ3" s="1168"/>
      <c r="AK3" s="1165" t="s">
        <v>2903</v>
      </c>
      <c r="AL3" s="1166"/>
      <c r="AM3" s="1166"/>
      <c r="AN3" s="1167" t="s">
        <v>2904</v>
      </c>
      <c r="AO3" s="1168"/>
      <c r="AP3" s="1172"/>
      <c r="AQ3" s="1167" t="s">
        <v>2905</v>
      </c>
      <c r="AR3" s="1168"/>
      <c r="AS3" s="1172"/>
      <c r="AT3" s="1167" t="s">
        <v>2906</v>
      </c>
      <c r="AU3" s="1168"/>
      <c r="AV3" s="1168"/>
      <c r="AW3" s="1165" t="s">
        <v>2907</v>
      </c>
      <c r="AX3" s="1166"/>
      <c r="AY3" s="1166"/>
    </row>
    <row r="4" spans="1:51" x14ac:dyDescent="0.3">
      <c r="A4" s="27"/>
      <c r="B4" s="65"/>
      <c r="C4" s="341"/>
      <c r="D4" s="331" t="s">
        <v>2888</v>
      </c>
      <c r="E4" s="331" t="s">
        <v>2889</v>
      </c>
      <c r="F4" s="332" t="s">
        <v>2890</v>
      </c>
      <c r="G4" s="333" t="s">
        <v>2888</v>
      </c>
      <c r="H4" s="332" t="s">
        <v>2889</v>
      </c>
      <c r="I4" s="334" t="s">
        <v>2890</v>
      </c>
      <c r="J4" s="285" t="s">
        <v>2894</v>
      </c>
      <c r="K4" s="334" t="s">
        <v>2889</v>
      </c>
      <c r="L4" s="285" t="s">
        <v>2890</v>
      </c>
      <c r="M4" s="335" t="s">
        <v>2888</v>
      </c>
      <c r="N4" s="335" t="s">
        <v>2889</v>
      </c>
      <c r="O4" s="331" t="s">
        <v>2890</v>
      </c>
      <c r="P4" s="336" t="s">
        <v>2894</v>
      </c>
      <c r="Q4" s="292" t="s">
        <v>2889</v>
      </c>
      <c r="R4" s="337" t="s">
        <v>2890</v>
      </c>
      <c r="S4" s="338" t="s">
        <v>2894</v>
      </c>
      <c r="T4" s="338" t="s">
        <v>2889</v>
      </c>
      <c r="U4" s="337" t="s">
        <v>2890</v>
      </c>
      <c r="V4" s="339" t="s">
        <v>2888</v>
      </c>
      <c r="W4" s="338" t="s">
        <v>2889</v>
      </c>
      <c r="X4" s="338" t="s">
        <v>2890</v>
      </c>
      <c r="Y4" s="339" t="s">
        <v>2888</v>
      </c>
      <c r="Z4" s="339" t="s">
        <v>2889</v>
      </c>
      <c r="AA4" s="337" t="s">
        <v>2890</v>
      </c>
      <c r="AB4" s="340" t="s">
        <v>2894</v>
      </c>
      <c r="AC4" s="292" t="s">
        <v>2889</v>
      </c>
      <c r="AD4" s="338" t="s">
        <v>2890</v>
      </c>
      <c r="AE4" s="292" t="s">
        <v>2894</v>
      </c>
      <c r="AF4" s="338" t="s">
        <v>2889</v>
      </c>
      <c r="AG4" s="338" t="s">
        <v>2890</v>
      </c>
      <c r="AH4" s="335" t="s">
        <v>2894</v>
      </c>
      <c r="AI4" s="339" t="s">
        <v>2889</v>
      </c>
      <c r="AJ4" s="337" t="s">
        <v>2890</v>
      </c>
      <c r="AK4" s="337" t="s">
        <v>2894</v>
      </c>
      <c r="AL4" s="338" t="s">
        <v>2889</v>
      </c>
      <c r="AM4" s="337" t="s">
        <v>2890</v>
      </c>
      <c r="AN4" s="339" t="s">
        <v>2888</v>
      </c>
      <c r="AO4" s="339" t="s">
        <v>2889</v>
      </c>
      <c r="AP4" s="339" t="s">
        <v>2890</v>
      </c>
      <c r="AQ4" s="339" t="s">
        <v>2894</v>
      </c>
      <c r="AR4" s="339" t="s">
        <v>2889</v>
      </c>
      <c r="AS4" s="338" t="s">
        <v>2890</v>
      </c>
      <c r="AT4" s="339" t="s">
        <v>2888</v>
      </c>
      <c r="AU4" s="339" t="s">
        <v>2889</v>
      </c>
      <c r="AV4" s="337" t="s">
        <v>2890</v>
      </c>
      <c r="AW4" s="338" t="s">
        <v>2888</v>
      </c>
      <c r="AX4" s="337" t="s">
        <v>2889</v>
      </c>
      <c r="AY4" s="337" t="s">
        <v>2890</v>
      </c>
    </row>
    <row r="5" spans="1:51" x14ac:dyDescent="0.3">
      <c r="A5" s="31"/>
      <c r="B5" s="409" t="s">
        <v>2837</v>
      </c>
      <c r="C5" s="315"/>
      <c r="D5" s="316"/>
      <c r="E5" s="317"/>
      <c r="F5" s="325"/>
      <c r="G5" s="324"/>
      <c r="H5" s="318"/>
      <c r="I5" s="319"/>
      <c r="J5" s="326"/>
      <c r="K5" s="319"/>
      <c r="L5" s="319"/>
      <c r="M5" s="326"/>
      <c r="N5" s="316"/>
      <c r="O5" s="320"/>
      <c r="P5" s="327"/>
      <c r="Q5" s="321"/>
      <c r="R5" s="321"/>
      <c r="S5" s="328"/>
      <c r="T5" s="321"/>
      <c r="U5" s="321"/>
      <c r="V5" s="328"/>
      <c r="W5" s="322"/>
      <c r="X5" s="330"/>
      <c r="Y5" s="329"/>
      <c r="Z5" s="321"/>
      <c r="AA5" s="321"/>
      <c r="AB5" s="328"/>
      <c r="AC5" s="323"/>
      <c r="AD5" s="321"/>
      <c r="AE5" s="328"/>
      <c r="AF5" s="321"/>
      <c r="AG5" s="330"/>
      <c r="AH5" s="320"/>
      <c r="AI5" s="321"/>
      <c r="AJ5" s="321"/>
      <c r="AK5" s="328"/>
      <c r="AL5" s="321"/>
      <c r="AM5" s="321"/>
      <c r="AN5" s="328"/>
      <c r="AO5" s="321"/>
      <c r="AP5" s="321"/>
      <c r="AQ5" s="328"/>
      <c r="AR5" s="321"/>
      <c r="AS5" s="321"/>
      <c r="AT5" s="328"/>
      <c r="AU5" s="322"/>
      <c r="AV5" s="321"/>
      <c r="AW5" s="328"/>
      <c r="AX5" s="322"/>
      <c r="AY5" s="321"/>
    </row>
    <row r="6" spans="1:51" x14ac:dyDescent="0.3">
      <c r="A6" s="27"/>
      <c r="B6" s="343" t="s">
        <v>2643</v>
      </c>
      <c r="C6" s="342" t="s">
        <v>2863</v>
      </c>
      <c r="D6" s="350"/>
      <c r="E6" s="346">
        <f>IFERROR(ROUND('VETS-701 Tech Perf Report'!AC14,0),0)</f>
        <v>0</v>
      </c>
      <c r="F6" s="351"/>
      <c r="G6" s="404"/>
      <c r="H6" s="346">
        <f>IFERROR(ROUND('VETS-701 Tech Perf Report'!AK14,0),0)</f>
        <v>0</v>
      </c>
      <c r="I6" s="351"/>
      <c r="J6" s="404"/>
      <c r="K6" s="346">
        <f>'VETS-701 Tech Perf Report'!DC14</f>
        <v>0</v>
      </c>
      <c r="L6" s="403"/>
      <c r="M6" s="350"/>
      <c r="N6" s="346">
        <f>IFERROR(ROUND('VETS-701 Tech Perf Report'!AS14,0),0)</f>
        <v>0</v>
      </c>
      <c r="O6" s="351"/>
      <c r="P6" s="402"/>
      <c r="Q6" s="346">
        <f>'VETS-701 Tech Perf Report'!DD14</f>
        <v>0</v>
      </c>
      <c r="R6" s="343"/>
      <c r="S6" s="401"/>
      <c r="T6" s="346">
        <f>IFERROR(ROUND('VETS-701 Tech Perf Report'!BA14,0),0)</f>
        <v>0</v>
      </c>
      <c r="U6" s="352"/>
      <c r="V6" s="346"/>
      <c r="W6" s="346">
        <f>'VETS-701 Tech Perf Report'!DE14</f>
        <v>0</v>
      </c>
      <c r="X6" s="352"/>
      <c r="Y6" s="347"/>
      <c r="Z6" s="347"/>
      <c r="AA6" s="344"/>
      <c r="AB6" s="399"/>
      <c r="AC6" s="347"/>
      <c r="AD6" s="344"/>
      <c r="AE6" s="399"/>
      <c r="AF6" s="347"/>
      <c r="AG6" s="345"/>
      <c r="AH6" s="347"/>
      <c r="AI6" s="347"/>
      <c r="AJ6" s="344"/>
      <c r="AK6" s="399"/>
      <c r="AL6" s="347"/>
      <c r="AM6" s="345"/>
      <c r="AN6" s="347"/>
      <c r="AO6" s="347"/>
      <c r="AP6" s="344"/>
      <c r="AQ6" s="399"/>
      <c r="AR6" s="347"/>
      <c r="AS6" s="344"/>
      <c r="AT6" s="399"/>
      <c r="AU6" s="347"/>
      <c r="AV6" s="344"/>
      <c r="AW6" s="400"/>
      <c r="AX6" s="346">
        <f>'VETS-701 Tech Perf Report'!DE14</f>
        <v>0</v>
      </c>
      <c r="AY6" s="343"/>
    </row>
    <row r="7" spans="1:51" x14ac:dyDescent="0.3">
      <c r="A7" s="27"/>
      <c r="B7" s="286" t="s">
        <v>2644</v>
      </c>
      <c r="C7" s="272" t="s">
        <v>2505</v>
      </c>
      <c r="D7" s="286">
        <f>IFERROR(ROUND('VETS-700 Planned Goals'!AB21,0),0)</f>
        <v>0</v>
      </c>
      <c r="E7" s="353">
        <f>'VETS-701 Tech Perf Report'!AC15</f>
        <v>0</v>
      </c>
      <c r="F7" s="358">
        <f>IFERROR(E7/D7,0)</f>
        <v>0</v>
      </c>
      <c r="G7" s="360">
        <f>IFERROR(ROUND('VETS-700 Planned Goals'!AJ21,0),0)</f>
        <v>0</v>
      </c>
      <c r="H7" s="353">
        <f>'VETS-701 Tech Perf Report'!AK15</f>
        <v>0</v>
      </c>
      <c r="I7" s="358">
        <f>IFERROR(H7/G7,0)</f>
        <v>0</v>
      </c>
      <c r="J7" s="405">
        <f>IFERROR(ROUND('VETS-700 Planned Goals'!DB21,0),0)</f>
        <v>0</v>
      </c>
      <c r="K7" s="353">
        <f>'VETS-701 Tech Perf Report'!DC15</f>
        <v>0</v>
      </c>
      <c r="L7" s="366">
        <f>IFERROR(K7/J7,0)</f>
        <v>0</v>
      </c>
      <c r="M7" s="286">
        <f>IFERROR(ROUND('VETS-700 Planned Goals'!AR21,0),0)</f>
        <v>0</v>
      </c>
      <c r="N7" s="353">
        <f>'VETS-701 Tech Perf Report'!AS15</f>
        <v>0</v>
      </c>
      <c r="O7" s="366">
        <f>IFERROR(N7/M7,0)</f>
        <v>0</v>
      </c>
      <c r="P7" s="353">
        <f>'VETS-700 Planned Goals'!DC21</f>
        <v>0</v>
      </c>
      <c r="Q7" s="353">
        <f>'VETS-701 Tech Perf Report'!DD15</f>
        <v>0</v>
      </c>
      <c r="R7" s="366">
        <f>IFERROR(Q7/P7,0)</f>
        <v>0</v>
      </c>
      <c r="S7" s="286">
        <f>IFERROR(ROUND('VETS-700 Planned Goals'!AZ21,0),0)</f>
        <v>0</v>
      </c>
      <c r="T7" s="353">
        <f>'VETS-701 Tech Perf Report'!BA15</f>
        <v>0</v>
      </c>
      <c r="U7" s="368">
        <f>IFERROR(T7/S7,0)</f>
        <v>0</v>
      </c>
      <c r="V7" s="353">
        <f>'VETS-700 Planned Goals'!DD21</f>
        <v>0</v>
      </c>
      <c r="W7" s="353">
        <f>'VETS-701 Tech Perf Report'!DE15</f>
        <v>0</v>
      </c>
      <c r="X7" s="368">
        <f>IFERROR(W7/V7,0)</f>
        <v>0</v>
      </c>
      <c r="Y7" s="348"/>
      <c r="Z7" s="348"/>
      <c r="AA7" s="369"/>
      <c r="AB7" s="348"/>
      <c r="AC7" s="348"/>
      <c r="AD7" s="369"/>
      <c r="AE7" s="348"/>
      <c r="AF7" s="348"/>
      <c r="AG7" s="369"/>
      <c r="AH7" s="348"/>
      <c r="AI7" s="348"/>
      <c r="AJ7" s="369"/>
      <c r="AK7" s="348"/>
      <c r="AL7" s="348"/>
      <c r="AM7" s="369"/>
      <c r="AN7" s="348"/>
      <c r="AO7" s="348"/>
      <c r="AP7" s="369"/>
      <c r="AQ7" s="348"/>
      <c r="AR7" s="348"/>
      <c r="AS7" s="369"/>
      <c r="AT7" s="348"/>
      <c r="AU7" s="348"/>
      <c r="AV7" s="369"/>
      <c r="AW7" s="353">
        <f>'VETS-700 Planned Goals'!DD21</f>
        <v>0</v>
      </c>
      <c r="AX7" s="353">
        <f>'VETS-701 Tech Perf Report'!DE15</f>
        <v>0</v>
      </c>
      <c r="AY7" s="358">
        <f t="shared" ref="AY7:AY19" si="0">IF(AW7&gt;0,AX7/AW7,0)</f>
        <v>0</v>
      </c>
    </row>
    <row r="8" spans="1:51" x14ac:dyDescent="0.3">
      <c r="A8" s="27"/>
      <c r="B8" s="349" t="s">
        <v>2645</v>
      </c>
      <c r="C8" s="8" t="s">
        <v>2921</v>
      </c>
      <c r="D8" s="349"/>
      <c r="E8" s="354">
        <f>'VETS-701 Tech Perf Report'!AC16</f>
        <v>0</v>
      </c>
      <c r="F8" s="359"/>
      <c r="G8" s="361"/>
      <c r="H8" s="362"/>
      <c r="I8" s="363"/>
      <c r="J8" s="406"/>
      <c r="K8" s="362"/>
      <c r="L8" s="370"/>
      <c r="M8" s="348"/>
      <c r="N8" s="362"/>
      <c r="O8" s="370"/>
      <c r="P8" s="362"/>
      <c r="Q8" s="362"/>
      <c r="R8" s="370"/>
      <c r="S8" s="348"/>
      <c r="T8" s="362"/>
      <c r="U8" s="371"/>
      <c r="V8" s="362"/>
      <c r="W8" s="362"/>
      <c r="X8" s="371"/>
      <c r="Y8" s="348"/>
      <c r="Z8" s="348"/>
      <c r="AA8" s="369"/>
      <c r="AB8" s="348"/>
      <c r="AC8" s="348"/>
      <c r="AD8" s="369"/>
      <c r="AE8" s="348"/>
      <c r="AF8" s="348"/>
      <c r="AG8" s="369"/>
      <c r="AH8" s="348"/>
      <c r="AI8" s="348"/>
      <c r="AJ8" s="369"/>
      <c r="AK8" s="348"/>
      <c r="AL8" s="348"/>
      <c r="AM8" s="369"/>
      <c r="AN8" s="348"/>
      <c r="AO8" s="348"/>
      <c r="AP8" s="369"/>
      <c r="AQ8" s="348"/>
      <c r="AR8" s="348"/>
      <c r="AS8" s="369"/>
      <c r="AT8" s="348"/>
      <c r="AU8" s="348"/>
      <c r="AV8" s="369"/>
      <c r="AW8" s="354"/>
      <c r="AX8" s="355">
        <f>'VETS-701 Tech Perf Report'!AC16</f>
        <v>0</v>
      </c>
      <c r="AY8" s="359"/>
    </row>
    <row r="9" spans="1:51" x14ac:dyDescent="0.3">
      <c r="A9" s="27"/>
      <c r="B9" s="286" t="s">
        <v>2646</v>
      </c>
      <c r="C9" s="172" t="s">
        <v>2731</v>
      </c>
      <c r="D9" s="286"/>
      <c r="E9" s="353">
        <f>'VETS-701 Tech Perf Report'!AC17</f>
        <v>0</v>
      </c>
      <c r="F9" s="358"/>
      <c r="G9" s="360"/>
      <c r="H9" s="353">
        <f>'VETS-701 Tech Perf Report'!AK17</f>
        <v>0</v>
      </c>
      <c r="I9" s="358"/>
      <c r="J9" s="405"/>
      <c r="K9" s="353">
        <f>'VETS-701 Tech Perf Report'!DC17</f>
        <v>0</v>
      </c>
      <c r="L9" s="366"/>
      <c r="M9" s="286"/>
      <c r="N9" s="353">
        <f>'VETS-701 Tech Perf Report'!AS17</f>
        <v>0</v>
      </c>
      <c r="O9" s="366"/>
      <c r="P9" s="353"/>
      <c r="Q9" s="353">
        <f>'VETS-701 Tech Perf Report'!DD17</f>
        <v>0</v>
      </c>
      <c r="R9" s="366"/>
      <c r="S9" s="286"/>
      <c r="T9" s="353">
        <f>'VETS-701 Tech Perf Report'!BA17</f>
        <v>0</v>
      </c>
      <c r="U9" s="368"/>
      <c r="V9" s="353"/>
      <c r="W9" s="353">
        <f>'VETS-701 Tech Perf Report'!DE17</f>
        <v>0</v>
      </c>
      <c r="X9" s="368"/>
      <c r="Y9" s="348"/>
      <c r="Z9" s="348"/>
      <c r="AA9" s="369"/>
      <c r="AB9" s="348"/>
      <c r="AC9" s="348"/>
      <c r="AD9" s="369"/>
      <c r="AE9" s="348"/>
      <c r="AF9" s="348"/>
      <c r="AG9" s="369"/>
      <c r="AH9" s="348"/>
      <c r="AI9" s="348"/>
      <c r="AJ9" s="369"/>
      <c r="AK9" s="348"/>
      <c r="AL9" s="348"/>
      <c r="AM9" s="369"/>
      <c r="AN9" s="348"/>
      <c r="AO9" s="348"/>
      <c r="AP9" s="369"/>
      <c r="AQ9" s="348"/>
      <c r="AR9" s="348"/>
      <c r="AS9" s="369"/>
      <c r="AT9" s="348"/>
      <c r="AU9" s="348"/>
      <c r="AV9" s="369"/>
      <c r="AW9" s="353"/>
      <c r="AX9" s="353">
        <f>'VETS-701 Tech Perf Report'!DE17</f>
        <v>0</v>
      </c>
      <c r="AY9" s="358"/>
    </row>
    <row r="10" spans="1:51" x14ac:dyDescent="0.3">
      <c r="A10" s="27"/>
      <c r="B10" s="349" t="s">
        <v>2647</v>
      </c>
      <c r="C10" s="8" t="s">
        <v>2509</v>
      </c>
      <c r="D10" s="349">
        <f>IFERROR(ROUND('VETS-700 Planned Goals'!AB22,0),0)</f>
        <v>0</v>
      </c>
      <c r="E10" s="354">
        <f>'VETS-701 Tech Perf Report'!AC18</f>
        <v>0</v>
      </c>
      <c r="F10" s="359">
        <f>IFERROR(E10/D10,0)</f>
        <v>0</v>
      </c>
      <c r="G10" s="389">
        <f>IFERROR(ROUND('VETS-700 Planned Goals'!AJ22,0),0)</f>
        <v>0</v>
      </c>
      <c r="H10" s="354">
        <f>'VETS-701 Tech Perf Report'!AK18</f>
        <v>0</v>
      </c>
      <c r="I10" s="359">
        <f>IFERROR(H10/G10,0)</f>
        <v>0</v>
      </c>
      <c r="J10" s="392">
        <f>'VETS-700 Planned Goals'!DB22</f>
        <v>0</v>
      </c>
      <c r="K10" s="354">
        <f>'VETS-701 Tech Perf Report'!DC18</f>
        <v>0</v>
      </c>
      <c r="L10" s="390">
        <f>IFERROR(K10/J10,0)</f>
        <v>0</v>
      </c>
      <c r="M10" s="349">
        <f>IFERROR(ROUND('VETS-700 Planned Goals'!AR22,0),0)</f>
        <v>0</v>
      </c>
      <c r="N10" s="354">
        <f>'VETS-701 Tech Perf Report'!AS18</f>
        <v>0</v>
      </c>
      <c r="O10" s="390">
        <f>IFERROR(N10/M10,0)</f>
        <v>0</v>
      </c>
      <c r="P10" s="354">
        <f>'VETS-700 Planned Goals'!DC22</f>
        <v>0</v>
      </c>
      <c r="Q10" s="354">
        <f>'VETS-701 Tech Perf Report'!DD18</f>
        <v>0</v>
      </c>
      <c r="R10" s="390">
        <f>IFERROR(Q10/P10,0)</f>
        <v>0</v>
      </c>
      <c r="S10" s="349">
        <f>IFERROR(ROUND('VETS-700 Planned Goals'!AZ22,0),0)</f>
        <v>0</v>
      </c>
      <c r="T10" s="354">
        <f>'VETS-701 Tech Perf Report'!BA18</f>
        <v>0</v>
      </c>
      <c r="U10" s="391">
        <f>IFERROR(T10/S10,0)</f>
        <v>0</v>
      </c>
      <c r="V10" s="354">
        <f>'VETS-700 Planned Goals'!DD22</f>
        <v>0</v>
      </c>
      <c r="W10" s="354">
        <f>'VETS-701 Tech Perf Report'!DE18</f>
        <v>0</v>
      </c>
      <c r="X10" s="391">
        <f>IFERROR(W10/V10,0)</f>
        <v>0</v>
      </c>
      <c r="Y10" s="348"/>
      <c r="Z10" s="348"/>
      <c r="AA10" s="369"/>
      <c r="AB10" s="348"/>
      <c r="AC10" s="348"/>
      <c r="AD10" s="369"/>
      <c r="AE10" s="348"/>
      <c r="AF10" s="348"/>
      <c r="AG10" s="369"/>
      <c r="AH10" s="348"/>
      <c r="AI10" s="348"/>
      <c r="AJ10" s="369"/>
      <c r="AK10" s="348"/>
      <c r="AL10" s="348"/>
      <c r="AM10" s="369"/>
      <c r="AN10" s="348"/>
      <c r="AO10" s="348"/>
      <c r="AP10" s="369"/>
      <c r="AQ10" s="348"/>
      <c r="AR10" s="348"/>
      <c r="AS10" s="369"/>
      <c r="AT10" s="348"/>
      <c r="AU10" s="348"/>
      <c r="AV10" s="369"/>
      <c r="AW10" s="354">
        <f>'VETS-700 Planned Goals'!DD22</f>
        <v>0</v>
      </c>
      <c r="AX10" s="354">
        <f>'VETS-701 Tech Perf Report'!DE18</f>
        <v>0</v>
      </c>
      <c r="AY10" s="359">
        <f t="shared" si="0"/>
        <v>0</v>
      </c>
    </row>
    <row r="11" spans="1:51" x14ac:dyDescent="0.3">
      <c r="A11" s="27"/>
      <c r="B11" s="286" t="s">
        <v>2648</v>
      </c>
      <c r="C11" s="172" t="s">
        <v>2922</v>
      </c>
      <c r="D11" s="286">
        <f>IFERROR(ROUND('VETS-700 Planned Goals'!AB23,0),0)</f>
        <v>0</v>
      </c>
      <c r="E11" s="353">
        <f>'VETS-701 Tech Perf Report'!AC19</f>
        <v>0</v>
      </c>
      <c r="F11" s="358">
        <f>IFERROR(E11/D11,0)</f>
        <v>0</v>
      </c>
      <c r="G11" s="360">
        <f>IFERROR(ROUND('VETS-700 Planned Goals'!AJ23,0),0)</f>
        <v>0</v>
      </c>
      <c r="H11" s="353">
        <f>'VETS-701 Tech Perf Report'!AK19</f>
        <v>0</v>
      </c>
      <c r="I11" s="358">
        <f>IFERROR(H11/G11,0)</f>
        <v>0</v>
      </c>
      <c r="J11" s="372">
        <f>'VETS-700 Planned Goals'!DB23</f>
        <v>0</v>
      </c>
      <c r="K11" s="353">
        <f>'VETS-701 Tech Perf Report'!DC19</f>
        <v>0</v>
      </c>
      <c r="L11" s="366">
        <f>IFERROR(K11/J11,0)</f>
        <v>0</v>
      </c>
      <c r="M11" s="393">
        <f>IFERROR(ROUND('VETS-700 Planned Goals'!AR23,0),0)</f>
        <v>0</v>
      </c>
      <c r="N11" s="353">
        <f>'VETS-701 Tech Perf Report'!AS19</f>
        <v>0</v>
      </c>
      <c r="O11" s="366">
        <f>IFERROR(N11/M11,0)</f>
        <v>0</v>
      </c>
      <c r="P11" s="353">
        <f>'VETS-700 Planned Goals'!DC23</f>
        <v>0</v>
      </c>
      <c r="Q11" s="353">
        <f>'VETS-701 Tech Perf Report'!DD19</f>
        <v>0</v>
      </c>
      <c r="R11" s="366">
        <f>IFERROR(Q11/P11,0)</f>
        <v>0</v>
      </c>
      <c r="S11" s="393">
        <f>IFERROR(ROUND('VETS-700 Planned Goals'!AZ23,0),0)</f>
        <v>0</v>
      </c>
      <c r="T11" s="353">
        <f>'VETS-701 Tech Perf Report'!BA19</f>
        <v>0</v>
      </c>
      <c r="U11" s="368">
        <f>IFERROR(T11/S11,0)</f>
        <v>0</v>
      </c>
      <c r="V11" s="353">
        <f>'VETS-700 Planned Goals'!DD23</f>
        <v>0</v>
      </c>
      <c r="W11" s="353">
        <f>'VETS-701 Tech Perf Report'!DE19</f>
        <v>0</v>
      </c>
      <c r="X11" s="368">
        <f>IFERROR(W11/V11,0)</f>
        <v>0</v>
      </c>
      <c r="Y11" s="348"/>
      <c r="Z11" s="348"/>
      <c r="AA11" s="369"/>
      <c r="AB11" s="348"/>
      <c r="AC11" s="348"/>
      <c r="AD11" s="369"/>
      <c r="AE11" s="348"/>
      <c r="AF11" s="348"/>
      <c r="AG11" s="369"/>
      <c r="AH11" s="348"/>
      <c r="AI11" s="348"/>
      <c r="AJ11" s="369"/>
      <c r="AK11" s="348"/>
      <c r="AL11" s="348"/>
      <c r="AM11" s="369"/>
      <c r="AN11" s="348"/>
      <c r="AO11" s="348"/>
      <c r="AP11" s="369"/>
      <c r="AQ11" s="348"/>
      <c r="AR11" s="348"/>
      <c r="AS11" s="369"/>
      <c r="AT11" s="348"/>
      <c r="AU11" s="348"/>
      <c r="AV11" s="369"/>
      <c r="AW11" s="353">
        <f>'VETS-700 Planned Goals'!DD23</f>
        <v>0</v>
      </c>
      <c r="AX11" s="353">
        <f>'VETS-701 Tech Perf Report'!DE19</f>
        <v>0</v>
      </c>
      <c r="AY11" s="358">
        <f t="shared" si="0"/>
        <v>0</v>
      </c>
    </row>
    <row r="12" spans="1:51" x14ac:dyDescent="0.3">
      <c r="A12" s="27"/>
      <c r="B12" s="349" t="s">
        <v>2649</v>
      </c>
      <c r="C12" s="272" t="s">
        <v>2507</v>
      </c>
      <c r="D12" s="394">
        <f>IFERROR(ROUND('VETS-700 Planned Goals'!AB24,2),0)</f>
        <v>0</v>
      </c>
      <c r="E12" s="394">
        <f>'VETS-701 Tech Perf Report'!AC20</f>
        <v>0</v>
      </c>
      <c r="F12" s="359">
        <f>IFERROR(E12/D12,0)</f>
        <v>0</v>
      </c>
      <c r="G12" s="395">
        <f>IFERROR(ROUND('VETS-700 Planned Goals'!AJ24,2),0)</f>
        <v>0</v>
      </c>
      <c r="H12" s="394">
        <f>'VETS-701 Tech Perf Report'!AK20</f>
        <v>0</v>
      </c>
      <c r="I12" s="390">
        <f>IFERROR(H12/G12,0)</f>
        <v>0</v>
      </c>
      <c r="J12" s="394">
        <f>'VETS-700 Planned Goals'!DB24</f>
        <v>0</v>
      </c>
      <c r="K12" s="394">
        <f>'VETS-701 Tech Perf Report'!DC20</f>
        <v>0</v>
      </c>
      <c r="L12" s="390">
        <f>IFERROR(K12/J12,0)</f>
        <v>0</v>
      </c>
      <c r="M12" s="394">
        <f>IFERROR(ROUND('VETS-700 Planned Goals'!AR24,2),0)</f>
        <v>0</v>
      </c>
      <c r="N12" s="394">
        <f>'VETS-701 Tech Perf Report'!AS20</f>
        <v>0</v>
      </c>
      <c r="O12" s="390">
        <f>IFERROR(N12/M12,0)</f>
        <v>0</v>
      </c>
      <c r="P12" s="394">
        <f>'VETS-700 Planned Goals'!DC24</f>
        <v>0</v>
      </c>
      <c r="Q12" s="394">
        <f>'VETS-701 Tech Perf Report'!DD20</f>
        <v>0</v>
      </c>
      <c r="R12" s="390">
        <f>IFERROR(Q12/P12,0)</f>
        <v>0</v>
      </c>
      <c r="S12" s="394">
        <f>IFERROR(ROUND('VETS-700 Planned Goals'!AZ24,2),0)</f>
        <v>0</v>
      </c>
      <c r="T12" s="394">
        <f>'VETS-701 Tech Perf Report'!BA20</f>
        <v>0</v>
      </c>
      <c r="U12" s="391">
        <f>IFERROR(T12/S12,0)</f>
        <v>0</v>
      </c>
      <c r="V12" s="394">
        <f>'VETS-700 Planned Goals'!DD24</f>
        <v>0</v>
      </c>
      <c r="W12" s="394">
        <f>'VETS-701 Tech Perf Report'!DE20</f>
        <v>0</v>
      </c>
      <c r="X12" s="391">
        <f>IFERROR(W12/V12,0)</f>
        <v>0</v>
      </c>
      <c r="Y12" s="374"/>
      <c r="Z12" s="374"/>
      <c r="AA12" s="375"/>
      <c r="AB12" s="374"/>
      <c r="AC12" s="374"/>
      <c r="AD12" s="375"/>
      <c r="AE12" s="374"/>
      <c r="AF12" s="374"/>
      <c r="AG12" s="375"/>
      <c r="AH12" s="374"/>
      <c r="AI12" s="374"/>
      <c r="AJ12" s="375"/>
      <c r="AK12" s="374"/>
      <c r="AL12" s="374"/>
      <c r="AM12" s="375"/>
      <c r="AN12" s="374"/>
      <c r="AO12" s="374"/>
      <c r="AP12" s="375"/>
      <c r="AQ12" s="374"/>
      <c r="AR12" s="374"/>
      <c r="AS12" s="375"/>
      <c r="AT12" s="374"/>
      <c r="AU12" s="348"/>
      <c r="AV12" s="369"/>
      <c r="AW12" s="396">
        <f>'VETS-700 Planned Goals'!DD24</f>
        <v>0</v>
      </c>
      <c r="AX12" s="396">
        <f>'VETS-701 Tech Perf Report'!DE20</f>
        <v>0</v>
      </c>
      <c r="AY12" s="359">
        <f t="shared" si="0"/>
        <v>0</v>
      </c>
    </row>
    <row r="13" spans="1:51" x14ac:dyDescent="0.3">
      <c r="A13" s="27"/>
      <c r="B13" s="286" t="s">
        <v>2650</v>
      </c>
      <c r="C13" s="272" t="s">
        <v>2923</v>
      </c>
      <c r="D13" s="358">
        <f>'VETS-700 Planned Goals'!AB25</f>
        <v>0</v>
      </c>
      <c r="E13" s="358">
        <f>'VETS-701 Tech Perf Report'!AC21</f>
        <v>0</v>
      </c>
      <c r="F13" s="358">
        <f>IFERROR(E13/D13,0)</f>
        <v>0</v>
      </c>
      <c r="G13" s="388">
        <f>'VETS-700 Planned Goals'!AJ25</f>
        <v>0</v>
      </c>
      <c r="H13" s="376">
        <f>'VETS-701 Tech Perf Report'!AK21</f>
        <v>0</v>
      </c>
      <c r="I13" s="366">
        <f>IFERROR(H13/G13,0)</f>
        <v>0</v>
      </c>
      <c r="J13" s="358">
        <f>'VETS-700 Planned Goals'!DB25</f>
        <v>0</v>
      </c>
      <c r="K13" s="358">
        <f>'VETS-701 Tech Perf Report'!DC21</f>
        <v>0</v>
      </c>
      <c r="L13" s="366">
        <f>IFERROR(K13/J13,0)</f>
        <v>0</v>
      </c>
      <c r="M13" s="358">
        <f>'VETS-700 Planned Goals'!AR25</f>
        <v>0</v>
      </c>
      <c r="N13" s="358">
        <f>'VETS-701 Tech Perf Report'!AS21</f>
        <v>0</v>
      </c>
      <c r="O13" s="366">
        <f>IFERROR(N13/M13,0)</f>
        <v>0</v>
      </c>
      <c r="P13" s="358">
        <f>'VETS-700 Planned Goals'!DC25</f>
        <v>0</v>
      </c>
      <c r="Q13" s="358">
        <f>'VETS-701 Tech Perf Report'!DD21</f>
        <v>0</v>
      </c>
      <c r="R13" s="366">
        <f>IFERROR(Q13/P13,0)</f>
        <v>0</v>
      </c>
      <c r="S13" s="358">
        <f>'VETS-700 Planned Goals'!AZ25</f>
        <v>0</v>
      </c>
      <c r="T13" s="358">
        <f>'VETS-701 Tech Perf Report'!BA21</f>
        <v>0</v>
      </c>
      <c r="U13" s="368">
        <f>IFERROR(T13/S13,0)</f>
        <v>0</v>
      </c>
      <c r="V13" s="358">
        <f>'VETS-700 Planned Goals'!DD25</f>
        <v>0</v>
      </c>
      <c r="W13" s="358">
        <f>'VETS-701 Tech Perf Report'!DE21</f>
        <v>0</v>
      </c>
      <c r="X13" s="368">
        <f>IFERROR(W13/V13,0)</f>
        <v>0</v>
      </c>
      <c r="Y13" s="348"/>
      <c r="Z13" s="348"/>
      <c r="AA13" s="369"/>
      <c r="AB13" s="348"/>
      <c r="AC13" s="348"/>
      <c r="AD13" s="369"/>
      <c r="AE13" s="348"/>
      <c r="AF13" s="348"/>
      <c r="AG13" s="369"/>
      <c r="AH13" s="348"/>
      <c r="AI13" s="348"/>
      <c r="AJ13" s="369"/>
      <c r="AK13" s="348"/>
      <c r="AL13" s="348"/>
      <c r="AM13" s="369"/>
      <c r="AN13" s="348"/>
      <c r="AO13" s="348"/>
      <c r="AP13" s="369"/>
      <c r="AQ13" s="348"/>
      <c r="AR13" s="348"/>
      <c r="AS13" s="369"/>
      <c r="AT13" s="348"/>
      <c r="AU13" s="348"/>
      <c r="AV13" s="369"/>
      <c r="AW13" s="358">
        <f>'VETS-700 Planned Goals'!DD25</f>
        <v>0</v>
      </c>
      <c r="AX13" s="358">
        <f>'VETS-701 Tech Perf Report'!DE21</f>
        <v>0</v>
      </c>
      <c r="AY13" s="358">
        <f t="shared" si="0"/>
        <v>0</v>
      </c>
    </row>
    <row r="14" spans="1:51" x14ac:dyDescent="0.3">
      <c r="A14" s="27"/>
      <c r="B14" s="349" t="s">
        <v>2651</v>
      </c>
      <c r="C14" s="8" t="s">
        <v>2508</v>
      </c>
      <c r="D14" s="349">
        <f>IFERROR(ROUND('VETS-700 Planned Goals'!AB26,0),0)</f>
        <v>0</v>
      </c>
      <c r="E14" s="354">
        <f>'VETS-701 Tech Perf Report'!AC22</f>
        <v>0</v>
      </c>
      <c r="F14" s="359">
        <f t="shared" ref="F14:F43" si="1">IFERROR(E14/D14,0)</f>
        <v>0</v>
      </c>
      <c r="G14" s="389">
        <f>IFERROR(ROUND('VETS-700 Planned Goals'!AJ26,0),0)</f>
        <v>0</v>
      </c>
      <c r="H14" s="354">
        <f>'VETS-701 Tech Perf Report'!AK22</f>
        <v>0</v>
      </c>
      <c r="I14" s="390">
        <f t="shared" ref="I14:I43" si="2">IFERROR(H14/G14,0)</f>
        <v>0</v>
      </c>
      <c r="J14" s="354">
        <f>'VETS-700 Planned Goals'!DB26</f>
        <v>0</v>
      </c>
      <c r="K14" s="354">
        <f>'VETS-701 Tech Perf Report'!DC22</f>
        <v>0</v>
      </c>
      <c r="L14" s="390">
        <f t="shared" ref="L14:L43" si="3">IFERROR(K14/J14,0)</f>
        <v>0</v>
      </c>
      <c r="M14" s="349">
        <f>IFERROR(ROUND('VETS-700 Planned Goals'!AR26,0),0)</f>
        <v>0</v>
      </c>
      <c r="N14" s="354">
        <f>'VETS-701 Tech Perf Report'!AS22</f>
        <v>0</v>
      </c>
      <c r="O14" s="390">
        <f t="shared" ref="O14:O43" si="4">IFERROR(N14/M14,0)</f>
        <v>0</v>
      </c>
      <c r="P14" s="354">
        <f>'VETS-700 Planned Goals'!DC26</f>
        <v>0</v>
      </c>
      <c r="Q14" s="354">
        <f>'VETS-701 Tech Perf Report'!DD22</f>
        <v>0</v>
      </c>
      <c r="R14" s="390">
        <f t="shared" ref="R14:R43" si="5">IFERROR(Q14/P14,0)</f>
        <v>0</v>
      </c>
      <c r="S14" s="349">
        <f>IFERROR(ROUND('VETS-700 Planned Goals'!AZ26,0),0)</f>
        <v>0</v>
      </c>
      <c r="T14" s="354">
        <f>'VETS-701 Tech Perf Report'!BA22</f>
        <v>0</v>
      </c>
      <c r="U14" s="391">
        <f t="shared" ref="U14:U43" si="6">IFERROR(T14/S14,0)</f>
        <v>0</v>
      </c>
      <c r="V14" s="354">
        <f>'VETS-700 Planned Goals'!DD26</f>
        <v>0</v>
      </c>
      <c r="W14" s="354">
        <f>'VETS-701 Tech Perf Report'!DE22</f>
        <v>0</v>
      </c>
      <c r="X14" s="391">
        <f t="shared" ref="X14:X43" si="7">IFERROR(W14/V14,0)</f>
        <v>0</v>
      </c>
      <c r="Y14" s="348"/>
      <c r="Z14" s="348"/>
      <c r="AA14" s="369"/>
      <c r="AB14" s="348"/>
      <c r="AC14" s="348"/>
      <c r="AD14" s="369"/>
      <c r="AE14" s="348"/>
      <c r="AF14" s="348"/>
      <c r="AG14" s="369"/>
      <c r="AH14" s="348"/>
      <c r="AI14" s="348"/>
      <c r="AJ14" s="369"/>
      <c r="AK14" s="348"/>
      <c r="AL14" s="348"/>
      <c r="AM14" s="369"/>
      <c r="AN14" s="348"/>
      <c r="AO14" s="348"/>
      <c r="AP14" s="369"/>
      <c r="AQ14" s="348"/>
      <c r="AR14" s="348"/>
      <c r="AS14" s="369"/>
      <c r="AT14" s="348"/>
      <c r="AU14" s="348"/>
      <c r="AV14" s="369"/>
      <c r="AW14" s="354">
        <f>'VETS-700 Planned Goals'!DD26</f>
        <v>0</v>
      </c>
      <c r="AX14" s="354">
        <f>'VETS-701 Tech Perf Report'!DE22</f>
        <v>0</v>
      </c>
      <c r="AY14" s="359">
        <f t="shared" si="0"/>
        <v>0</v>
      </c>
    </row>
    <row r="15" spans="1:51" x14ac:dyDescent="0.3">
      <c r="A15" s="27"/>
      <c r="B15" s="286" t="s">
        <v>2652</v>
      </c>
      <c r="C15" s="172" t="s">
        <v>2516</v>
      </c>
      <c r="D15" s="348"/>
      <c r="E15" s="348"/>
      <c r="F15" s="363"/>
      <c r="G15" s="361"/>
      <c r="H15" s="348"/>
      <c r="I15" s="370"/>
      <c r="J15" s="348"/>
      <c r="K15" s="348"/>
      <c r="L15" s="370"/>
      <c r="M15" s="353">
        <f>IFERROR(ROUND('VETS-700 Planned Goals'!AR27,0),0)</f>
        <v>0</v>
      </c>
      <c r="N15" s="286">
        <f>'VETS-701 Tech Perf Report'!AS42</f>
        <v>0</v>
      </c>
      <c r="O15" s="366">
        <f t="shared" si="4"/>
        <v>0</v>
      </c>
      <c r="P15" s="353">
        <f>'VETS-700 Planned Goals'!DC27</f>
        <v>0</v>
      </c>
      <c r="Q15" s="353">
        <f>'VETS-701 Tech Perf Report'!DD42</f>
        <v>0</v>
      </c>
      <c r="R15" s="366">
        <f t="shared" si="5"/>
        <v>0</v>
      </c>
      <c r="S15" s="353">
        <f>IFERROR(ROUND('VETS-700 Planned Goals'!AZ27,0),0)</f>
        <v>0</v>
      </c>
      <c r="T15" s="286">
        <f>'VETS-701 Tech Perf Report'!BA42</f>
        <v>0</v>
      </c>
      <c r="U15" s="368">
        <f t="shared" si="6"/>
        <v>0</v>
      </c>
      <c r="V15" s="353">
        <f>'VETS-700 Planned Goals'!DD27</f>
        <v>0</v>
      </c>
      <c r="W15" s="353">
        <f>'VETS-701 Tech Perf Report'!DE42</f>
        <v>0</v>
      </c>
      <c r="X15" s="368">
        <f t="shared" si="7"/>
        <v>0</v>
      </c>
      <c r="Y15" s="353">
        <f>IFERROR(ROUND('VETS-700 Planned Goals'!BH27,0),0)</f>
        <v>0</v>
      </c>
      <c r="Z15" s="286">
        <f>'VETS-701 Tech Perf Report'!BI42</f>
        <v>0</v>
      </c>
      <c r="AA15" s="368">
        <f>IFERROR(Z15/Y15,0)</f>
        <v>0</v>
      </c>
      <c r="AB15" s="353">
        <f>'VETS-700 Planned Goals'!DE27</f>
        <v>0</v>
      </c>
      <c r="AC15" s="353">
        <f>'VETS-701 Tech Perf Report'!DF42</f>
        <v>0</v>
      </c>
      <c r="AD15" s="368">
        <f>IFERROR(AC15/AB15,0)</f>
        <v>0</v>
      </c>
      <c r="AE15" s="286">
        <f>IFERROR(ROUND('VETS-700 Planned Goals'!BP27,0),0)</f>
        <v>0</v>
      </c>
      <c r="AF15" s="353">
        <f>'VETS-701 Tech Perf Report'!BQ42</f>
        <v>0</v>
      </c>
      <c r="AG15" s="368">
        <f>IFERROR(AF15/AE15,0)</f>
        <v>0</v>
      </c>
      <c r="AH15" s="353">
        <f>'VETS-700 Planned Goals'!DF27</f>
        <v>0</v>
      </c>
      <c r="AI15" s="353">
        <f>'VETS-701 Tech Perf Report'!DG42</f>
        <v>0</v>
      </c>
      <c r="AJ15" s="368">
        <f>IFERROR(AI15/AH15,0)</f>
        <v>0</v>
      </c>
      <c r="AK15" s="348"/>
      <c r="AL15" s="348"/>
      <c r="AM15" s="369"/>
      <c r="AN15" s="348"/>
      <c r="AO15" s="348"/>
      <c r="AP15" s="369"/>
      <c r="AQ15" s="348"/>
      <c r="AR15" s="348"/>
      <c r="AS15" s="369"/>
      <c r="AT15" s="348"/>
      <c r="AU15" s="348"/>
      <c r="AV15" s="369"/>
      <c r="AW15" s="353">
        <f>'VETS-700 Planned Goals'!DF27</f>
        <v>0</v>
      </c>
      <c r="AX15" s="353">
        <f>'VETS-701 Tech Perf Report'!DG42</f>
        <v>0</v>
      </c>
      <c r="AY15" s="358">
        <f t="shared" si="0"/>
        <v>0</v>
      </c>
    </row>
    <row r="16" spans="1:51" x14ac:dyDescent="0.3">
      <c r="A16" s="27"/>
      <c r="B16" s="349" t="s">
        <v>2653</v>
      </c>
      <c r="C16" s="8" t="s">
        <v>2517</v>
      </c>
      <c r="D16" s="348"/>
      <c r="E16" s="348"/>
      <c r="F16" s="363"/>
      <c r="G16" s="361"/>
      <c r="H16" s="348"/>
      <c r="I16" s="370"/>
      <c r="J16" s="348"/>
      <c r="K16" s="348"/>
      <c r="L16" s="370"/>
      <c r="M16" s="359">
        <f>'VETS-700 Planned Goals'!AR28</f>
        <v>0</v>
      </c>
      <c r="N16" s="359">
        <f>'VETS-701 Tech Perf Report'!AS43</f>
        <v>0</v>
      </c>
      <c r="O16" s="390">
        <f t="shared" si="4"/>
        <v>0</v>
      </c>
      <c r="P16" s="359">
        <f>'VETS-700 Planned Goals'!DC28</f>
        <v>0</v>
      </c>
      <c r="Q16" s="359">
        <f>'VETS-701 Tech Perf Report'!DD43</f>
        <v>0</v>
      </c>
      <c r="R16" s="390">
        <f t="shared" si="5"/>
        <v>0</v>
      </c>
      <c r="S16" s="359">
        <f>'VETS-700 Planned Goals'!AZ28</f>
        <v>0</v>
      </c>
      <c r="T16" s="359">
        <f>'VETS-701 Tech Perf Report'!BA43</f>
        <v>0</v>
      </c>
      <c r="U16" s="391">
        <f t="shared" si="6"/>
        <v>0</v>
      </c>
      <c r="V16" s="359">
        <f>'VETS-700 Planned Goals'!DD28</f>
        <v>0</v>
      </c>
      <c r="W16" s="359">
        <f>'VETS-701 Tech Perf Report'!BA43</f>
        <v>0</v>
      </c>
      <c r="X16" s="391">
        <f t="shared" si="7"/>
        <v>0</v>
      </c>
      <c r="Y16" s="359">
        <f>'VETS-700 Planned Goals'!BH28</f>
        <v>0</v>
      </c>
      <c r="Z16" s="359">
        <f>'VETS-701 Tech Perf Report'!BI43</f>
        <v>0</v>
      </c>
      <c r="AA16" s="391">
        <f>IFERROR(Z16/Y16,0)</f>
        <v>0</v>
      </c>
      <c r="AB16" s="359">
        <f>'VETS-700 Planned Goals'!DE28</f>
        <v>0</v>
      </c>
      <c r="AC16" s="359">
        <f>'VETS-701 Tech Perf Report'!DF43</f>
        <v>0</v>
      </c>
      <c r="AD16" s="391">
        <f>IFERROR(AC16/AB16,0)</f>
        <v>0</v>
      </c>
      <c r="AE16" s="359">
        <f>'VETS-700 Planned Goals'!BP28</f>
        <v>0</v>
      </c>
      <c r="AF16" s="359">
        <f>'VETS-701 Tech Perf Report'!BQ43</f>
        <v>0</v>
      </c>
      <c r="AG16" s="391">
        <f>IFERROR(AF16/AE16,0)</f>
        <v>0</v>
      </c>
      <c r="AH16" s="359">
        <f>'VETS-700 Planned Goals'!DF28</f>
        <v>0</v>
      </c>
      <c r="AI16" s="359">
        <f>'VETS-701 Tech Perf Report'!DG43</f>
        <v>0</v>
      </c>
      <c r="AJ16" s="391">
        <f>IFERROR(AI16/AH16,0)</f>
        <v>0</v>
      </c>
      <c r="AK16" s="348"/>
      <c r="AL16" s="348"/>
      <c r="AM16" s="369"/>
      <c r="AN16" s="348"/>
      <c r="AO16" s="348"/>
      <c r="AP16" s="369"/>
      <c r="AQ16" s="348"/>
      <c r="AR16" s="348"/>
      <c r="AS16" s="369"/>
      <c r="AT16" s="348"/>
      <c r="AU16" s="348"/>
      <c r="AV16" s="369"/>
      <c r="AW16" s="359">
        <f>'VETS-700 Planned Goals'!DF28</f>
        <v>0</v>
      </c>
      <c r="AX16" s="359">
        <f>'VETS-701 Tech Perf Report'!DG43</f>
        <v>0</v>
      </c>
      <c r="AY16" s="359">
        <f t="shared" si="0"/>
        <v>0</v>
      </c>
    </row>
    <row r="17" spans="1:51" x14ac:dyDescent="0.3">
      <c r="A17" s="27"/>
      <c r="B17" s="286" t="s">
        <v>2654</v>
      </c>
      <c r="C17" s="172" t="s">
        <v>2520</v>
      </c>
      <c r="D17" s="348"/>
      <c r="E17" s="348"/>
      <c r="F17" s="363"/>
      <c r="G17" s="361"/>
      <c r="H17" s="348"/>
      <c r="I17" s="370"/>
      <c r="J17" s="348"/>
      <c r="K17" s="348"/>
      <c r="L17" s="370"/>
      <c r="M17" s="356">
        <f>IFERROR(ROUND('VETS-700 Planned Goals'!AR29,2),0)</f>
        <v>0</v>
      </c>
      <c r="N17" s="356">
        <f>'VETS-701 Tech Perf Report'!AS44</f>
        <v>0</v>
      </c>
      <c r="O17" s="366">
        <f t="shared" si="4"/>
        <v>0</v>
      </c>
      <c r="P17" s="356">
        <f>'VETS-700 Planned Goals'!DC29</f>
        <v>0</v>
      </c>
      <c r="Q17" s="356">
        <f>'VETS-701 Tech Perf Report'!DD44</f>
        <v>0</v>
      </c>
      <c r="R17" s="366">
        <f t="shared" si="5"/>
        <v>0</v>
      </c>
      <c r="S17" s="356">
        <f>IFERROR(ROUND('VETS-700 Planned Goals'!AZ29,2),0)</f>
        <v>0</v>
      </c>
      <c r="T17" s="356">
        <f>'VETS-701 Tech Perf Report'!BA44</f>
        <v>0</v>
      </c>
      <c r="U17" s="368">
        <f t="shared" si="6"/>
        <v>0</v>
      </c>
      <c r="V17" s="356">
        <f>'VETS-700 Planned Goals'!DD29</f>
        <v>0</v>
      </c>
      <c r="W17" s="356">
        <f>'VETS-701 Tech Perf Report'!DE44</f>
        <v>0</v>
      </c>
      <c r="X17" s="368">
        <f t="shared" si="7"/>
        <v>0</v>
      </c>
      <c r="Y17" s="356">
        <f>IFERROR(ROUND('VETS-700 Planned Goals'!BH29,2),0)</f>
        <v>0</v>
      </c>
      <c r="Z17" s="356">
        <f>'VETS-701 Tech Perf Report'!BI44</f>
        <v>0</v>
      </c>
      <c r="AA17" s="368">
        <f>IFERROR(Z17/Y17,0)</f>
        <v>0</v>
      </c>
      <c r="AB17" s="356">
        <f>'VETS-700 Planned Goals'!DE29</f>
        <v>0</v>
      </c>
      <c r="AC17" s="356">
        <f>'VETS-701 Tech Perf Report'!DF44</f>
        <v>0</v>
      </c>
      <c r="AD17" s="368">
        <f>IFERROR(AC17/AB17,0)</f>
        <v>0</v>
      </c>
      <c r="AE17" s="356">
        <f>IFERROR(ROUND('VETS-700 Planned Goals'!BP29,2),0)</f>
        <v>0</v>
      </c>
      <c r="AF17" s="356">
        <f>'VETS-701 Tech Perf Report'!BQ44</f>
        <v>0</v>
      </c>
      <c r="AG17" s="368">
        <f>IFERROR(AF17/AE17,0)</f>
        <v>0</v>
      </c>
      <c r="AH17" s="356">
        <f>'VETS-700 Planned Goals'!DF29</f>
        <v>0</v>
      </c>
      <c r="AI17" s="356">
        <f>'VETS-701 Tech Perf Report'!DG44</f>
        <v>0</v>
      </c>
      <c r="AJ17" s="368">
        <f>IFERROR(AI17/AH17,0)</f>
        <v>0</v>
      </c>
      <c r="AK17" s="348"/>
      <c r="AL17" s="348"/>
      <c r="AM17" s="369"/>
      <c r="AN17" s="348"/>
      <c r="AO17" s="348"/>
      <c r="AP17" s="369"/>
      <c r="AQ17" s="348"/>
      <c r="AR17" s="348"/>
      <c r="AS17" s="369"/>
      <c r="AT17" s="348"/>
      <c r="AU17" s="348"/>
      <c r="AV17" s="369"/>
      <c r="AW17" s="356">
        <f>'VETS-700 Planned Goals'!DH29</f>
        <v>0</v>
      </c>
      <c r="AX17" s="356">
        <f>'VETS-701 Tech Perf Report'!DG44</f>
        <v>0</v>
      </c>
      <c r="AY17" s="358">
        <f t="shared" si="0"/>
        <v>0</v>
      </c>
    </row>
    <row r="18" spans="1:51" x14ac:dyDescent="0.3">
      <c r="A18" s="27"/>
      <c r="B18" s="349" t="s">
        <v>2655</v>
      </c>
      <c r="C18" s="8" t="s">
        <v>2518</v>
      </c>
      <c r="D18" s="348"/>
      <c r="E18" s="348"/>
      <c r="F18" s="363"/>
      <c r="G18" s="361"/>
      <c r="H18" s="348"/>
      <c r="I18" s="370"/>
      <c r="J18" s="348"/>
      <c r="K18" s="348"/>
      <c r="L18" s="370"/>
      <c r="M18" s="348"/>
      <c r="N18" s="348"/>
      <c r="O18" s="370"/>
      <c r="P18" s="348"/>
      <c r="Q18" s="348"/>
      <c r="R18" s="370"/>
      <c r="S18" s="348"/>
      <c r="T18" s="348"/>
      <c r="U18" s="371"/>
      <c r="V18" s="348"/>
      <c r="W18" s="348"/>
      <c r="X18" s="371"/>
      <c r="Y18" s="354">
        <f>IFERROR(ROUND('VETS-700 Planned Goals'!BH30,0),0)</f>
        <v>0</v>
      </c>
      <c r="Z18" s="349">
        <f>'VETS-701 Tech Perf Report'!BI45</f>
        <v>0</v>
      </c>
      <c r="AA18" s="391">
        <f>IFERROR(Z18/Y18,0)</f>
        <v>0</v>
      </c>
      <c r="AB18" s="349">
        <f>'VETS-700 Planned Goals'!DE30</f>
        <v>0</v>
      </c>
      <c r="AC18" s="354">
        <f>'VETS-701 Tech Perf Report'!DF45</f>
        <v>0</v>
      </c>
      <c r="AD18" s="391">
        <f>IFERROR(AC18/AB18,0)</f>
        <v>0</v>
      </c>
      <c r="AE18" s="349">
        <f>IFERROR(ROUND('VETS-700 Planned Goals'!BP30,0),0)</f>
        <v>0</v>
      </c>
      <c r="AF18" s="349">
        <f>'VETS-701 Tech Perf Report'!BQ45</f>
        <v>0</v>
      </c>
      <c r="AG18" s="391">
        <f>IFERROR(AF18/AE18,0)</f>
        <v>0</v>
      </c>
      <c r="AH18" s="354">
        <f>'VETS-700 Planned Goals'!DF30</f>
        <v>0</v>
      </c>
      <c r="AI18" s="354">
        <f>'VETS-701 Tech Perf Report'!DG45</f>
        <v>0</v>
      </c>
      <c r="AJ18" s="391">
        <f>IFERROR(AI18/AH18,0)</f>
        <v>0</v>
      </c>
      <c r="AK18" s="349">
        <f>IFERROR(ROUND('VETS-700 Planned Goals'!BX30,0),0)</f>
        <v>0</v>
      </c>
      <c r="AL18" s="349">
        <f>'VETS-701 Tech Perf Report'!BY45</f>
        <v>0</v>
      </c>
      <c r="AM18" s="391">
        <f>IFERROR(AL18/AK18,0)</f>
        <v>0</v>
      </c>
      <c r="AN18" s="354">
        <f>'VETS-700 Planned Goals'!DG30</f>
        <v>0</v>
      </c>
      <c r="AO18" s="354">
        <f>'VETS-701 Tech Perf Report'!DH45</f>
        <v>0</v>
      </c>
      <c r="AP18" s="391">
        <f>IFERROR(AO18/AN18,0)</f>
        <v>0</v>
      </c>
      <c r="AQ18" s="349">
        <f>IFERROR(ROUND('VETS-700 Planned Goals'!CF30,0),0)</f>
        <v>0</v>
      </c>
      <c r="AR18" s="349">
        <f>'VETS-701 Tech Perf Report'!CG45</f>
        <v>0</v>
      </c>
      <c r="AS18" s="391">
        <f>IFERROR(AR18/AQ18,0)</f>
        <v>0</v>
      </c>
      <c r="AT18" s="354">
        <f>'VETS-700 Planned Goals'!DH30</f>
        <v>0</v>
      </c>
      <c r="AU18" s="354">
        <f>'VETS-701 Tech Perf Report'!DI45</f>
        <v>0</v>
      </c>
      <c r="AV18" s="391">
        <f>IFERROR(AU18/AT18,0)</f>
        <v>0</v>
      </c>
      <c r="AW18" s="354">
        <f>'VETS-700 Planned Goals'!DH30</f>
        <v>0</v>
      </c>
      <c r="AX18" s="354">
        <f>'VETS-701 Tech Perf Report'!DI45</f>
        <v>0</v>
      </c>
      <c r="AY18" s="359">
        <f t="shared" si="0"/>
        <v>0</v>
      </c>
    </row>
    <row r="19" spans="1:51" x14ac:dyDescent="0.3">
      <c r="A19" s="27"/>
      <c r="B19" s="286" t="s">
        <v>2656</v>
      </c>
      <c r="C19" s="172" t="s">
        <v>2519</v>
      </c>
      <c r="D19" s="348"/>
      <c r="E19" s="348"/>
      <c r="F19" s="363"/>
      <c r="G19" s="361"/>
      <c r="H19" s="348"/>
      <c r="I19" s="370"/>
      <c r="J19" s="348"/>
      <c r="K19" s="348"/>
      <c r="L19" s="370"/>
      <c r="M19" s="348"/>
      <c r="N19" s="348"/>
      <c r="O19" s="370"/>
      <c r="P19" s="348"/>
      <c r="Q19" s="348"/>
      <c r="R19" s="370"/>
      <c r="S19" s="348"/>
      <c r="T19" s="348"/>
      <c r="U19" s="371"/>
      <c r="V19" s="348"/>
      <c r="W19" s="348"/>
      <c r="X19" s="371"/>
      <c r="Y19" s="358">
        <f>'VETS-700 Planned Goals'!BH31</f>
        <v>0</v>
      </c>
      <c r="Z19" s="358">
        <f>'VETS-701 Tech Perf Report'!DF46</f>
        <v>0</v>
      </c>
      <c r="AA19" s="368">
        <f>IFERROR(Z19/Y19,0)</f>
        <v>0</v>
      </c>
      <c r="AB19" s="358">
        <f>'VETS-700 Planned Goals'!DE31</f>
        <v>0</v>
      </c>
      <c r="AC19" s="358">
        <f>'VETS-701 Tech Perf Report'!DF46</f>
        <v>0</v>
      </c>
      <c r="AD19" s="368">
        <f>IFERROR(AC19/AB19,0)</f>
        <v>0</v>
      </c>
      <c r="AE19" s="358">
        <f>'VETS-700 Planned Goals'!BP31</f>
        <v>0</v>
      </c>
      <c r="AF19" s="358">
        <f>'VETS-701 Tech Perf Report'!BQ46</f>
        <v>0</v>
      </c>
      <c r="AG19" s="368">
        <f>IFERROR(AF19/AE19,0)</f>
        <v>0</v>
      </c>
      <c r="AH19" s="358">
        <f>'VETS-700 Planned Goals'!DF31</f>
        <v>0</v>
      </c>
      <c r="AI19" s="358">
        <f>'VETS-701 Tech Perf Report'!DG46</f>
        <v>0</v>
      </c>
      <c r="AJ19" s="368">
        <f>IFERROR(AI19/AH19,0)</f>
        <v>0</v>
      </c>
      <c r="AK19" s="358">
        <f>'VETS-700 Planned Goals'!BX31</f>
        <v>0</v>
      </c>
      <c r="AL19" s="358">
        <f>'VETS-701 Tech Perf Report'!BY46</f>
        <v>0</v>
      </c>
      <c r="AM19" s="368">
        <f>IFERROR(AL19/AK19,0)</f>
        <v>0</v>
      </c>
      <c r="AN19" s="358">
        <f>'VETS-700 Planned Goals'!DG31</f>
        <v>0</v>
      </c>
      <c r="AO19" s="358">
        <f>'VETS-701 Tech Perf Report'!DH46</f>
        <v>0</v>
      </c>
      <c r="AP19" s="368">
        <f>IFERROR(AO19/AN19,0)</f>
        <v>0</v>
      </c>
      <c r="AQ19" s="358">
        <f>'VETS-700 Planned Goals'!CF31</f>
        <v>0</v>
      </c>
      <c r="AR19" s="358">
        <f>'VETS-701 Tech Perf Report'!CG46</f>
        <v>0</v>
      </c>
      <c r="AS19" s="368">
        <f>IFERROR(AR19/AQ19,0)</f>
        <v>0</v>
      </c>
      <c r="AT19" s="358">
        <f>'VETS-700 Planned Goals'!DH31</f>
        <v>0</v>
      </c>
      <c r="AU19" s="358">
        <f>'VETS-701 Tech Perf Report'!DI46</f>
        <v>0</v>
      </c>
      <c r="AV19" s="368">
        <f>IFERROR(AU19/AT19,0)</f>
        <v>0</v>
      </c>
      <c r="AW19" s="358">
        <f>'VETS-700 Planned Goals'!DH31</f>
        <v>0</v>
      </c>
      <c r="AX19" s="358">
        <f>'VETS-701 Tech Perf Report'!DI46</f>
        <v>0</v>
      </c>
      <c r="AY19" s="358">
        <f t="shared" si="0"/>
        <v>0</v>
      </c>
    </row>
    <row r="20" spans="1:51" x14ac:dyDescent="0.3">
      <c r="A20" s="27"/>
      <c r="B20" s="283" t="s">
        <v>2838</v>
      </c>
      <c r="C20" s="138"/>
      <c r="D20" s="378"/>
      <c r="E20" s="379"/>
      <c r="F20" s="380"/>
      <c r="G20" s="381"/>
      <c r="H20" s="379"/>
      <c r="I20" s="380"/>
      <c r="J20" s="381"/>
      <c r="K20" s="379"/>
      <c r="L20" s="380"/>
      <c r="M20" s="378"/>
      <c r="N20" s="379"/>
      <c r="O20" s="380"/>
      <c r="P20" s="381"/>
      <c r="Q20" s="379"/>
      <c r="R20" s="380"/>
      <c r="S20" s="381"/>
      <c r="T20" s="382"/>
      <c r="U20" s="383"/>
      <c r="V20" s="381"/>
      <c r="W20" s="379"/>
      <c r="X20" s="384"/>
      <c r="Y20" s="385"/>
      <c r="Z20" s="382"/>
      <c r="AA20" s="386"/>
      <c r="AB20" s="378"/>
      <c r="AC20" s="379"/>
      <c r="AD20" s="386"/>
      <c r="AE20" s="378"/>
      <c r="AF20" s="379"/>
      <c r="AG20" s="386"/>
      <c r="AH20" s="385"/>
      <c r="AI20" s="382"/>
      <c r="AJ20" s="386"/>
      <c r="AK20" s="385"/>
      <c r="AL20" s="378"/>
      <c r="AM20" s="386"/>
      <c r="AN20" s="381"/>
      <c r="AO20" s="379"/>
      <c r="AP20" s="386"/>
      <c r="AQ20" s="381"/>
      <c r="AR20" s="379"/>
      <c r="AS20" s="386"/>
      <c r="AT20" s="381"/>
      <c r="AU20" s="379"/>
      <c r="AV20" s="386"/>
      <c r="AW20" s="385"/>
      <c r="AX20" s="382"/>
      <c r="AY20" s="387"/>
    </row>
    <row r="21" spans="1:51" x14ac:dyDescent="0.3">
      <c r="A21" s="27"/>
      <c r="B21" s="13" t="s">
        <v>2643</v>
      </c>
      <c r="C21" t="s">
        <v>2511</v>
      </c>
      <c r="D21" s="13">
        <f>IFERROR(ROUND('VETS-700 Planned Goals'!AB33,0),0)</f>
        <v>0</v>
      </c>
      <c r="E21" s="13">
        <f>'VETS-701 Tech Perf Report'!AC25</f>
        <v>0</v>
      </c>
      <c r="F21" s="357">
        <f t="shared" si="1"/>
        <v>0</v>
      </c>
      <c r="G21" s="364">
        <f>IFERROR(ROUND('VETS-700 Planned Goals'!AJ33,0),0)</f>
        <v>0</v>
      </c>
      <c r="H21" s="13">
        <f>'VETS-701 Tech Perf Report'!AK25</f>
        <v>0</v>
      </c>
      <c r="I21" s="367">
        <f t="shared" si="2"/>
        <v>0</v>
      </c>
      <c r="J21" s="355">
        <f>'VETS-700 Planned Goals'!DB33</f>
        <v>0</v>
      </c>
      <c r="K21" s="13">
        <f>'VETS-701 Tech Perf Report'!DC25</f>
        <v>0</v>
      </c>
      <c r="L21" s="367">
        <f t="shared" si="3"/>
        <v>0</v>
      </c>
      <c r="M21" s="13">
        <f>IFERROR(ROUND('VETS-700 Planned Goals'!AR33,0),0)</f>
        <v>0</v>
      </c>
      <c r="N21" s="13">
        <f>'VETS-701 Tech Perf Report'!AS25</f>
        <v>0</v>
      </c>
      <c r="O21" s="367">
        <f t="shared" si="4"/>
        <v>0</v>
      </c>
      <c r="P21" s="355">
        <f>'VETS-700 Planned Goals'!DC33</f>
        <v>0</v>
      </c>
      <c r="Q21" s="13">
        <f>'VETS-701 Tech Perf Report'!DD25</f>
        <v>0</v>
      </c>
      <c r="R21" s="367">
        <f t="shared" si="5"/>
        <v>0</v>
      </c>
      <c r="S21" s="13">
        <f>IFERROR(ROUND('VETS-700 Planned Goals'!AZ33,0),0)</f>
        <v>0</v>
      </c>
      <c r="T21" s="13">
        <f>'VETS-701 Tech Perf Report'!BA25</f>
        <v>0</v>
      </c>
      <c r="U21" s="373">
        <f t="shared" si="6"/>
        <v>0</v>
      </c>
      <c r="V21" s="355">
        <f>'VETS-700 Planned Goals'!DD33</f>
        <v>0</v>
      </c>
      <c r="W21" s="13">
        <f>'VETS-701 Tech Perf Report'!DE25</f>
        <v>0</v>
      </c>
      <c r="X21" s="373">
        <f t="shared" si="7"/>
        <v>0</v>
      </c>
      <c r="Y21" s="348"/>
      <c r="Z21" s="348"/>
      <c r="AA21" s="369"/>
      <c r="AB21" s="348"/>
      <c r="AC21" s="348"/>
      <c r="AD21" s="369"/>
      <c r="AE21" s="348"/>
      <c r="AF21" s="348"/>
      <c r="AG21" s="369"/>
      <c r="AH21" s="348"/>
      <c r="AI21" s="348"/>
      <c r="AJ21" s="369"/>
      <c r="AK21" s="348"/>
      <c r="AL21" s="348"/>
      <c r="AM21" s="369"/>
      <c r="AN21" s="348"/>
      <c r="AO21" s="348"/>
      <c r="AP21" s="369"/>
      <c r="AQ21" s="348"/>
      <c r="AR21" s="348"/>
      <c r="AS21" s="369"/>
      <c r="AT21" s="348"/>
      <c r="AU21" s="348"/>
      <c r="AV21" s="369"/>
      <c r="AW21" s="355">
        <f>'VETS-700 Planned Goals'!DD33</f>
        <v>0</v>
      </c>
      <c r="AX21" s="13">
        <f>'VETS-701 Tech Perf Report'!DE25</f>
        <v>0</v>
      </c>
      <c r="AY21" s="357">
        <f t="shared" ref="AY21:AY43" si="8">IF(AW21&gt;0,AX21/AW21,0)</f>
        <v>0</v>
      </c>
    </row>
    <row r="22" spans="1:51" x14ac:dyDescent="0.3">
      <c r="A22" s="27"/>
      <c r="B22" s="286" t="s">
        <v>2644</v>
      </c>
      <c r="C22" s="172" t="s">
        <v>2512</v>
      </c>
      <c r="D22" s="286">
        <f>IFERROR(ROUND('VETS-700 Planned Goals'!AB34,0),0)</f>
        <v>0</v>
      </c>
      <c r="E22" s="286">
        <f>'VETS-701 Tech Perf Report'!AC26</f>
        <v>0</v>
      </c>
      <c r="F22" s="358">
        <f t="shared" si="1"/>
        <v>0</v>
      </c>
      <c r="G22" s="360">
        <f>IFERROR(ROUND('VETS-700 Planned Goals'!AJ34,0),0)</f>
        <v>0</v>
      </c>
      <c r="H22" s="286">
        <f>'VETS-701 Tech Perf Report'!AK26</f>
        <v>0</v>
      </c>
      <c r="I22" s="366">
        <f t="shared" si="2"/>
        <v>0</v>
      </c>
      <c r="J22" s="353">
        <f>'VETS-700 Planned Goals'!DB34</f>
        <v>0</v>
      </c>
      <c r="K22" s="286">
        <f>'VETS-701 Tech Perf Report'!DC26</f>
        <v>0</v>
      </c>
      <c r="L22" s="366">
        <f t="shared" si="3"/>
        <v>0</v>
      </c>
      <c r="M22" s="286">
        <f>IFERROR(ROUND('VETS-700 Planned Goals'!AR34,0),0)</f>
        <v>0</v>
      </c>
      <c r="N22" s="286">
        <f>'VETS-701 Tech Perf Report'!AS26</f>
        <v>0</v>
      </c>
      <c r="O22" s="366">
        <f t="shared" si="4"/>
        <v>0</v>
      </c>
      <c r="P22" s="353">
        <f>'VETS-700 Planned Goals'!DC34</f>
        <v>0</v>
      </c>
      <c r="Q22" s="286">
        <f>'VETS-701 Tech Perf Report'!DD26</f>
        <v>0</v>
      </c>
      <c r="R22" s="366">
        <f t="shared" si="5"/>
        <v>0</v>
      </c>
      <c r="S22" s="286">
        <f>IFERROR(ROUND('VETS-700 Planned Goals'!AZ34,0),0)</f>
        <v>0</v>
      </c>
      <c r="T22" s="286">
        <f>'VETS-701 Tech Perf Report'!BA26</f>
        <v>0</v>
      </c>
      <c r="U22" s="368">
        <f t="shared" si="6"/>
        <v>0</v>
      </c>
      <c r="V22" s="353">
        <f>'VETS-700 Planned Goals'!DD34</f>
        <v>0</v>
      </c>
      <c r="W22" s="286">
        <f>'VETS-701 Tech Perf Report'!DE26</f>
        <v>0</v>
      </c>
      <c r="X22" s="368">
        <f t="shared" si="7"/>
        <v>0</v>
      </c>
      <c r="Y22" s="348"/>
      <c r="Z22" s="348"/>
      <c r="AA22" s="369"/>
      <c r="AB22" s="348"/>
      <c r="AC22" s="348"/>
      <c r="AD22" s="369"/>
      <c r="AE22" s="348"/>
      <c r="AF22" s="348"/>
      <c r="AG22" s="369"/>
      <c r="AH22" s="348"/>
      <c r="AI22" s="348"/>
      <c r="AJ22" s="369"/>
      <c r="AK22" s="348"/>
      <c r="AL22" s="348"/>
      <c r="AM22" s="369"/>
      <c r="AN22" s="348"/>
      <c r="AO22" s="348"/>
      <c r="AP22" s="369"/>
      <c r="AQ22" s="348"/>
      <c r="AR22" s="348"/>
      <c r="AS22" s="369"/>
      <c r="AT22" s="348"/>
      <c r="AU22" s="348"/>
      <c r="AV22" s="369"/>
      <c r="AW22" s="353">
        <f>'VETS-700 Planned Goals'!DD34</f>
        <v>0</v>
      </c>
      <c r="AX22" s="286">
        <f>'VETS-701 Tech Perf Report'!DE26</f>
        <v>0</v>
      </c>
      <c r="AY22" s="358">
        <f t="shared" si="8"/>
        <v>0</v>
      </c>
    </row>
    <row r="23" spans="1:51" x14ac:dyDescent="0.3">
      <c r="A23" s="27"/>
      <c r="B23" s="13" t="s">
        <v>2645</v>
      </c>
      <c r="C23" t="s">
        <v>2513</v>
      </c>
      <c r="D23" s="13">
        <f>IFERROR(ROUND('VETS-700 Planned Goals'!AB35,0),0)</f>
        <v>0</v>
      </c>
      <c r="E23" s="355">
        <f>'VETS-701 Tech Perf Report'!AC27</f>
        <v>0</v>
      </c>
      <c r="F23" s="357">
        <f t="shared" si="1"/>
        <v>0</v>
      </c>
      <c r="G23" s="364">
        <f>IFERROR(ROUND('VETS-700 Planned Goals'!AJ35,0),0)</f>
        <v>0</v>
      </c>
      <c r="H23" s="13">
        <f>'VETS-701 Tech Perf Report'!AK27</f>
        <v>0</v>
      </c>
      <c r="I23" s="367">
        <f t="shared" si="2"/>
        <v>0</v>
      </c>
      <c r="J23" s="355">
        <f>'VETS-700 Planned Goals'!DB35</f>
        <v>0</v>
      </c>
      <c r="K23" s="13">
        <f>'VETS-701 Tech Perf Report'!DC27</f>
        <v>0</v>
      </c>
      <c r="L23" s="367">
        <f t="shared" si="3"/>
        <v>0</v>
      </c>
      <c r="M23" s="13">
        <f>IFERROR(ROUND('VETS-700 Planned Goals'!AR35,0),0)</f>
        <v>0</v>
      </c>
      <c r="N23" s="13">
        <f>'VETS-701 Tech Perf Report'!AS27</f>
        <v>0</v>
      </c>
      <c r="O23" s="367">
        <f t="shared" si="4"/>
        <v>0</v>
      </c>
      <c r="P23" s="355">
        <f>'VETS-700 Planned Goals'!DC35</f>
        <v>0</v>
      </c>
      <c r="Q23" s="13">
        <f>'VETS-701 Tech Perf Report'!DD27</f>
        <v>0</v>
      </c>
      <c r="R23" s="367">
        <f t="shared" si="5"/>
        <v>0</v>
      </c>
      <c r="S23" s="13">
        <f>IFERROR(ROUND('VETS-700 Planned Goals'!AZ35,0),0)</f>
        <v>0</v>
      </c>
      <c r="T23" s="13">
        <f>'VETS-701 Tech Perf Report'!BA27</f>
        <v>0</v>
      </c>
      <c r="U23" s="373">
        <f t="shared" si="6"/>
        <v>0</v>
      </c>
      <c r="V23" s="355">
        <f>'VETS-700 Planned Goals'!DD35</f>
        <v>0</v>
      </c>
      <c r="W23" s="13">
        <f>'VETS-701 Tech Perf Report'!DE27</f>
        <v>0</v>
      </c>
      <c r="X23" s="373">
        <f t="shared" si="7"/>
        <v>0</v>
      </c>
      <c r="Y23" s="348"/>
      <c r="Z23" s="348"/>
      <c r="AA23" s="369"/>
      <c r="AB23" s="348"/>
      <c r="AC23" s="348"/>
      <c r="AD23" s="369"/>
      <c r="AE23" s="348"/>
      <c r="AF23" s="348"/>
      <c r="AG23" s="369"/>
      <c r="AH23" s="348"/>
      <c r="AI23" s="348"/>
      <c r="AJ23" s="369"/>
      <c r="AK23" s="348"/>
      <c r="AL23" s="348"/>
      <c r="AM23" s="369"/>
      <c r="AN23" s="348"/>
      <c r="AO23" s="348"/>
      <c r="AP23" s="369"/>
      <c r="AQ23" s="348"/>
      <c r="AR23" s="348"/>
      <c r="AS23" s="369"/>
      <c r="AT23" s="348"/>
      <c r="AU23" s="348"/>
      <c r="AV23" s="369"/>
      <c r="AW23" s="355">
        <f>'VETS-700 Planned Goals'!DD35</f>
        <v>0</v>
      </c>
      <c r="AX23" s="13">
        <f>'VETS-701 Tech Perf Report'!DE27</f>
        <v>0</v>
      </c>
      <c r="AY23" s="357">
        <f t="shared" si="8"/>
        <v>0</v>
      </c>
    </row>
    <row r="24" spans="1:51" x14ac:dyDescent="0.3">
      <c r="A24" s="27"/>
      <c r="B24" s="286" t="s">
        <v>2646</v>
      </c>
      <c r="C24" s="272" t="s">
        <v>2515</v>
      </c>
      <c r="D24" s="358">
        <f>'VETS-700 Planned Goals'!AB36</f>
        <v>0</v>
      </c>
      <c r="E24" s="358">
        <f>'VETS-701 Tech Perf Report'!AC28</f>
        <v>0</v>
      </c>
      <c r="F24" s="358">
        <f t="shared" si="1"/>
        <v>0</v>
      </c>
      <c r="G24" s="388">
        <f>'VETS-700 Planned Goals'!AJ36</f>
        <v>0</v>
      </c>
      <c r="H24" s="358">
        <f>'VETS-701 Tech Perf Report'!AK28</f>
        <v>0</v>
      </c>
      <c r="I24" s="366">
        <f t="shared" si="2"/>
        <v>0</v>
      </c>
      <c r="J24" s="358">
        <f>'VETS-700 Planned Goals'!DB36</f>
        <v>0</v>
      </c>
      <c r="K24" s="358">
        <f>'VETS-701 Tech Perf Report'!DC28</f>
        <v>0</v>
      </c>
      <c r="L24" s="366">
        <f t="shared" si="3"/>
        <v>0</v>
      </c>
      <c r="M24" s="358">
        <f>'VETS-700 Planned Goals'!AR36</f>
        <v>0</v>
      </c>
      <c r="N24" s="358">
        <f>'VETS-701 Tech Perf Report'!AS28</f>
        <v>0</v>
      </c>
      <c r="O24" s="366">
        <f t="shared" si="4"/>
        <v>0</v>
      </c>
      <c r="P24" s="358">
        <f>'VETS-700 Planned Goals'!DC36</f>
        <v>0</v>
      </c>
      <c r="Q24" s="358">
        <f>'VETS-701 Tech Perf Report'!DD28</f>
        <v>0</v>
      </c>
      <c r="R24" s="366">
        <f t="shared" si="5"/>
        <v>0</v>
      </c>
      <c r="S24" s="358">
        <f>'VETS-700 Planned Goals'!AZ36</f>
        <v>0</v>
      </c>
      <c r="T24" s="358">
        <f>'VETS-701 Tech Perf Report'!BA28</f>
        <v>0</v>
      </c>
      <c r="U24" s="368">
        <f t="shared" si="6"/>
        <v>0</v>
      </c>
      <c r="V24" s="358">
        <f>'VETS-700 Planned Goals'!DD36</f>
        <v>0</v>
      </c>
      <c r="W24" s="358">
        <f>'VETS-701 Tech Perf Report'!DE28</f>
        <v>0</v>
      </c>
      <c r="X24" s="368">
        <f t="shared" si="7"/>
        <v>0</v>
      </c>
      <c r="Y24" s="348"/>
      <c r="Z24" s="348"/>
      <c r="AA24" s="369"/>
      <c r="AB24" s="348"/>
      <c r="AC24" s="348"/>
      <c r="AD24" s="369"/>
      <c r="AE24" s="348"/>
      <c r="AF24" s="348"/>
      <c r="AG24" s="369"/>
      <c r="AH24" s="348"/>
      <c r="AI24" s="348"/>
      <c r="AJ24" s="369"/>
      <c r="AK24" s="348"/>
      <c r="AL24" s="348"/>
      <c r="AM24" s="369"/>
      <c r="AN24" s="348"/>
      <c r="AO24" s="348"/>
      <c r="AP24" s="369"/>
      <c r="AQ24" s="348"/>
      <c r="AR24" s="348"/>
      <c r="AS24" s="369"/>
      <c r="AT24" s="348"/>
      <c r="AU24" s="348"/>
      <c r="AV24" s="369"/>
      <c r="AW24" s="358">
        <f>'VETS-700 Planned Goals'!DD36</f>
        <v>0</v>
      </c>
      <c r="AX24" s="358">
        <f>'VETS-701 Tech Perf Report'!DE28</f>
        <v>0</v>
      </c>
      <c r="AY24" s="358">
        <f t="shared" si="8"/>
        <v>0</v>
      </c>
    </row>
    <row r="25" spans="1:51" x14ac:dyDescent="0.3">
      <c r="A25" s="27"/>
      <c r="B25" s="13" t="s">
        <v>2647</v>
      </c>
      <c r="C25" t="s">
        <v>2726</v>
      </c>
      <c r="D25" s="349"/>
      <c r="E25" s="349">
        <f>'VETS-701 Tech Perf Report'!AC37</f>
        <v>0</v>
      </c>
      <c r="F25" s="359"/>
      <c r="G25" s="389"/>
      <c r="H25" s="349">
        <f>'VETS-701 Tech Perf Report'!AK37</f>
        <v>0</v>
      </c>
      <c r="I25" s="390"/>
      <c r="J25" s="349"/>
      <c r="K25" s="354">
        <f>'VETS-701 Tech Perf Report'!DC37</f>
        <v>0</v>
      </c>
      <c r="L25" s="390"/>
      <c r="M25" s="349"/>
      <c r="N25" s="349">
        <f>'VETS-701 Tech Perf Report'!AS37</f>
        <v>0</v>
      </c>
      <c r="O25" s="390"/>
      <c r="P25" s="349"/>
      <c r="Q25" s="354">
        <f>'VETS-701 Tech Perf Report'!DD37</f>
        <v>0</v>
      </c>
      <c r="R25" s="390"/>
      <c r="S25" s="349"/>
      <c r="T25" s="349">
        <f>'VETS-701 Tech Perf Report'!BA37</f>
        <v>0</v>
      </c>
      <c r="U25" s="391"/>
      <c r="V25" s="13"/>
      <c r="W25" s="355">
        <f>'VETS-701 Tech Perf Report'!DE37</f>
        <v>0</v>
      </c>
      <c r="X25" s="373"/>
      <c r="Y25" s="348"/>
      <c r="Z25" s="348"/>
      <c r="AA25" s="369"/>
      <c r="AB25" s="348"/>
      <c r="AC25" s="348"/>
      <c r="AD25" s="369"/>
      <c r="AE25" s="348"/>
      <c r="AF25" s="348"/>
      <c r="AG25" s="369"/>
      <c r="AH25" s="348"/>
      <c r="AI25" s="348"/>
      <c r="AJ25" s="369"/>
      <c r="AK25" s="348"/>
      <c r="AL25" s="348"/>
      <c r="AM25" s="369"/>
      <c r="AN25" s="348"/>
      <c r="AO25" s="348"/>
      <c r="AP25" s="369"/>
      <c r="AQ25" s="348"/>
      <c r="AR25" s="348"/>
      <c r="AS25" s="369"/>
      <c r="AT25" s="348"/>
      <c r="AU25" s="348"/>
      <c r="AV25" s="369"/>
      <c r="AW25" s="355">
        <f>IFERROR(ROUND(('VETS-700 Planned Goals'!CN37*'VETS-700 Planned Goals'!DH21),0),0)</f>
        <v>0</v>
      </c>
      <c r="AX25" s="355">
        <f>'VETS-701 Tech Perf Report'!DI37</f>
        <v>0</v>
      </c>
      <c r="AY25" s="357">
        <f t="shared" si="8"/>
        <v>0</v>
      </c>
    </row>
    <row r="26" spans="1:51" x14ac:dyDescent="0.3">
      <c r="A26" s="27"/>
      <c r="B26" s="286" t="s">
        <v>2648</v>
      </c>
      <c r="C26" s="172" t="s">
        <v>2727</v>
      </c>
      <c r="D26" s="286"/>
      <c r="E26" s="286">
        <f>'VETS-701 Tech Perf Report'!AC24</f>
        <v>0</v>
      </c>
      <c r="F26" s="358"/>
      <c r="G26" s="360"/>
      <c r="H26" s="286">
        <f>'VETS-701 Tech Perf Report'!AK24</f>
        <v>0</v>
      </c>
      <c r="I26" s="366"/>
      <c r="J26" s="286"/>
      <c r="K26" s="286">
        <f>'VETS-701 Tech Perf Report'!DC24</f>
        <v>0</v>
      </c>
      <c r="L26" s="366"/>
      <c r="M26" s="286"/>
      <c r="N26" s="286">
        <f>'VETS-701 Tech Perf Report'!AS24</f>
        <v>0</v>
      </c>
      <c r="O26" s="366"/>
      <c r="P26" s="286"/>
      <c r="Q26" s="286">
        <f>'VETS-701 Tech Perf Report'!DD24</f>
        <v>0</v>
      </c>
      <c r="R26" s="366"/>
      <c r="S26" s="286"/>
      <c r="T26" s="286">
        <f>'VETS-701 Tech Perf Report'!BA24</f>
        <v>0</v>
      </c>
      <c r="U26" s="368"/>
      <c r="V26" s="286"/>
      <c r="W26" s="286">
        <f>'VETS-701 Tech Perf Report'!DE24</f>
        <v>0</v>
      </c>
      <c r="X26" s="368"/>
      <c r="Y26" s="348"/>
      <c r="Z26" s="348"/>
      <c r="AA26" s="369"/>
      <c r="AB26" s="348"/>
      <c r="AC26" s="348"/>
      <c r="AD26" s="369"/>
      <c r="AE26" s="348"/>
      <c r="AF26" s="348"/>
      <c r="AG26" s="369"/>
      <c r="AH26" s="348"/>
      <c r="AI26" s="348"/>
      <c r="AJ26" s="369"/>
      <c r="AK26" s="348"/>
      <c r="AL26" s="348"/>
      <c r="AM26" s="369"/>
      <c r="AN26" s="348"/>
      <c r="AO26" s="348"/>
      <c r="AP26" s="369"/>
      <c r="AQ26" s="348"/>
      <c r="AR26" s="348"/>
      <c r="AS26" s="369"/>
      <c r="AT26" s="348"/>
      <c r="AU26" s="348"/>
      <c r="AV26" s="369"/>
      <c r="AW26" s="286">
        <f>IFERROR(ROUND(('VETS-700 Planned Goals'!CN38*'VETS-701 Tech Perf Report'!DE15),0),0)</f>
        <v>0</v>
      </c>
      <c r="AX26" s="286">
        <f>'VETS-701 Tech Perf Report'!DI24</f>
        <v>0</v>
      </c>
      <c r="AY26" s="358">
        <f t="shared" si="8"/>
        <v>0</v>
      </c>
    </row>
    <row r="27" spans="1:51" x14ac:dyDescent="0.3">
      <c r="A27" s="27"/>
      <c r="B27" s="13" t="s">
        <v>2649</v>
      </c>
      <c r="C27" t="s">
        <v>2729</v>
      </c>
      <c r="D27" s="349"/>
      <c r="E27" s="349">
        <f>'VETS-701 Tech Perf Report'!AC33</f>
        <v>0</v>
      </c>
      <c r="F27" s="359"/>
      <c r="G27" s="389"/>
      <c r="H27" s="349">
        <f>'VETS-701 Tech Perf Report'!AK33</f>
        <v>0</v>
      </c>
      <c r="I27" s="390"/>
      <c r="J27" s="349"/>
      <c r="K27" s="354">
        <f>'VETS-701 Tech Perf Report'!DC33</f>
        <v>0</v>
      </c>
      <c r="L27" s="390"/>
      <c r="M27" s="349"/>
      <c r="N27" s="349">
        <f>'VETS-701 Tech Perf Report'!AS33</f>
        <v>0</v>
      </c>
      <c r="O27" s="390"/>
      <c r="P27" s="349"/>
      <c r="Q27" s="354">
        <f>'VETS-701 Tech Perf Report'!DD33</f>
        <v>0</v>
      </c>
      <c r="R27" s="390"/>
      <c r="S27" s="349"/>
      <c r="T27" s="349">
        <f>'VETS-701 Tech Perf Report'!BA33</f>
        <v>0</v>
      </c>
      <c r="U27" s="391"/>
      <c r="V27" s="13"/>
      <c r="W27" s="355">
        <f>'VETS-701 Tech Perf Report'!DE33</f>
        <v>0</v>
      </c>
      <c r="X27" s="373"/>
      <c r="Y27" s="348"/>
      <c r="Z27" s="348"/>
      <c r="AA27" s="369"/>
      <c r="AB27" s="348"/>
      <c r="AC27" s="348"/>
      <c r="AD27" s="369"/>
      <c r="AE27" s="348"/>
      <c r="AF27" s="348"/>
      <c r="AG27" s="369"/>
      <c r="AH27" s="348"/>
      <c r="AI27" s="348"/>
      <c r="AJ27" s="369"/>
      <c r="AK27" s="348"/>
      <c r="AL27" s="348"/>
      <c r="AM27" s="369"/>
      <c r="AN27" s="348"/>
      <c r="AO27" s="348"/>
      <c r="AP27" s="369"/>
      <c r="AQ27" s="348"/>
      <c r="AR27" s="348"/>
      <c r="AS27" s="369"/>
      <c r="AT27" s="348"/>
      <c r="AU27" s="348"/>
      <c r="AV27" s="369"/>
      <c r="AW27" s="13">
        <f>IFERROR(ROUND(('VETS-700 Planned Goals'!CN39*'VETS-700 Planned Goals'!DD21),0),0)</f>
        <v>0</v>
      </c>
      <c r="AX27" s="355">
        <f>'VETS-701 Tech Perf Report'!DI33</f>
        <v>0</v>
      </c>
      <c r="AY27" s="357">
        <f t="shared" si="8"/>
        <v>0</v>
      </c>
    </row>
    <row r="28" spans="1:51" x14ac:dyDescent="0.3">
      <c r="A28" s="27"/>
      <c r="B28" s="286" t="s">
        <v>2650</v>
      </c>
      <c r="C28" s="172" t="s">
        <v>2728</v>
      </c>
      <c r="D28" s="286"/>
      <c r="E28" s="286">
        <f>'VETS-701 Tech Perf Report'!AC29</f>
        <v>0</v>
      </c>
      <c r="F28" s="358"/>
      <c r="G28" s="360"/>
      <c r="H28" s="286">
        <f>'VETS-701 Tech Perf Report'!AK29</f>
        <v>0</v>
      </c>
      <c r="I28" s="366"/>
      <c r="J28" s="286"/>
      <c r="K28" s="353">
        <f>'VETS-701 Tech Perf Report'!DC29</f>
        <v>0</v>
      </c>
      <c r="L28" s="366"/>
      <c r="M28" s="286"/>
      <c r="N28" s="286">
        <f>'VETS-701 Tech Perf Report'!AS29</f>
        <v>0</v>
      </c>
      <c r="O28" s="366"/>
      <c r="P28" s="286"/>
      <c r="Q28" s="353">
        <f>'VETS-701 Tech Perf Report'!DD29</f>
        <v>0</v>
      </c>
      <c r="R28" s="366"/>
      <c r="S28" s="286"/>
      <c r="T28" s="286">
        <f>'VETS-701 Tech Perf Report'!BA29</f>
        <v>0</v>
      </c>
      <c r="U28" s="368"/>
      <c r="V28" s="286"/>
      <c r="W28" s="353">
        <f>'VETS-701 Tech Perf Report'!DE29</f>
        <v>0</v>
      </c>
      <c r="X28" s="368"/>
      <c r="Y28" s="348"/>
      <c r="Z28" s="348"/>
      <c r="AA28" s="369"/>
      <c r="AB28" s="348"/>
      <c r="AC28" s="348"/>
      <c r="AD28" s="369"/>
      <c r="AE28" s="348"/>
      <c r="AF28" s="348"/>
      <c r="AG28" s="369"/>
      <c r="AH28" s="348"/>
      <c r="AI28" s="348"/>
      <c r="AJ28" s="369"/>
      <c r="AK28" s="348"/>
      <c r="AL28" s="348"/>
      <c r="AM28" s="369"/>
      <c r="AN28" s="348"/>
      <c r="AO28" s="348"/>
      <c r="AP28" s="369"/>
      <c r="AQ28" s="348"/>
      <c r="AR28" s="348"/>
      <c r="AS28" s="369"/>
      <c r="AT28" s="348"/>
      <c r="AU28" s="348"/>
      <c r="AV28" s="369"/>
      <c r="AW28" s="286">
        <f>IFERROR(ROUND(('VETS-700 Planned Goals'!CN40*'VETS-700 Planned Goals'!DD21),0),0)</f>
        <v>0</v>
      </c>
      <c r="AX28" s="353">
        <f>'VETS-701 Tech Perf Report'!DI29</f>
        <v>0</v>
      </c>
      <c r="AY28" s="358">
        <f t="shared" si="8"/>
        <v>0</v>
      </c>
    </row>
    <row r="29" spans="1:51" x14ac:dyDescent="0.3">
      <c r="A29" s="27"/>
      <c r="F29" s="266"/>
      <c r="G29" s="294"/>
      <c r="I29" s="301"/>
      <c r="L29" s="301"/>
      <c r="O29" s="301"/>
      <c r="R29" s="301"/>
      <c r="U29" s="304"/>
      <c r="X29" s="304"/>
      <c r="Y29" s="157"/>
      <c r="Z29" s="157"/>
      <c r="AA29" s="309"/>
      <c r="AB29" s="157"/>
      <c r="AC29" s="157"/>
      <c r="AD29" s="309"/>
      <c r="AE29" s="157"/>
      <c r="AF29" s="157"/>
      <c r="AG29" s="309"/>
      <c r="AH29" s="157"/>
      <c r="AI29" s="157"/>
      <c r="AJ29" s="309"/>
      <c r="AK29" s="157"/>
      <c r="AL29" s="157"/>
      <c r="AM29" s="309"/>
      <c r="AN29" s="157"/>
      <c r="AO29" s="157"/>
      <c r="AP29" s="309"/>
      <c r="AQ29" s="157"/>
      <c r="AR29" s="157"/>
      <c r="AS29" s="309"/>
      <c r="AT29" s="157"/>
      <c r="AU29" s="157"/>
      <c r="AV29" s="309"/>
      <c r="AY29" s="266"/>
    </row>
    <row r="30" spans="1:51" x14ac:dyDescent="0.3">
      <c r="A30" s="27"/>
      <c r="B30" s="283" t="s">
        <v>2839</v>
      </c>
      <c r="C30" s="138"/>
      <c r="D30" s="142"/>
      <c r="E30" s="291"/>
      <c r="F30" s="284"/>
      <c r="G30" s="297"/>
      <c r="H30" s="291"/>
      <c r="I30" s="302"/>
      <c r="J30" s="295"/>
      <c r="K30" s="291"/>
      <c r="L30" s="302"/>
      <c r="M30" s="295"/>
      <c r="N30" s="289"/>
      <c r="O30" s="296"/>
      <c r="P30" s="138"/>
      <c r="Q30" s="289"/>
      <c r="R30" s="296"/>
      <c r="S30" s="295"/>
      <c r="T30" s="289"/>
      <c r="U30" s="306"/>
      <c r="V30" s="295"/>
      <c r="W30" s="291"/>
      <c r="X30" s="305"/>
      <c r="Y30" s="295"/>
      <c r="Z30" s="291"/>
      <c r="AA30" s="313"/>
      <c r="AB30" s="138"/>
      <c r="AC30" s="138"/>
      <c r="AD30" s="313"/>
      <c r="AE30" s="138"/>
      <c r="AF30" s="291"/>
      <c r="AG30" s="311"/>
      <c r="AH30" s="142"/>
      <c r="AI30" s="291"/>
      <c r="AJ30" s="311"/>
      <c r="AK30" s="142"/>
      <c r="AL30" s="291"/>
      <c r="AM30" s="313"/>
      <c r="AN30" s="142"/>
      <c r="AO30" s="138"/>
      <c r="AP30" s="311"/>
      <c r="AQ30" s="142"/>
      <c r="AR30" s="142"/>
      <c r="AS30" s="313"/>
      <c r="AT30" s="142"/>
      <c r="AU30" s="291"/>
      <c r="AV30" s="313"/>
      <c r="AW30" s="295"/>
      <c r="AX30" s="289"/>
      <c r="AY30" s="290"/>
    </row>
    <row r="31" spans="1:51" x14ac:dyDescent="0.3">
      <c r="A31" s="27"/>
      <c r="B31" s="13" t="s">
        <v>2643</v>
      </c>
      <c r="C31" t="s">
        <v>2637</v>
      </c>
      <c r="D31" s="268"/>
      <c r="E31" s="355">
        <f>'VETS-701 Tech Perf Report'!AC49</f>
        <v>0</v>
      </c>
      <c r="F31" s="269"/>
      <c r="G31" s="298"/>
      <c r="H31" s="355">
        <f>'VETS-701 Tech Perf Report'!AK49</f>
        <v>0</v>
      </c>
      <c r="I31" s="303"/>
      <c r="J31" s="268"/>
      <c r="K31" s="355">
        <f>'VETS-701 Tech Perf Report'!DC49</f>
        <v>0</v>
      </c>
      <c r="L31" s="303"/>
      <c r="M31" s="268"/>
      <c r="N31" s="355">
        <f>'VETS-701 Tech Perf Report'!AS49</f>
        <v>0</v>
      </c>
      <c r="O31" s="303"/>
      <c r="P31" s="268"/>
      <c r="Q31" s="355">
        <f>'VETS-701 Tech Perf Report'!DD49</f>
        <v>0</v>
      </c>
      <c r="R31" s="303"/>
      <c r="S31" s="268"/>
      <c r="T31" s="355">
        <f>'VETS-701 Tech Perf Report'!BA49</f>
        <v>0</v>
      </c>
      <c r="U31" s="307"/>
      <c r="V31" s="268"/>
      <c r="W31" s="355">
        <f>'VETS-701 Tech Perf Report'!DE49</f>
        <v>0</v>
      </c>
      <c r="X31" s="307"/>
      <c r="Y31" s="157"/>
      <c r="Z31" s="157"/>
      <c r="AA31" s="309"/>
      <c r="AB31" s="157"/>
      <c r="AC31" s="157"/>
      <c r="AD31" s="309"/>
      <c r="AE31" s="157"/>
      <c r="AF31" s="157"/>
      <c r="AG31" s="309"/>
      <c r="AH31" s="157"/>
      <c r="AI31" s="157"/>
      <c r="AJ31" s="309"/>
      <c r="AK31" s="157"/>
      <c r="AL31" s="157"/>
      <c r="AM31" s="309"/>
      <c r="AN31" s="157"/>
      <c r="AO31" s="157"/>
      <c r="AP31" s="309"/>
      <c r="AQ31" s="157"/>
      <c r="AR31" s="157"/>
      <c r="AS31" s="309"/>
      <c r="AT31" s="157"/>
      <c r="AU31" s="157"/>
      <c r="AV31" s="309"/>
      <c r="AW31" s="13">
        <f>IFERROR(ROUND('VETS-700 Planned Goals'!CN43,0),0)</f>
        <v>0</v>
      </c>
      <c r="AX31" s="355">
        <f>'VETS-701 Tech Perf Report'!DE49</f>
        <v>0</v>
      </c>
      <c r="AY31" s="357">
        <f t="shared" si="8"/>
        <v>0</v>
      </c>
    </row>
    <row r="32" spans="1:51" x14ac:dyDescent="0.3">
      <c r="A32" s="27"/>
      <c r="B32" s="286" t="s">
        <v>2644</v>
      </c>
      <c r="C32" s="172" t="s">
        <v>2619</v>
      </c>
      <c r="D32" s="287"/>
      <c r="E32" s="353">
        <f>'VETS-701 Tech Perf Report'!AC51</f>
        <v>0</v>
      </c>
      <c r="F32" s="299"/>
      <c r="G32" s="287"/>
      <c r="H32" s="353">
        <f>'VETS-701 Tech Perf Report'!AK51</f>
        <v>0</v>
      </c>
      <c r="I32" s="299"/>
      <c r="J32" s="287"/>
      <c r="K32" s="353">
        <f>'VETS-701 Tech Perf Report'!DC51</f>
        <v>0</v>
      </c>
      <c r="L32" s="299"/>
      <c r="M32" s="287"/>
      <c r="N32" s="353">
        <f>'VETS-701 Tech Perf Report'!BA51</f>
        <v>0</v>
      </c>
      <c r="O32" s="299"/>
      <c r="P32" s="287"/>
      <c r="Q32" s="353">
        <f>'VETS-701 Tech Perf Report'!DD51</f>
        <v>0</v>
      </c>
      <c r="R32" s="299"/>
      <c r="S32" s="287"/>
      <c r="T32" s="353">
        <f>'VETS-701 Tech Perf Report'!BA51</f>
        <v>0</v>
      </c>
      <c r="U32" s="308"/>
      <c r="V32" s="287"/>
      <c r="W32" s="353">
        <f>'VETS-701 Tech Perf Report'!DE51</f>
        <v>0</v>
      </c>
      <c r="X32" s="308"/>
      <c r="Y32" s="157"/>
      <c r="Z32" s="157"/>
      <c r="AA32" s="309"/>
      <c r="AB32" s="157"/>
      <c r="AC32" s="157"/>
      <c r="AD32" s="309"/>
      <c r="AE32" s="157"/>
      <c r="AF32" s="157"/>
      <c r="AG32" s="309"/>
      <c r="AH32" s="157"/>
      <c r="AI32" s="157"/>
      <c r="AJ32" s="309"/>
      <c r="AK32" s="157"/>
      <c r="AL32" s="157"/>
      <c r="AM32" s="309"/>
      <c r="AN32" s="157"/>
      <c r="AO32" s="157"/>
      <c r="AP32" s="309"/>
      <c r="AQ32" s="157"/>
      <c r="AR32" s="157"/>
      <c r="AS32" s="309"/>
      <c r="AT32" s="157"/>
      <c r="AU32" s="157"/>
      <c r="AV32" s="309"/>
      <c r="AW32" s="286">
        <f>IFERROR(ROUND('VETS-700 Planned Goals'!CN44,0),0)</f>
        <v>0</v>
      </c>
      <c r="AX32" s="353">
        <f>'VETS-701 Tech Perf Report'!DE51</f>
        <v>0</v>
      </c>
      <c r="AY32" s="358">
        <f t="shared" si="8"/>
        <v>0</v>
      </c>
    </row>
    <row r="33" spans="1:51" x14ac:dyDescent="0.3">
      <c r="A33" s="27"/>
      <c r="B33" s="13" t="s">
        <v>2645</v>
      </c>
      <c r="C33" t="s">
        <v>2724</v>
      </c>
      <c r="D33" s="268"/>
      <c r="E33" s="355">
        <f>'VETS-701 Tech Perf Report'!AC52</f>
        <v>0</v>
      </c>
      <c r="F33" s="269"/>
      <c r="G33" s="298"/>
      <c r="H33" s="355">
        <f>'VETS-701 Tech Perf Report'!AK52</f>
        <v>0</v>
      </c>
      <c r="I33" s="303"/>
      <c r="J33" s="268"/>
      <c r="K33" s="355">
        <f>'VETS-701 Tech Perf Report'!DC52</f>
        <v>0</v>
      </c>
      <c r="L33" s="303"/>
      <c r="M33" s="268"/>
      <c r="N33" s="355">
        <f>'VETS-701 Tech Perf Report'!AS52</f>
        <v>0</v>
      </c>
      <c r="O33" s="303"/>
      <c r="P33" s="268"/>
      <c r="Q33" s="355">
        <f>'VETS-701 Tech Perf Report'!DD52</f>
        <v>0</v>
      </c>
      <c r="R33" s="303"/>
      <c r="S33" s="268"/>
      <c r="T33" s="355">
        <f>'VETS-701 Tech Perf Report'!BA52</f>
        <v>0</v>
      </c>
      <c r="U33" s="307"/>
      <c r="V33" s="268"/>
      <c r="W33" s="355">
        <f>'VETS-701 Tech Perf Report'!DE52</f>
        <v>0</v>
      </c>
      <c r="X33" s="307"/>
      <c r="Y33" s="157"/>
      <c r="Z33" s="157"/>
      <c r="AA33" s="309"/>
      <c r="AB33" s="157"/>
      <c r="AC33" s="157"/>
      <c r="AD33" s="309"/>
      <c r="AE33" s="157"/>
      <c r="AF33" s="157"/>
      <c r="AG33" s="309"/>
      <c r="AH33" s="157"/>
      <c r="AI33" s="157"/>
      <c r="AJ33" s="309"/>
      <c r="AK33" s="157"/>
      <c r="AL33" s="157"/>
      <c r="AM33" s="309"/>
      <c r="AN33" s="157"/>
      <c r="AO33" s="157"/>
      <c r="AP33" s="309"/>
      <c r="AQ33" s="157"/>
      <c r="AR33" s="157"/>
      <c r="AS33" s="309"/>
      <c r="AT33" s="157"/>
      <c r="AU33" s="157"/>
      <c r="AV33" s="309"/>
      <c r="AW33" s="13">
        <f>IFERROR(ROUND('VETS-700 Planned Goals'!CN45,0),0)</f>
        <v>0</v>
      </c>
      <c r="AX33" s="355">
        <f>'VETS-701 Tech Perf Report'!DE52</f>
        <v>0</v>
      </c>
      <c r="AY33" s="357">
        <f t="shared" si="8"/>
        <v>0</v>
      </c>
    </row>
    <row r="34" spans="1:51" x14ac:dyDescent="0.3">
      <c r="A34" s="27"/>
      <c r="B34" s="286" t="s">
        <v>2646</v>
      </c>
      <c r="C34" s="172" t="s">
        <v>2725</v>
      </c>
      <c r="D34" s="287"/>
      <c r="E34" s="353">
        <f>'VETS-701 Tech Perf Report'!AC53</f>
        <v>0</v>
      </c>
      <c r="F34" s="288"/>
      <c r="G34" s="300"/>
      <c r="H34" s="353">
        <f>'VETS-701 Tech Perf Report'!AK53</f>
        <v>0</v>
      </c>
      <c r="I34" s="299"/>
      <c r="J34" s="287"/>
      <c r="K34" s="286">
        <f>'VETS-701 Tech Perf Report'!DC53</f>
        <v>0</v>
      </c>
      <c r="L34" s="299"/>
      <c r="M34" s="287"/>
      <c r="N34" s="353">
        <f>'VETS-701 Tech Perf Report'!AS53</f>
        <v>0</v>
      </c>
      <c r="O34" s="299"/>
      <c r="P34" s="287"/>
      <c r="Q34" s="353">
        <f>'VETS-701 Tech Perf Report'!DD53</f>
        <v>0</v>
      </c>
      <c r="R34" s="299"/>
      <c r="S34" s="287"/>
      <c r="T34" s="353">
        <f>'VETS-701 Tech Perf Report'!BA53</f>
        <v>0</v>
      </c>
      <c r="U34" s="308"/>
      <c r="V34" s="287"/>
      <c r="W34" s="353">
        <f>'VETS-701 Tech Perf Report'!DE53</f>
        <v>0</v>
      </c>
      <c r="X34" s="308"/>
      <c r="Y34" s="157"/>
      <c r="Z34" s="157"/>
      <c r="AA34" s="309"/>
      <c r="AB34" s="157"/>
      <c r="AC34" s="157"/>
      <c r="AD34" s="309"/>
      <c r="AE34" s="157"/>
      <c r="AF34" s="157"/>
      <c r="AG34" s="309"/>
      <c r="AH34" s="157"/>
      <c r="AI34" s="157"/>
      <c r="AJ34" s="309"/>
      <c r="AK34" s="157"/>
      <c r="AL34" s="157"/>
      <c r="AM34" s="309"/>
      <c r="AN34" s="157"/>
      <c r="AO34" s="157"/>
      <c r="AP34" s="309"/>
      <c r="AQ34" s="157"/>
      <c r="AR34" s="157"/>
      <c r="AS34" s="309"/>
      <c r="AT34" s="157"/>
      <c r="AU34" s="157"/>
      <c r="AV34" s="309"/>
      <c r="AW34" s="286">
        <f>IFERROR(ROUND('VETS-700 Planned Goals'!CN46,0),0)</f>
        <v>0</v>
      </c>
      <c r="AX34" s="353">
        <f>'VETS-701 Tech Perf Report'!DE53</f>
        <v>0</v>
      </c>
      <c r="AY34" s="358">
        <f t="shared" si="8"/>
        <v>0</v>
      </c>
    </row>
    <row r="35" spans="1:51" x14ac:dyDescent="0.3">
      <c r="A35" s="27"/>
      <c r="B35" s="13" t="s">
        <v>2647</v>
      </c>
      <c r="C35" t="s">
        <v>2521</v>
      </c>
      <c r="D35" s="268"/>
      <c r="E35" s="355">
        <f>'VETS-701 Tech Perf Report'!AC57</f>
        <v>0</v>
      </c>
      <c r="F35" s="269"/>
      <c r="G35" s="298"/>
      <c r="H35" s="355">
        <f>'VETS-701 Tech Perf Report'!AK57</f>
        <v>0</v>
      </c>
      <c r="I35" s="303"/>
      <c r="J35" s="268"/>
      <c r="K35" s="355">
        <f>'VETS-701 Tech Perf Report'!DC57</f>
        <v>0</v>
      </c>
      <c r="L35" s="303"/>
      <c r="M35" s="268"/>
      <c r="N35" s="355">
        <f>'VETS-701 Tech Perf Report'!AS57</f>
        <v>0</v>
      </c>
      <c r="O35" s="303"/>
      <c r="P35" s="268"/>
      <c r="Q35" s="355">
        <f>'VETS-701 Tech Perf Report'!DD57</f>
        <v>0</v>
      </c>
      <c r="R35" s="303"/>
      <c r="S35" s="268"/>
      <c r="T35" s="355">
        <f>'VETS-701 Tech Perf Report'!BA57</f>
        <v>0</v>
      </c>
      <c r="U35" s="307"/>
      <c r="V35" s="268"/>
      <c r="W35" s="355">
        <f>'VETS-701 Tech Perf Report'!DE57</f>
        <v>0</v>
      </c>
      <c r="X35" s="307"/>
      <c r="Y35" s="157"/>
      <c r="Z35" s="157"/>
      <c r="AA35" s="309"/>
      <c r="AB35" s="157"/>
      <c r="AC35" s="157"/>
      <c r="AD35" s="309"/>
      <c r="AE35" s="157"/>
      <c r="AF35" s="157"/>
      <c r="AG35" s="309"/>
      <c r="AH35" s="157"/>
      <c r="AI35" s="157"/>
      <c r="AJ35" s="309"/>
      <c r="AK35" s="157"/>
      <c r="AL35" s="157"/>
      <c r="AM35" s="309"/>
      <c r="AN35" s="157"/>
      <c r="AO35" s="157"/>
      <c r="AP35" s="309"/>
      <c r="AQ35" s="157"/>
      <c r="AR35" s="157"/>
      <c r="AS35" s="309"/>
      <c r="AT35" s="157"/>
      <c r="AU35" s="157"/>
      <c r="AV35" s="309"/>
      <c r="AW35" s="13">
        <f>IFERROR(ROUND('VETS-700 Planned Goals'!CN47,0),0)</f>
        <v>0</v>
      </c>
      <c r="AX35" s="355">
        <f>'VETS-701 Tech Perf Report'!DE57</f>
        <v>0</v>
      </c>
      <c r="AY35" s="359">
        <f t="shared" si="8"/>
        <v>0</v>
      </c>
    </row>
    <row r="36" spans="1:51" x14ac:dyDescent="0.3">
      <c r="A36" s="27"/>
      <c r="B36" s="286" t="s">
        <v>2648</v>
      </c>
      <c r="C36" s="172" t="s">
        <v>2514</v>
      </c>
      <c r="D36" s="287"/>
      <c r="E36" s="353">
        <f>'VETS-701 Tech Perf Report'!AC68</f>
        <v>0</v>
      </c>
      <c r="F36" s="288"/>
      <c r="G36" s="300"/>
      <c r="H36" s="353">
        <f>'VETS-701 Tech Perf Report'!AK68</f>
        <v>0</v>
      </c>
      <c r="I36" s="299"/>
      <c r="J36" s="287"/>
      <c r="K36" s="353">
        <f>'VETS-701 Tech Perf Report'!DC68</f>
        <v>0</v>
      </c>
      <c r="L36" s="299"/>
      <c r="M36" s="287"/>
      <c r="N36" s="353">
        <f>'VETS-701 Tech Perf Report'!AS68</f>
        <v>0</v>
      </c>
      <c r="O36" s="299"/>
      <c r="P36" s="287"/>
      <c r="Q36" s="353">
        <f>'VETS-701 Tech Perf Report'!DD68</f>
        <v>0</v>
      </c>
      <c r="R36" s="299"/>
      <c r="S36" s="287"/>
      <c r="T36" s="353">
        <f>'VETS-701 Tech Perf Report'!BA68</f>
        <v>0</v>
      </c>
      <c r="U36" s="308"/>
      <c r="V36" s="287"/>
      <c r="W36" s="353">
        <f>'VETS-701 Tech Perf Report'!DE68</f>
        <v>0</v>
      </c>
      <c r="X36" s="308"/>
      <c r="Y36" s="157"/>
      <c r="Z36" s="157"/>
      <c r="AA36" s="309"/>
      <c r="AB36" s="157"/>
      <c r="AC36" s="157"/>
      <c r="AD36" s="309"/>
      <c r="AE36" s="157"/>
      <c r="AF36" s="157"/>
      <c r="AG36" s="309"/>
      <c r="AH36" s="157"/>
      <c r="AI36" s="157"/>
      <c r="AJ36" s="309"/>
      <c r="AK36" s="157"/>
      <c r="AL36" s="157"/>
      <c r="AM36" s="309"/>
      <c r="AN36" s="157"/>
      <c r="AO36" s="157"/>
      <c r="AP36" s="309"/>
      <c r="AQ36" s="157"/>
      <c r="AR36" s="157"/>
      <c r="AS36" s="309"/>
      <c r="AT36" s="157"/>
      <c r="AU36" s="157"/>
      <c r="AV36" s="309"/>
      <c r="AW36" s="286">
        <f>IFERROR(ROUND('VETS-700 Planned Goals'!CN48,0),0)</f>
        <v>0</v>
      </c>
      <c r="AX36" s="353">
        <f>'VETS-701 Tech Perf Report'!DE68</f>
        <v>0</v>
      </c>
      <c r="AY36" s="358">
        <f t="shared" si="8"/>
        <v>0</v>
      </c>
    </row>
    <row r="37" spans="1:51" x14ac:dyDescent="0.3">
      <c r="A37" s="27"/>
      <c r="E37" s="13"/>
      <c r="F37" s="266"/>
      <c r="G37" s="294"/>
      <c r="H37" s="13"/>
      <c r="I37" s="301"/>
      <c r="K37" s="13"/>
      <c r="L37" s="301"/>
      <c r="O37" s="301"/>
      <c r="R37" s="301"/>
      <c r="U37" s="304"/>
      <c r="X37" s="304"/>
      <c r="AA37" s="312"/>
      <c r="AD37" s="312"/>
      <c r="AG37" s="312"/>
      <c r="AJ37" s="312"/>
      <c r="AM37" s="312"/>
      <c r="AP37" s="312"/>
      <c r="AS37" s="312"/>
      <c r="AV37" s="312"/>
      <c r="AW37" s="13"/>
      <c r="AX37" s="13"/>
      <c r="AY37" s="357"/>
    </row>
    <row r="38" spans="1:51" x14ac:dyDescent="0.3">
      <c r="A38" s="27"/>
      <c r="B38" s="283" t="s">
        <v>2840</v>
      </c>
      <c r="C38" s="138"/>
      <c r="D38" s="142"/>
      <c r="E38" s="138"/>
      <c r="F38" s="290"/>
      <c r="G38" s="297"/>
      <c r="H38" s="289"/>
      <c r="I38" s="296"/>
      <c r="J38" s="295"/>
      <c r="K38" s="291"/>
      <c r="L38" s="302"/>
      <c r="M38" s="142"/>
      <c r="N38" s="138"/>
      <c r="O38" s="296"/>
      <c r="P38" s="142"/>
      <c r="Q38" s="138"/>
      <c r="R38" s="296"/>
      <c r="S38" s="142"/>
      <c r="T38" s="138"/>
      <c r="U38" s="306"/>
      <c r="V38" s="142"/>
      <c r="W38" s="138"/>
      <c r="X38" s="306"/>
      <c r="Y38" s="142"/>
      <c r="Z38" s="291"/>
      <c r="AA38" s="313"/>
      <c r="AB38" s="295"/>
      <c r="AC38" s="289"/>
      <c r="AD38" s="311"/>
      <c r="AE38" s="138"/>
      <c r="AF38" s="289"/>
      <c r="AG38" s="311"/>
      <c r="AH38" s="142"/>
      <c r="AI38" s="291"/>
      <c r="AJ38" s="313"/>
      <c r="AK38" s="295"/>
      <c r="AL38" s="291"/>
      <c r="AM38" s="313"/>
      <c r="AN38" s="142"/>
      <c r="AO38" s="291"/>
      <c r="AP38" s="313"/>
      <c r="AQ38" s="295"/>
      <c r="AR38" s="289"/>
      <c r="AS38" s="311"/>
      <c r="AT38" s="293"/>
      <c r="AU38" s="291"/>
      <c r="AV38" s="313"/>
      <c r="AW38" s="295"/>
      <c r="AX38" s="289"/>
      <c r="AY38" s="290"/>
    </row>
    <row r="39" spans="1:51" x14ac:dyDescent="0.3">
      <c r="A39" s="27"/>
      <c r="B39" s="13" t="s">
        <v>2643</v>
      </c>
      <c r="C39" t="s">
        <v>2769</v>
      </c>
      <c r="D39" s="377">
        <f>IFERROR(ROUND('VETS-700 Planned Goals'!AB51,2),0)</f>
        <v>0</v>
      </c>
      <c r="E39" s="377">
        <f>IFERROR(ROUND('VETS-701 Tech Perf Report'!AC72,2),0)</f>
        <v>0</v>
      </c>
      <c r="F39" s="367">
        <f t="shared" si="1"/>
        <v>0</v>
      </c>
      <c r="G39" s="377">
        <f>IFERROR(ROUND('VETS-700 Planned Goals'!AJ51,2),0)</f>
        <v>0</v>
      </c>
      <c r="H39" s="377">
        <f>IFERROR(ROUND('VETS-701 Tech Perf Report'!AK72,2),0)</f>
        <v>0</v>
      </c>
      <c r="I39" s="367">
        <f t="shared" si="2"/>
        <v>0</v>
      </c>
      <c r="J39" s="377">
        <f>'VETS-700 Planned Goals'!DB51</f>
        <v>0</v>
      </c>
      <c r="K39" s="377">
        <f>'VETS-701 Tech Perf Report'!DC72</f>
        <v>0</v>
      </c>
      <c r="L39" s="367">
        <f t="shared" si="3"/>
        <v>0</v>
      </c>
      <c r="M39" s="377">
        <f>IFERROR(ROUND('VETS-700 Planned Goals'!AR51,2),0)</f>
        <v>0</v>
      </c>
      <c r="N39" s="377">
        <f>IFERROR(ROUND('VETS-701 Tech Perf Report'!AS72,2),0)</f>
        <v>0</v>
      </c>
      <c r="O39" s="367">
        <f t="shared" si="4"/>
        <v>0</v>
      </c>
      <c r="P39" s="377">
        <f>'VETS-700 Planned Goals'!DC51</f>
        <v>0</v>
      </c>
      <c r="Q39" s="377">
        <f>'VETS-701 Tech Perf Report'!DD72</f>
        <v>0</v>
      </c>
      <c r="R39" s="367">
        <f t="shared" si="5"/>
        <v>0</v>
      </c>
      <c r="S39" s="377">
        <f>IFERROR(ROUND('VETS-700 Planned Goals'!AZ51,2),0)</f>
        <v>0</v>
      </c>
      <c r="T39" s="377">
        <f>IFERROR(ROUND('VETS-701 Tech Perf Report'!BA72,2),0)</f>
        <v>0</v>
      </c>
      <c r="U39" s="373">
        <f t="shared" si="6"/>
        <v>0</v>
      </c>
      <c r="V39" s="377">
        <f>'VETS-700 Planned Goals'!DD51</f>
        <v>0</v>
      </c>
      <c r="W39" s="377">
        <f>'VETS-701 Tech Perf Report'!DE72</f>
        <v>0</v>
      </c>
      <c r="X39" s="373">
        <f t="shared" si="7"/>
        <v>0</v>
      </c>
      <c r="Y39" s="267"/>
      <c r="Z39" s="267"/>
      <c r="AA39" s="310"/>
      <c r="AB39" s="267"/>
      <c r="AC39" s="267"/>
      <c r="AD39" s="310"/>
      <c r="AE39" s="267"/>
      <c r="AF39" s="267"/>
      <c r="AG39" s="310"/>
      <c r="AH39" s="267"/>
      <c r="AI39" s="267"/>
      <c r="AJ39" s="310"/>
      <c r="AK39" s="267"/>
      <c r="AL39" s="267"/>
      <c r="AM39" s="310"/>
      <c r="AN39" s="267"/>
      <c r="AO39" s="267"/>
      <c r="AP39" s="310"/>
      <c r="AQ39" s="267"/>
      <c r="AR39" s="267"/>
      <c r="AS39" s="310"/>
      <c r="AT39" s="267"/>
      <c r="AU39" s="157"/>
      <c r="AV39" s="309"/>
      <c r="AW39" s="377">
        <f>'VETS-700 Planned Goals'!DD51</f>
        <v>0</v>
      </c>
      <c r="AX39" s="377">
        <f>'VETS-701 Tech Perf Report'!DE72</f>
        <v>0</v>
      </c>
      <c r="AY39" s="357">
        <f t="shared" si="8"/>
        <v>0</v>
      </c>
    </row>
    <row r="40" spans="1:51" x14ac:dyDescent="0.3">
      <c r="A40" s="27"/>
      <c r="B40" s="286" t="s">
        <v>2644</v>
      </c>
      <c r="C40" s="172" t="s">
        <v>2786</v>
      </c>
      <c r="D40" s="356">
        <f>IFERROR(ROUND('VETS-700 Planned Goals'!AB52,2),0)</f>
        <v>0</v>
      </c>
      <c r="E40" s="356">
        <f>IFERROR(ROUND('VETS-701 Tech Perf Report'!AC73,2),0)</f>
        <v>0</v>
      </c>
      <c r="F40" s="358">
        <f t="shared" si="1"/>
        <v>0</v>
      </c>
      <c r="G40" s="365">
        <f>IFERROR(ROUND('VETS-700 Planned Goals'!AJ52,2),0)</f>
        <v>0</v>
      </c>
      <c r="H40" s="356">
        <f>IFERROR(ROUND('VETS-701 Tech Perf Report'!AK73,2),0)</f>
        <v>0</v>
      </c>
      <c r="I40" s="366">
        <f t="shared" si="2"/>
        <v>0</v>
      </c>
      <c r="J40" s="356">
        <f>'VETS-700 Planned Goals'!DB52</f>
        <v>0</v>
      </c>
      <c r="K40" s="356">
        <f>'VETS-701 Tech Perf Report'!DC73</f>
        <v>0</v>
      </c>
      <c r="L40" s="366">
        <f t="shared" si="3"/>
        <v>0</v>
      </c>
      <c r="M40" s="356">
        <f>IFERROR(ROUND('VETS-700 Planned Goals'!AR51,2),0)</f>
        <v>0</v>
      </c>
      <c r="N40" s="356">
        <f>IFERROR(ROUND('VETS-701 Tech Perf Report'!AS73,2),0)</f>
        <v>0</v>
      </c>
      <c r="O40" s="366">
        <f t="shared" si="4"/>
        <v>0</v>
      </c>
      <c r="P40" s="356">
        <f>'VETS-700 Planned Goals'!DC52</f>
        <v>0</v>
      </c>
      <c r="Q40" s="356">
        <f>'VETS-701 Tech Perf Report'!DD73</f>
        <v>0</v>
      </c>
      <c r="R40" s="366">
        <f t="shared" si="5"/>
        <v>0</v>
      </c>
      <c r="S40" s="356">
        <f>IFERROR(ROUND('VETS-700 Planned Goals'!AZ52,2),0)</f>
        <v>0</v>
      </c>
      <c r="T40" s="356">
        <f>IFERROR(ROUND('VETS-701 Tech Perf Report'!BA73,2),0)</f>
        <v>0</v>
      </c>
      <c r="U40" s="368">
        <f t="shared" si="6"/>
        <v>0</v>
      </c>
      <c r="V40" s="356">
        <f>'VETS-700 Planned Goals'!DD52</f>
        <v>0</v>
      </c>
      <c r="W40" s="356">
        <f>'VETS-701 Tech Perf Report'!DE73</f>
        <v>0</v>
      </c>
      <c r="X40" s="368">
        <f t="shared" si="7"/>
        <v>0</v>
      </c>
      <c r="Y40" s="267"/>
      <c r="Z40" s="267"/>
      <c r="AA40" s="310"/>
      <c r="AB40" s="267"/>
      <c r="AC40" s="267"/>
      <c r="AD40" s="310"/>
      <c r="AE40" s="267"/>
      <c r="AF40" s="267"/>
      <c r="AG40" s="310"/>
      <c r="AH40" s="267"/>
      <c r="AI40" s="267"/>
      <c r="AJ40" s="310"/>
      <c r="AK40" s="267"/>
      <c r="AL40" s="267"/>
      <c r="AM40" s="310"/>
      <c r="AN40" s="267"/>
      <c r="AO40" s="267"/>
      <c r="AP40" s="310"/>
      <c r="AQ40" s="267"/>
      <c r="AR40" s="267"/>
      <c r="AS40" s="310"/>
      <c r="AT40" s="267"/>
      <c r="AU40" s="157"/>
      <c r="AV40" s="309"/>
      <c r="AW40" s="356">
        <f>'VETS-700 Planned Goals'!DD52</f>
        <v>0</v>
      </c>
      <c r="AX40" s="356">
        <f>'VETS-701 Tech Perf Report'!DE73</f>
        <v>0</v>
      </c>
      <c r="AY40" s="358">
        <f t="shared" si="8"/>
        <v>0</v>
      </c>
    </row>
    <row r="41" spans="1:51" x14ac:dyDescent="0.3">
      <c r="A41" s="27"/>
      <c r="B41" s="13" t="s">
        <v>2645</v>
      </c>
      <c r="C41" t="s">
        <v>2787</v>
      </c>
      <c r="D41" s="377">
        <f>IFERROR(ROUND('VETS-700 Planned Goals'!AB53,2),0)</f>
        <v>0</v>
      </c>
      <c r="E41" s="377">
        <f>IFERROR(ROUND('VETS-701 Tech Perf Report'!AC74,2),0)</f>
        <v>0</v>
      </c>
      <c r="F41" s="357">
        <f t="shared" si="1"/>
        <v>0</v>
      </c>
      <c r="G41" s="398">
        <f>IFERROR(ROUND('VETS-700 Planned Goals'!AJ53,2),0)</f>
        <v>0</v>
      </c>
      <c r="H41" s="377">
        <f>IFERROR(ROUND('VETS-701 Tech Perf Report'!AK74,2),0)</f>
        <v>0</v>
      </c>
      <c r="I41" s="367">
        <f t="shared" si="2"/>
        <v>0</v>
      </c>
      <c r="J41" s="377">
        <f>'VETS-700 Planned Goals'!DB53</f>
        <v>0</v>
      </c>
      <c r="K41" s="377">
        <f>'VETS-701 Tech Perf Report'!DC74</f>
        <v>0</v>
      </c>
      <c r="L41" s="367">
        <f t="shared" si="3"/>
        <v>0</v>
      </c>
      <c r="M41" s="377">
        <f>IFERROR(ROUND('VETS-700 Planned Goals'!AR53,2),0)</f>
        <v>0</v>
      </c>
      <c r="N41" s="377">
        <f>IFERROR(ROUND('VETS-701 Tech Perf Report'!AS74,2),0)</f>
        <v>0</v>
      </c>
      <c r="O41" s="367">
        <f t="shared" si="4"/>
        <v>0</v>
      </c>
      <c r="P41" s="377">
        <f>'VETS-700 Planned Goals'!DC53</f>
        <v>0</v>
      </c>
      <c r="Q41" s="377">
        <f>'VETS-701 Tech Perf Report'!DE74</f>
        <v>0</v>
      </c>
      <c r="R41" s="367">
        <f t="shared" si="5"/>
        <v>0</v>
      </c>
      <c r="S41" s="377">
        <f>IFERROR(ROUND('VETS-700 Planned Goals'!AZ53,2),0)</f>
        <v>0</v>
      </c>
      <c r="T41" s="377">
        <f>IFERROR(ROUND('VETS-701 Tech Perf Report'!BA74,2),0)</f>
        <v>0</v>
      </c>
      <c r="U41" s="373">
        <f t="shared" si="6"/>
        <v>0</v>
      </c>
      <c r="V41" s="377">
        <f>'VETS-700 Planned Goals'!DD53</f>
        <v>0</v>
      </c>
      <c r="W41" s="377">
        <f>'VETS-701 Tech Perf Report'!DE74</f>
        <v>0</v>
      </c>
      <c r="X41" s="373">
        <f t="shared" si="7"/>
        <v>0</v>
      </c>
      <c r="Y41" s="157"/>
      <c r="Z41" s="157"/>
      <c r="AA41" s="309"/>
      <c r="AB41" s="157"/>
      <c r="AC41" s="157"/>
      <c r="AD41" s="309"/>
      <c r="AE41" s="157"/>
      <c r="AF41" s="157"/>
      <c r="AG41" s="309"/>
      <c r="AH41" s="157"/>
      <c r="AI41" s="157"/>
      <c r="AJ41" s="309"/>
      <c r="AK41" s="157"/>
      <c r="AL41" s="157"/>
      <c r="AM41" s="309"/>
      <c r="AN41" s="157"/>
      <c r="AO41" s="157"/>
      <c r="AP41" s="309"/>
      <c r="AQ41" s="157"/>
      <c r="AR41" s="157"/>
      <c r="AS41" s="309"/>
      <c r="AT41" s="157"/>
      <c r="AU41" s="157"/>
      <c r="AV41" s="309"/>
      <c r="AW41" s="377">
        <f>'VETS-700 Planned Goals'!DD53</f>
        <v>0</v>
      </c>
      <c r="AX41" s="377">
        <f>'VETS-701 Tech Perf Report'!DE74</f>
        <v>0</v>
      </c>
      <c r="AY41" s="357">
        <f t="shared" si="8"/>
        <v>0</v>
      </c>
    </row>
    <row r="42" spans="1:51" x14ac:dyDescent="0.3">
      <c r="A42" s="27"/>
      <c r="B42" s="286" t="s">
        <v>2646</v>
      </c>
      <c r="C42" s="172" t="s">
        <v>2788</v>
      </c>
      <c r="D42" s="356">
        <f>'VETS-700 Planned Goals'!AB54</f>
        <v>0</v>
      </c>
      <c r="E42" s="356">
        <f>'VETS-701 Tech Perf Report'!AC75</f>
        <v>0</v>
      </c>
      <c r="F42" s="358">
        <f t="shared" si="1"/>
        <v>0</v>
      </c>
      <c r="G42" s="365">
        <f>'VETS-700 Planned Goals'!AJ54</f>
        <v>0</v>
      </c>
      <c r="H42" s="356">
        <f>'VETS-701 Tech Perf Report'!AK75</f>
        <v>0</v>
      </c>
      <c r="I42" s="366">
        <f t="shared" si="2"/>
        <v>0</v>
      </c>
      <c r="J42" s="356">
        <f>'VETS-700 Planned Goals'!DB54</f>
        <v>0</v>
      </c>
      <c r="K42" s="356">
        <f>'VETS-701 Tech Perf Report'!DC75</f>
        <v>0</v>
      </c>
      <c r="L42" s="366">
        <f t="shared" si="3"/>
        <v>0</v>
      </c>
      <c r="M42" s="356">
        <f>'VETS-700 Planned Goals'!AR54</f>
        <v>0</v>
      </c>
      <c r="N42" s="356">
        <f>'VETS-701 Tech Perf Report'!AS75</f>
        <v>0</v>
      </c>
      <c r="O42" s="366">
        <f t="shared" si="4"/>
        <v>0</v>
      </c>
      <c r="P42" s="356">
        <f>'VETS-700 Planned Goals'!DC54</f>
        <v>0</v>
      </c>
      <c r="Q42" s="356">
        <f>'VETS-701 Tech Perf Report'!DD75</f>
        <v>0</v>
      </c>
      <c r="R42" s="366">
        <f t="shared" si="5"/>
        <v>0</v>
      </c>
      <c r="S42" s="356">
        <f>'VETS-700 Planned Goals'!AZ54</f>
        <v>0</v>
      </c>
      <c r="T42" s="356">
        <f>'VETS-701 Tech Perf Report'!BA75</f>
        <v>0</v>
      </c>
      <c r="U42" s="368">
        <f t="shared" si="6"/>
        <v>0</v>
      </c>
      <c r="V42" s="356">
        <f>'VETS-700 Planned Goals'!DD54</f>
        <v>0</v>
      </c>
      <c r="W42" s="356">
        <f>'VETS-701 Tech Perf Report'!DE75</f>
        <v>0</v>
      </c>
      <c r="X42" s="368">
        <f t="shared" si="7"/>
        <v>0</v>
      </c>
      <c r="Y42" s="157"/>
      <c r="Z42" s="157"/>
      <c r="AA42" s="309"/>
      <c r="AB42" s="157"/>
      <c r="AC42" s="157"/>
      <c r="AD42" s="309"/>
      <c r="AE42" s="157"/>
      <c r="AF42" s="157"/>
      <c r="AG42" s="309"/>
      <c r="AH42" s="157"/>
      <c r="AI42" s="157"/>
      <c r="AJ42" s="309"/>
      <c r="AK42" s="157"/>
      <c r="AL42" s="157"/>
      <c r="AM42" s="309"/>
      <c r="AN42" s="157"/>
      <c r="AO42" s="157"/>
      <c r="AP42" s="309"/>
      <c r="AQ42" s="157"/>
      <c r="AR42" s="157"/>
      <c r="AS42" s="309"/>
      <c r="AT42" s="157"/>
      <c r="AU42" s="157"/>
      <c r="AV42" s="309"/>
      <c r="AW42" s="356">
        <f>'VETS-700 Planned Goals'!DD54</f>
        <v>0</v>
      </c>
      <c r="AX42" s="356">
        <f>'VETS-701 Tech Perf Report'!DE75</f>
        <v>0</v>
      </c>
      <c r="AY42" s="358">
        <f t="shared" si="8"/>
        <v>0</v>
      </c>
    </row>
    <row r="43" spans="1:51" x14ac:dyDescent="0.3">
      <c r="A43" s="27"/>
      <c r="B43" s="13" t="s">
        <v>2647</v>
      </c>
      <c r="C43" t="s">
        <v>2638</v>
      </c>
      <c r="D43" s="377">
        <f>'VETS-700 Planned Goals'!AB55</f>
        <v>0</v>
      </c>
      <c r="E43" s="377">
        <f>'VETS-701 Tech Perf Report'!AC76</f>
        <v>0</v>
      </c>
      <c r="F43" s="357">
        <f t="shared" si="1"/>
        <v>0</v>
      </c>
      <c r="G43" s="398">
        <f>'VETS-700 Planned Goals'!AJ55</f>
        <v>0</v>
      </c>
      <c r="H43" s="377">
        <f>'VETS-701 Tech Perf Report'!AK76</f>
        <v>0</v>
      </c>
      <c r="I43" s="367">
        <f t="shared" si="2"/>
        <v>0</v>
      </c>
      <c r="J43" s="377">
        <f>'VETS-700 Planned Goals'!DB55</f>
        <v>0</v>
      </c>
      <c r="K43" s="377">
        <f>'VETS-701 Tech Perf Report'!DC76</f>
        <v>0</v>
      </c>
      <c r="L43" s="367">
        <f t="shared" si="3"/>
        <v>0</v>
      </c>
      <c r="M43" s="377">
        <f>'VETS-700 Planned Goals'!AR55</f>
        <v>0</v>
      </c>
      <c r="N43" s="377">
        <f>'VETS-701 Tech Perf Report'!AS76</f>
        <v>0</v>
      </c>
      <c r="O43" s="367">
        <f t="shared" si="4"/>
        <v>0</v>
      </c>
      <c r="P43" s="377">
        <f>'VETS-700 Planned Goals'!DC55</f>
        <v>0</v>
      </c>
      <c r="Q43" s="377">
        <f>'VETS-701 Tech Perf Report'!DD76</f>
        <v>0</v>
      </c>
      <c r="R43" s="357">
        <f t="shared" si="5"/>
        <v>0</v>
      </c>
      <c r="S43" s="398">
        <f>'VETS-700 Planned Goals'!AZ55</f>
        <v>0</v>
      </c>
      <c r="T43" s="377">
        <f>'VETS-701 Tech Perf Report'!BA76</f>
        <v>0</v>
      </c>
      <c r="U43" s="373">
        <f t="shared" si="6"/>
        <v>0</v>
      </c>
      <c r="V43" s="377">
        <f>'VETS-700 Planned Goals'!DD55</f>
        <v>0</v>
      </c>
      <c r="W43" s="377">
        <f>'VETS-701 Tech Perf Report'!DE76</f>
        <v>0</v>
      </c>
      <c r="X43" s="373">
        <f t="shared" si="7"/>
        <v>0</v>
      </c>
      <c r="Y43" s="157"/>
      <c r="Z43" s="157"/>
      <c r="AA43" s="309"/>
      <c r="AB43" s="157"/>
      <c r="AC43" s="157"/>
      <c r="AD43" s="309"/>
      <c r="AE43" s="157"/>
      <c r="AF43" s="157"/>
      <c r="AG43" s="157"/>
      <c r="AH43" s="314"/>
      <c r="AI43" s="157"/>
      <c r="AJ43" s="157"/>
      <c r="AK43" s="314"/>
      <c r="AL43" s="157"/>
      <c r="AM43" s="157"/>
      <c r="AN43" s="314"/>
      <c r="AO43" s="157"/>
      <c r="AP43" s="309"/>
      <c r="AQ43" s="157"/>
      <c r="AR43" s="157"/>
      <c r="AS43" s="157"/>
      <c r="AT43" s="314"/>
      <c r="AU43" s="157"/>
      <c r="AV43" s="157"/>
      <c r="AW43" s="397">
        <f>'VETS-700 Planned Goals'!DD55</f>
        <v>0</v>
      </c>
      <c r="AX43" s="377">
        <f>'VETS-701 Tech Perf Report'!DE76</f>
        <v>0</v>
      </c>
      <c r="AY43" s="357">
        <f t="shared" si="8"/>
        <v>0</v>
      </c>
    </row>
  </sheetData>
  <sheetProtection algorithmName="SHA-512" hashValue="LtvxBuj54W1HQcueVV3sVBQ3WjO+WkwzMuMZpEeovel8ffUVqT6ce+jqOldzKJHyEr/NioKry7zqgBsR+PwCRQ==" saltValue="BBVfJhhjpMrmhMzFfLEAxQ==" spinCount="100000" sheet="1" objects="1" scenarios="1" formatColumns="0" formatRows="0"/>
  <mergeCells count="17">
    <mergeCell ref="B2:C2"/>
    <mergeCell ref="AW3:AY3"/>
    <mergeCell ref="AT3:AV3"/>
    <mergeCell ref="S3:U3"/>
    <mergeCell ref="D3:F3"/>
    <mergeCell ref="G3:I3"/>
    <mergeCell ref="J3:L3"/>
    <mergeCell ref="M3:O3"/>
    <mergeCell ref="P3:R3"/>
    <mergeCell ref="AQ3:AS3"/>
    <mergeCell ref="AK3:AM3"/>
    <mergeCell ref="V3:X3"/>
    <mergeCell ref="Y3:AA3"/>
    <mergeCell ref="AB3:AD3"/>
    <mergeCell ref="AE3:AG3"/>
    <mergeCell ref="AH3:AJ3"/>
    <mergeCell ref="AN3:AP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ksPart">
    <tabColor rgb="FFFFFF00"/>
  </sheetPr>
  <dimension ref="A1:CF512"/>
  <sheetViews>
    <sheetView zoomScaleNormal="100" workbookViewId="0">
      <pane xSplit="2" ySplit="4" topLeftCell="C5" activePane="bottomRight" state="frozen"/>
      <selection pane="topRight" activeCell="C1" sqref="C1"/>
      <selection pane="bottomLeft" activeCell="A4" sqref="A4"/>
      <selection pane="bottomRight" activeCell="A7" sqref="A7"/>
    </sheetView>
  </sheetViews>
  <sheetFormatPr defaultColWidth="9.109375" defaultRowHeight="14.4" zeroHeight="1" x14ac:dyDescent="0.3"/>
  <cols>
    <col min="1" max="1" width="20.44140625" customWidth="1"/>
    <col min="2" max="2" width="47.109375" customWidth="1"/>
    <col min="3" max="3" width="20.33203125" bestFit="1" customWidth="1"/>
    <col min="4" max="4" width="15.109375" customWidth="1"/>
    <col min="5" max="5" width="18.88671875" customWidth="1"/>
    <col min="6" max="6" width="14.33203125" customWidth="1"/>
    <col min="7" max="7" width="20.44140625" customWidth="1"/>
    <col min="8" max="8" width="18" customWidth="1"/>
    <col min="9" max="9" width="16.5546875" customWidth="1"/>
    <col min="10" max="10" width="16" bestFit="1" customWidth="1"/>
    <col min="11" max="11" width="20" customWidth="1"/>
    <col min="12" max="12" width="22" customWidth="1"/>
    <col min="13" max="13" width="24.109375" bestFit="1" customWidth="1"/>
    <col min="14" max="14" width="24.109375" customWidth="1"/>
    <col min="15" max="15" width="19.109375" customWidth="1"/>
    <col min="16" max="16" width="12.44140625" customWidth="1"/>
    <col min="17" max="17" width="17.109375" customWidth="1"/>
    <col min="18" max="18" width="20.33203125" customWidth="1"/>
    <col min="19" max="19" width="15.33203125" customWidth="1"/>
    <col min="20" max="20" width="19.33203125" customWidth="1"/>
    <col min="21" max="21" width="23.88671875" customWidth="1"/>
    <col min="22" max="22" width="32" bestFit="1" customWidth="1"/>
    <col min="23" max="23" width="20.5546875" customWidth="1"/>
    <col min="24" max="24" width="21.33203125" customWidth="1"/>
    <col min="25" max="25" width="21.6640625" customWidth="1"/>
    <col min="26" max="26" width="17" customWidth="1"/>
    <col min="27" max="28" width="17.88671875" customWidth="1"/>
    <col min="29" max="29" width="18" customWidth="1"/>
    <col min="30" max="30" width="17.5546875" customWidth="1"/>
    <col min="31" max="31" width="13.33203125" customWidth="1"/>
    <col min="32" max="32" width="15.33203125" customWidth="1"/>
    <col min="33" max="33" width="18" customWidth="1"/>
    <col min="34" max="34" width="19.44140625" customWidth="1"/>
    <col min="35" max="35" width="24.109375" bestFit="1" customWidth="1"/>
    <col min="36" max="37" width="24.109375" customWidth="1"/>
    <col min="38" max="38" width="25" customWidth="1"/>
    <col min="39" max="39" width="30.88671875" customWidth="1"/>
    <col min="40" max="41" width="27.33203125" customWidth="1"/>
    <col min="42" max="42" width="23.44140625" bestFit="1" customWidth="1"/>
    <col min="43" max="43" width="22.33203125" customWidth="1"/>
    <col min="44" max="44" width="14.33203125" bestFit="1" customWidth="1"/>
    <col min="45" max="45" width="14.33203125" customWidth="1"/>
    <col min="46" max="46" width="16.5546875" customWidth="1"/>
    <col min="47" max="47" width="14.33203125" customWidth="1"/>
    <col min="48" max="48" width="12.44140625" customWidth="1"/>
    <col min="49" max="49" width="14.5546875" style="8" customWidth="1"/>
    <col min="50" max="50" width="17.5546875" customWidth="1"/>
    <col min="51" max="51" width="21.6640625" bestFit="1" customWidth="1"/>
    <col min="52" max="52" width="31.5546875" customWidth="1"/>
    <col min="53" max="53" width="27.109375" style="8" customWidth="1"/>
    <col min="54" max="54" width="31.33203125" bestFit="1" customWidth="1"/>
    <col min="55" max="55" width="21.44140625" customWidth="1"/>
    <col min="56" max="56" width="23.6640625" customWidth="1"/>
    <col min="57" max="57" width="12.109375" customWidth="1"/>
    <col min="58" max="58" width="18.44140625" customWidth="1"/>
    <col min="59" max="60" width="18.44140625" style="8" customWidth="1"/>
    <col min="61" max="61" width="18.44140625" customWidth="1"/>
    <col min="62" max="62" width="16.6640625" bestFit="1" customWidth="1"/>
    <col min="63" max="63" width="15" customWidth="1"/>
    <col min="64" max="64" width="16.88671875" customWidth="1"/>
    <col min="65" max="65" width="15.88671875" customWidth="1"/>
    <col min="66" max="66" width="15" customWidth="1"/>
    <col min="67" max="67" width="20.6640625" customWidth="1"/>
    <col min="68" max="68" width="14.6640625" customWidth="1"/>
    <col min="69" max="69" width="22.6640625" customWidth="1"/>
    <col min="70" max="70" width="20.5546875" customWidth="1"/>
    <col min="71" max="71" width="16.33203125" bestFit="1" customWidth="1"/>
    <col min="72" max="72" width="19" customWidth="1"/>
    <col min="73" max="73" width="20.5546875" customWidth="1"/>
    <col min="74" max="74" width="19.44140625" customWidth="1"/>
    <col min="75" max="75" width="20.33203125" style="8" customWidth="1"/>
    <col min="76" max="76" width="24.5546875" customWidth="1"/>
    <col min="77" max="82" width="15.6640625" customWidth="1"/>
    <col min="83" max="83" width="15.5546875" customWidth="1"/>
    <col min="84" max="16370" width="9.109375" customWidth="1"/>
  </cols>
  <sheetData>
    <row r="1" spans="1:84" s="8" customFormat="1" ht="35.25" customHeight="1" x14ac:dyDescent="0.3">
      <c r="A1" s="448" t="s">
        <v>3107</v>
      </c>
      <c r="B1" s="433" t="s">
        <v>3075</v>
      </c>
      <c r="C1" s="439"/>
      <c r="D1" s="437"/>
      <c r="E1" s="437"/>
      <c r="F1" s="437"/>
      <c r="G1" s="437"/>
      <c r="H1" s="435"/>
      <c r="I1" s="437"/>
      <c r="J1" s="435"/>
      <c r="K1" s="435"/>
      <c r="L1" s="437"/>
      <c r="M1" s="437"/>
      <c r="N1" s="437"/>
      <c r="O1" s="437"/>
      <c r="P1" s="437"/>
      <c r="Q1" s="435"/>
      <c r="R1" s="435"/>
      <c r="S1" s="435"/>
      <c r="T1" s="437"/>
      <c r="U1" s="437"/>
      <c r="V1" s="437"/>
      <c r="W1" s="437"/>
      <c r="X1" s="437"/>
      <c r="Y1" s="435"/>
      <c r="Z1" s="435"/>
      <c r="AA1" s="435"/>
      <c r="AB1" s="435"/>
      <c r="AC1" s="435"/>
      <c r="AD1" s="435"/>
      <c r="AE1" s="435"/>
      <c r="AF1" s="435"/>
      <c r="AG1" s="435"/>
      <c r="AH1" s="435"/>
      <c r="AI1" s="435"/>
      <c r="AJ1" s="435"/>
      <c r="AK1" s="435"/>
      <c r="AL1" s="444"/>
      <c r="AM1" s="435"/>
      <c r="AN1" s="435"/>
      <c r="AO1" s="435"/>
      <c r="AP1" s="444"/>
      <c r="AQ1" s="435"/>
      <c r="AR1" s="435"/>
      <c r="AS1" s="435"/>
      <c r="AT1" s="435"/>
      <c r="AU1" s="435"/>
      <c r="AV1" s="435"/>
      <c r="AW1" s="435"/>
      <c r="AX1" s="435"/>
      <c r="AY1" s="435"/>
      <c r="AZ1" s="435"/>
      <c r="BA1" s="435"/>
      <c r="BB1" s="435"/>
      <c r="BC1" s="444"/>
      <c r="BD1" s="435"/>
      <c r="BE1" s="435"/>
      <c r="BF1" s="435"/>
      <c r="BG1" s="435"/>
      <c r="BH1" s="444"/>
      <c r="BI1" s="435"/>
      <c r="BJ1" s="444"/>
      <c r="BK1" s="435"/>
      <c r="BL1" s="435"/>
      <c r="BM1" s="435"/>
      <c r="BN1" s="444"/>
      <c r="BO1" s="435"/>
      <c r="BP1" s="444"/>
      <c r="BQ1" s="435"/>
      <c r="BR1" s="435"/>
      <c r="BS1" s="435"/>
      <c r="BT1" s="444"/>
      <c r="BU1" s="444"/>
      <c r="BV1" s="435"/>
      <c r="BW1" s="436"/>
      <c r="BX1" s="436"/>
      <c r="BY1" s="436"/>
      <c r="BZ1" s="436"/>
      <c r="CA1" s="436"/>
      <c r="CB1" s="436"/>
      <c r="CC1" s="436"/>
      <c r="CD1" s="436"/>
      <c r="CE1" s="436"/>
    </row>
    <row r="2" spans="1:84" s="8" customFormat="1" ht="21" customHeight="1" x14ac:dyDescent="0.35">
      <c r="A2" s="434"/>
      <c r="B2" s="434"/>
      <c r="C2" s="434"/>
      <c r="D2" s="434"/>
      <c r="E2" s="434"/>
      <c r="F2" s="434"/>
      <c r="G2" s="434"/>
      <c r="H2" s="438"/>
      <c r="I2" s="434"/>
      <c r="J2" s="438"/>
      <c r="K2" s="438"/>
      <c r="L2" s="434"/>
      <c r="M2" s="434"/>
      <c r="N2" s="434"/>
      <c r="O2" s="434"/>
      <c r="P2" s="434"/>
      <c r="Q2" s="438"/>
      <c r="R2" s="438"/>
      <c r="S2" s="438"/>
      <c r="T2" s="434"/>
      <c r="U2" s="434"/>
      <c r="V2" s="434"/>
      <c r="W2" s="434"/>
      <c r="X2" s="434"/>
      <c r="Y2" s="438"/>
      <c r="Z2" s="438"/>
      <c r="AA2" s="438"/>
      <c r="AB2" s="438"/>
      <c r="AC2" s="438"/>
      <c r="AD2" s="438"/>
      <c r="AE2" s="438"/>
      <c r="AF2" s="438"/>
      <c r="AG2" s="438"/>
      <c r="AH2" s="438"/>
      <c r="AI2" s="1175" t="s">
        <v>3080</v>
      </c>
      <c r="AJ2" s="695"/>
      <c r="AK2" s="695"/>
      <c r="AL2" s="695"/>
      <c r="AM2" s="695"/>
      <c r="AN2" s="695"/>
      <c r="AO2" s="695"/>
      <c r="AP2" s="695"/>
      <c r="AQ2" s="695"/>
      <c r="AR2" s="695"/>
      <c r="AS2" s="1176"/>
      <c r="AT2" s="1177" t="s">
        <v>3083</v>
      </c>
      <c r="AU2" s="695"/>
      <c r="AV2" s="695"/>
      <c r="AW2" s="695"/>
      <c r="AX2" s="695"/>
      <c r="AY2" s="695"/>
      <c r="AZ2" s="695"/>
      <c r="BA2" s="695"/>
      <c r="BB2" s="695"/>
      <c r="BC2" s="695"/>
      <c r="BD2" s="695"/>
      <c r="BE2" s="695"/>
      <c r="BF2" s="695"/>
      <c r="BG2" s="695"/>
      <c r="BH2" s="695"/>
      <c r="BI2" s="1176"/>
      <c r="BJ2" s="1175" t="s">
        <v>3081</v>
      </c>
      <c r="BK2" s="695"/>
      <c r="BL2" s="695"/>
      <c r="BM2" s="695"/>
      <c r="BN2" s="695"/>
      <c r="BO2" s="695"/>
      <c r="BP2" s="695"/>
      <c r="BQ2" s="695"/>
      <c r="BR2" s="695"/>
      <c r="BS2" s="1176"/>
      <c r="BT2" s="1174" t="s">
        <v>3082</v>
      </c>
      <c r="BU2" s="695"/>
      <c r="BV2" s="695"/>
      <c r="BW2" s="695"/>
      <c r="BX2" s="695"/>
      <c r="BY2" s="695"/>
      <c r="BZ2" s="695"/>
      <c r="CA2" s="695"/>
      <c r="CB2" s="695"/>
      <c r="CC2" s="695"/>
      <c r="CD2" s="695"/>
      <c r="CE2" s="695"/>
    </row>
    <row r="3" spans="1:84" s="8" customFormat="1" ht="171.75" customHeight="1" x14ac:dyDescent="0.3">
      <c r="A3" s="432" t="s">
        <v>2540</v>
      </c>
      <c r="B3" s="429" t="s">
        <v>2539</v>
      </c>
      <c r="C3" s="429" t="s">
        <v>3116</v>
      </c>
      <c r="D3" s="408" t="s">
        <v>3159</v>
      </c>
      <c r="E3" s="408" t="s">
        <v>3160</v>
      </c>
      <c r="F3" s="137" t="s">
        <v>3155</v>
      </c>
      <c r="G3" s="137" t="s">
        <v>3157</v>
      </c>
      <c r="H3" s="137" t="s">
        <v>3158</v>
      </c>
      <c r="I3" s="137" t="s">
        <v>3156</v>
      </c>
      <c r="J3" s="137" t="s">
        <v>3154</v>
      </c>
      <c r="K3" s="137" t="s">
        <v>3163</v>
      </c>
      <c r="L3" s="137" t="s">
        <v>3161</v>
      </c>
      <c r="M3" s="408" t="s">
        <v>3117</v>
      </c>
      <c r="N3" s="137" t="s">
        <v>3118</v>
      </c>
      <c r="O3" s="408" t="s">
        <v>3119</v>
      </c>
      <c r="P3" s="137" t="s">
        <v>3120</v>
      </c>
      <c r="Q3" s="137" t="s">
        <v>3121</v>
      </c>
      <c r="R3" s="137" t="s">
        <v>3122</v>
      </c>
      <c r="S3" s="137" t="s">
        <v>3123</v>
      </c>
      <c r="T3" s="137" t="s">
        <v>3124</v>
      </c>
      <c r="U3" s="430" t="s">
        <v>3125</v>
      </c>
      <c r="V3" s="430" t="s">
        <v>3126</v>
      </c>
      <c r="W3" s="137" t="s">
        <v>3127</v>
      </c>
      <c r="X3" s="137" t="s">
        <v>4</v>
      </c>
      <c r="Y3" s="430" t="s">
        <v>5</v>
      </c>
      <c r="Z3" s="430" t="s">
        <v>7</v>
      </c>
      <c r="AA3" s="430" t="s">
        <v>3128</v>
      </c>
      <c r="AB3" s="430" t="s">
        <v>3129</v>
      </c>
      <c r="AC3" s="430" t="s">
        <v>3130</v>
      </c>
      <c r="AD3" s="136" t="s">
        <v>3131</v>
      </c>
      <c r="AE3" s="430" t="s">
        <v>3132</v>
      </c>
      <c r="AF3" s="430" t="s">
        <v>3133</v>
      </c>
      <c r="AG3" s="136" t="s">
        <v>3134</v>
      </c>
      <c r="AH3" s="430" t="s">
        <v>3135</v>
      </c>
      <c r="AI3" s="430" t="s">
        <v>2594</v>
      </c>
      <c r="AJ3" s="430" t="s">
        <v>2593</v>
      </c>
      <c r="AK3" s="430" t="s">
        <v>3136</v>
      </c>
      <c r="AL3" s="430" t="s">
        <v>2596</v>
      </c>
      <c r="AM3" s="430" t="s">
        <v>2598</v>
      </c>
      <c r="AN3" s="136" t="s">
        <v>2607</v>
      </c>
      <c r="AO3" s="136" t="s">
        <v>2600</v>
      </c>
      <c r="AP3" s="136" t="s">
        <v>2601</v>
      </c>
      <c r="AQ3" s="136" t="s">
        <v>2603</v>
      </c>
      <c r="AR3" s="136" t="s">
        <v>2606</v>
      </c>
      <c r="AS3" s="431" t="s">
        <v>2604</v>
      </c>
      <c r="AT3" s="431" t="s">
        <v>2592</v>
      </c>
      <c r="AU3" s="136" t="s">
        <v>3114</v>
      </c>
      <c r="AV3" s="136" t="s">
        <v>2714</v>
      </c>
      <c r="AW3" s="136" t="s">
        <v>3113</v>
      </c>
      <c r="AX3" s="136" t="s">
        <v>2843</v>
      </c>
      <c r="AY3" s="136" t="s">
        <v>2715</v>
      </c>
      <c r="AZ3" s="136" t="s">
        <v>2716</v>
      </c>
      <c r="BA3" s="136" t="s">
        <v>2809</v>
      </c>
      <c r="BB3" s="136" t="s">
        <v>2717</v>
      </c>
      <c r="BC3" s="136" t="s">
        <v>2718</v>
      </c>
      <c r="BD3" s="136" t="s">
        <v>2781</v>
      </c>
      <c r="BE3" s="431" t="s">
        <v>2719</v>
      </c>
      <c r="BF3" s="431" t="s">
        <v>2720</v>
      </c>
      <c r="BG3" s="431" t="s">
        <v>2721</v>
      </c>
      <c r="BH3" s="431" t="s">
        <v>2722</v>
      </c>
      <c r="BI3" s="431" t="s">
        <v>3112</v>
      </c>
      <c r="BJ3" s="136" t="s">
        <v>3137</v>
      </c>
      <c r="BK3" s="431" t="s">
        <v>3138</v>
      </c>
      <c r="BL3" s="136" t="s">
        <v>9</v>
      </c>
      <c r="BM3" s="431" t="s">
        <v>10</v>
      </c>
      <c r="BN3" s="431" t="s">
        <v>3139</v>
      </c>
      <c r="BO3" s="431" t="s">
        <v>12</v>
      </c>
      <c r="BP3" s="431" t="s">
        <v>13</v>
      </c>
      <c r="BQ3" s="431" t="s">
        <v>3140</v>
      </c>
      <c r="BR3" s="431" t="s">
        <v>16</v>
      </c>
      <c r="BS3" s="431" t="s">
        <v>17</v>
      </c>
      <c r="BT3" s="136" t="s">
        <v>2790</v>
      </c>
      <c r="BU3" s="136" t="s">
        <v>3141</v>
      </c>
      <c r="BV3" s="429" t="s">
        <v>3145</v>
      </c>
      <c r="BW3" s="431" t="s">
        <v>2794</v>
      </c>
      <c r="BX3" s="431" t="s">
        <v>3147</v>
      </c>
      <c r="BY3" s="431" t="s">
        <v>3146</v>
      </c>
      <c r="BZ3" s="431" t="s">
        <v>3144</v>
      </c>
      <c r="CA3" s="431" t="s">
        <v>3143</v>
      </c>
      <c r="CB3" s="431" t="s">
        <v>11</v>
      </c>
      <c r="CC3" s="431" t="s">
        <v>14</v>
      </c>
      <c r="CD3" s="431" t="s">
        <v>3142</v>
      </c>
      <c r="CE3" s="431" t="s">
        <v>15</v>
      </c>
    </row>
    <row r="4" spans="1:84" s="443" customFormat="1" ht="17.25" customHeight="1" x14ac:dyDescent="0.3">
      <c r="A4" s="440" t="s">
        <v>2557</v>
      </c>
      <c r="B4" s="440" t="s">
        <v>2558</v>
      </c>
      <c r="C4" s="440" t="s">
        <v>2541</v>
      </c>
      <c r="D4" s="440" t="s">
        <v>2524</v>
      </c>
      <c r="E4" s="440" t="s">
        <v>3149</v>
      </c>
      <c r="F4" s="440" t="s">
        <v>3150</v>
      </c>
      <c r="G4" s="440" t="s">
        <v>3151</v>
      </c>
      <c r="H4" s="440" t="s">
        <v>3152</v>
      </c>
      <c r="I4" s="440" t="s">
        <v>3162</v>
      </c>
      <c r="J4" s="440" t="s">
        <v>3153</v>
      </c>
      <c r="K4" s="440" t="s">
        <v>3164</v>
      </c>
      <c r="L4" s="440" t="s">
        <v>3165</v>
      </c>
      <c r="M4" s="440" t="s">
        <v>2542</v>
      </c>
      <c r="N4" s="449" t="s">
        <v>3148</v>
      </c>
      <c r="O4" s="440" t="s">
        <v>2559</v>
      </c>
      <c r="P4" s="440" t="s">
        <v>0</v>
      </c>
      <c r="Q4" s="440" t="s">
        <v>1</v>
      </c>
      <c r="R4" s="440" t="s">
        <v>2560</v>
      </c>
      <c r="S4" s="440" t="s">
        <v>2</v>
      </c>
      <c r="T4" s="440" t="s">
        <v>2561</v>
      </c>
      <c r="U4" s="440" t="s">
        <v>2562</v>
      </c>
      <c r="V4" s="440" t="s">
        <v>3</v>
      </c>
      <c r="W4" s="440" t="s">
        <v>2525</v>
      </c>
      <c r="X4" s="440" t="s">
        <v>2532</v>
      </c>
      <c r="Y4" s="440" t="s">
        <v>2533</v>
      </c>
      <c r="Z4" s="440" t="s">
        <v>2527</v>
      </c>
      <c r="AA4" s="440" t="s">
        <v>2528</v>
      </c>
      <c r="AB4" s="440" t="s">
        <v>2538</v>
      </c>
      <c r="AC4" s="440" t="s">
        <v>8</v>
      </c>
      <c r="AD4" s="440" t="s">
        <v>2526</v>
      </c>
      <c r="AE4" s="440" t="s">
        <v>2564</v>
      </c>
      <c r="AF4" s="440" t="s">
        <v>2529</v>
      </c>
      <c r="AG4" s="440" t="s">
        <v>6</v>
      </c>
      <c r="AH4" s="440" t="s">
        <v>2565</v>
      </c>
      <c r="AI4" s="440" t="s">
        <v>2595</v>
      </c>
      <c r="AJ4" s="440" t="s">
        <v>2568</v>
      </c>
      <c r="AK4" s="440" t="s">
        <v>2553</v>
      </c>
      <c r="AL4" s="440" t="s">
        <v>2597</v>
      </c>
      <c r="AM4" s="440" t="s">
        <v>2569</v>
      </c>
      <c r="AN4" s="440" t="s">
        <v>2599</v>
      </c>
      <c r="AO4" s="440" t="s">
        <v>2570</v>
      </c>
      <c r="AP4" s="440" t="s">
        <v>2602</v>
      </c>
      <c r="AQ4" s="440" t="s">
        <v>2571</v>
      </c>
      <c r="AR4" s="440" t="s">
        <v>2605</v>
      </c>
      <c r="AS4" s="440" t="s">
        <v>2572</v>
      </c>
      <c r="AT4" s="440" t="s">
        <v>2566</v>
      </c>
      <c r="AU4" s="440" t="s">
        <v>3115</v>
      </c>
      <c r="AV4" s="440" t="s">
        <v>2745</v>
      </c>
      <c r="AW4" s="440" t="s">
        <v>2844</v>
      </c>
      <c r="AX4" s="440" t="s">
        <v>2746</v>
      </c>
      <c r="AY4" s="440" t="s">
        <v>2747</v>
      </c>
      <c r="AZ4" s="440" t="s">
        <v>2748</v>
      </c>
      <c r="BA4" s="440" t="s">
        <v>2798</v>
      </c>
      <c r="BB4" s="440" t="s">
        <v>2749</v>
      </c>
      <c r="BC4" s="440" t="s">
        <v>2752</v>
      </c>
      <c r="BD4" s="440" t="s">
        <v>2750</v>
      </c>
      <c r="BE4" s="440" t="s">
        <v>2751</v>
      </c>
      <c r="BF4" s="440" t="s">
        <v>2810</v>
      </c>
      <c r="BG4" s="440" t="s">
        <v>2753</v>
      </c>
      <c r="BH4" s="440" t="s">
        <v>2754</v>
      </c>
      <c r="BI4" s="440" t="s">
        <v>2845</v>
      </c>
      <c r="BJ4" s="440" t="s">
        <v>2584</v>
      </c>
      <c r="BK4" s="440" t="s">
        <v>2573</v>
      </c>
      <c r="BL4" s="440" t="s">
        <v>2574</v>
      </c>
      <c r="BM4" s="440" t="s">
        <v>2575</v>
      </c>
      <c r="BN4" s="440" t="s">
        <v>2577</v>
      </c>
      <c r="BO4" s="440" t="s">
        <v>2578</v>
      </c>
      <c r="BP4" s="440" t="s">
        <v>2554</v>
      </c>
      <c r="BQ4" s="440" t="s">
        <v>2582</v>
      </c>
      <c r="BR4" s="440" t="s">
        <v>2583</v>
      </c>
      <c r="BS4" s="440" t="s">
        <v>2555</v>
      </c>
      <c r="BT4" s="440" t="s">
        <v>2789</v>
      </c>
      <c r="BU4" s="440" t="s">
        <v>2523</v>
      </c>
      <c r="BV4" s="440" t="s">
        <v>2556</v>
      </c>
      <c r="BW4" s="441" t="s">
        <v>2793</v>
      </c>
      <c r="BX4" s="440" t="s">
        <v>2563</v>
      </c>
      <c r="BY4" s="440" t="s">
        <v>2796</v>
      </c>
      <c r="BZ4" s="440" t="s">
        <v>2591</v>
      </c>
      <c r="CA4" s="440" t="s">
        <v>2567</v>
      </c>
      <c r="CB4" s="440" t="s">
        <v>2576</v>
      </c>
      <c r="CC4" s="440" t="s">
        <v>2579</v>
      </c>
      <c r="CD4" s="440" t="s">
        <v>2580</v>
      </c>
      <c r="CE4" s="440" t="s">
        <v>2581</v>
      </c>
      <c r="CF4" s="442"/>
    </row>
    <row r="5" spans="1:84" x14ac:dyDescent="0.3">
      <c r="A5" s="19"/>
      <c r="B5" s="51"/>
      <c r="C5" s="20"/>
      <c r="D5" s="20"/>
      <c r="E5" s="26"/>
      <c r="F5" s="26"/>
      <c r="G5" s="26"/>
      <c r="H5" s="26"/>
      <c r="I5" s="26"/>
      <c r="J5" s="26"/>
      <c r="K5" s="26"/>
      <c r="L5" s="26"/>
      <c r="M5" s="20"/>
      <c r="N5" s="26"/>
      <c r="O5" s="22"/>
      <c r="P5" s="21"/>
      <c r="Q5" s="23"/>
      <c r="R5" s="21"/>
      <c r="S5" s="21"/>
      <c r="T5" s="21"/>
      <c r="U5" s="21"/>
      <c r="V5" s="21"/>
      <c r="W5" s="24"/>
      <c r="X5" s="20"/>
      <c r="Y5" s="20"/>
      <c r="Z5" s="21"/>
      <c r="AA5" s="21"/>
      <c r="AB5" s="21"/>
      <c r="AC5" s="21"/>
      <c r="AD5" s="21"/>
      <c r="AE5" s="21"/>
      <c r="AF5" s="21"/>
      <c r="AG5" s="21"/>
      <c r="AH5" s="21"/>
      <c r="AI5" s="25"/>
      <c r="AJ5" s="20"/>
      <c r="AK5" s="21"/>
      <c r="AL5" s="20"/>
      <c r="AM5" s="20"/>
      <c r="AN5" s="20"/>
      <c r="AO5" s="20"/>
      <c r="AP5" s="446"/>
      <c r="AQ5" s="20"/>
      <c r="AR5" s="20"/>
      <c r="AS5" s="20"/>
      <c r="AT5" s="20"/>
      <c r="AU5" s="26"/>
      <c r="AV5" s="98"/>
      <c r="AW5" s="98"/>
      <c r="AX5" s="98"/>
      <c r="AY5" s="98"/>
      <c r="AZ5" s="98"/>
      <c r="BA5" s="217"/>
      <c r="BB5" s="98"/>
      <c r="BC5" s="98"/>
      <c r="BD5" s="98"/>
      <c r="BE5" s="98"/>
      <c r="BF5" s="98"/>
      <c r="BG5" s="219"/>
      <c r="BH5" s="219"/>
      <c r="BI5" s="219"/>
      <c r="BJ5" s="26"/>
      <c r="BK5" s="21"/>
      <c r="BL5" s="21"/>
      <c r="BM5" s="22"/>
      <c r="BN5" s="21"/>
      <c r="BO5" s="21"/>
      <c r="BP5" s="22"/>
      <c r="BQ5" s="21"/>
      <c r="BR5" s="21"/>
      <c r="BS5" s="22"/>
      <c r="BT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5" s="109" t="str">
        <f>IF(ISNUMBER(tblParticipants[[#This Row],[SvcStartDate]]),IF(AND(tblParticipants[[#This Row],[EnrollQtr]]=1,tblParticipants[[#This Row],[SvcStartDate]]&lt;DATE(conProgYear,7,1)),1,""),"")</f>
        <v/>
      </c>
      <c r="BV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5" s="232" t="str">
        <f t="shared" ref="BW5:BW68" ca="1" si="0">IF(NOT(ISBLANK(INDIRECT("tblParticipants[@PlacedInEmp]"))),IF(INDIRECT("tblParticipants[@PlacedInEmp]")=1,IF(NOT(ISBLANK(INDIRECT("tblParticipants[@SvcEndDate]"))),IF(ISNUMBER(INDIRECT("tblParticipants[@SvcEndDate]")),IF(AND(INDIRECT("tblParticipants[@SvcEndDate]")&gt;=DATE(conProgYear,7,1),INDIRECT("tblParticipants[@SvcEndDate]")&lt;=DATE(conProgYear+1,6,30)),INDIRECT("tblParticipants[@ExitQtr]"),"ERR"),"ERR"),"ERR"),""),"")</f>
        <v/>
      </c>
      <c r="BX5" s="9">
        <f>IF(SUM(IF(tblParticipants[[#This Row],[AmIndOrAkNtv]]=1,1,0),IF(tblParticipants[[#This Row],[Asian]]=1,1,0),IF(tblParticipants[[#This Row],[BlkOrAfAmer]]=1,1,0),IF(tblParticipants[[#This Row],[NtvHawOrPacIsl]]=1,1,0),IF(tblParticipants[[#This Row],[White]]=1,1,0))&gt;1,1,0)</f>
        <v>0</v>
      </c>
      <c r="BY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5" s="11">
        <f>IF(tblParticipants[[#This Row],[EarnWg2Qae]]=1,IFERROR(tblParticipants[[#This Row],[HoursPerWk2Qae]]*tblParticipants[[#This Row],[HrlyWg2Qae]]*13,0),0)</f>
        <v>0</v>
      </c>
      <c r="CC5" s="11">
        <f>IF(tblParticipants[[#This Row],[EarnWg3Qae]]=1,IFERROR(tblParticipants[[#This Row],[HoursPerWk3Qae]]*tblParticipants[[#This Row],[HrlyWg3Qae]]*13,0),0)</f>
        <v>0</v>
      </c>
      <c r="CD5" s="9">
        <f>IFERROR(IF(SUM(tblParticipants[[#This Row],[EarnWg1Qae]],tblParticipants[[#This Row],[EarnWg2Qae]],tblParticipants[[#This Row],[EarnWg3Qae]])=3,1,0),0)</f>
        <v>0</v>
      </c>
      <c r="CE5" s="12">
        <f>IF(tblParticipants[[#This Row],[EmplAll3Qae]]=1,tblParticipants[[#This Row],[Earnings2Qae]]+tblParticipants[[#This Row],[Earnings3Qae]],0)</f>
        <v>0</v>
      </c>
      <c r="CF5" s="407"/>
    </row>
    <row r="6" spans="1:84" ht="14.25" customHeight="1" x14ac:dyDescent="0.3">
      <c r="A6" s="19"/>
      <c r="B6" s="107"/>
      <c r="C6" s="20"/>
      <c r="D6" s="20"/>
      <c r="E6" s="26"/>
      <c r="F6" s="26"/>
      <c r="G6" s="26"/>
      <c r="H6" s="26"/>
      <c r="I6" s="26"/>
      <c r="J6" s="26"/>
      <c r="K6" s="26"/>
      <c r="L6" s="26"/>
      <c r="M6" s="20"/>
      <c r="N6" s="26"/>
      <c r="O6" s="22"/>
      <c r="P6" s="21"/>
      <c r="Q6" s="23"/>
      <c r="R6" s="21"/>
      <c r="S6" s="21"/>
      <c r="T6" s="21"/>
      <c r="U6" s="21"/>
      <c r="V6" s="21"/>
      <c r="W6" s="24"/>
      <c r="X6" s="20"/>
      <c r="Y6" s="20"/>
      <c r="Z6" s="21"/>
      <c r="AA6" s="21"/>
      <c r="AB6" s="21"/>
      <c r="AC6" s="21"/>
      <c r="AD6" s="21"/>
      <c r="AE6" s="21"/>
      <c r="AF6" s="21"/>
      <c r="AG6" s="21"/>
      <c r="AH6" s="21"/>
      <c r="AI6" s="25"/>
      <c r="AJ6" s="20"/>
      <c r="AK6" s="21"/>
      <c r="AL6" s="20"/>
      <c r="AM6" s="20"/>
      <c r="AN6" s="20"/>
      <c r="AO6" s="20"/>
      <c r="AP6" s="446"/>
      <c r="AQ6" s="20"/>
      <c r="AR6" s="20"/>
      <c r="AS6" s="20"/>
      <c r="AT6" s="20"/>
      <c r="AU6" s="26"/>
      <c r="AV6" s="98"/>
      <c r="AW6" s="98"/>
      <c r="AX6" s="98"/>
      <c r="AY6" s="98"/>
      <c r="AZ6" s="98"/>
      <c r="BA6" s="217"/>
      <c r="BB6" s="98"/>
      <c r="BC6" s="98"/>
      <c r="BD6" s="98"/>
      <c r="BE6" s="98"/>
      <c r="BF6" s="98"/>
      <c r="BG6" s="219"/>
      <c r="BH6" s="219"/>
      <c r="BI6" s="219"/>
      <c r="BJ6" s="26"/>
      <c r="BK6" s="21"/>
      <c r="BL6" s="21"/>
      <c r="BM6" s="22"/>
      <c r="BN6" s="21"/>
      <c r="BO6" s="21"/>
      <c r="BP6" s="22"/>
      <c r="BQ6" s="21"/>
      <c r="BR6" s="21"/>
      <c r="BS6" s="22"/>
      <c r="BT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6" s="109" t="str">
        <f>IF(ISNUMBER(tblParticipants[[#This Row],[SvcStartDate]]),IF(AND(tblParticipants[[#This Row],[EnrollQtr]]=1,tblParticipants[[#This Row],[SvcStartDate]]&lt;DATE(conProgYear,7,1)),1,""),"")</f>
        <v/>
      </c>
      <c r="BV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6" s="232" t="str">
        <f t="shared" ca="1" si="0"/>
        <v/>
      </c>
      <c r="BX6" s="9">
        <f>IF(SUM(IF(tblParticipants[[#This Row],[AmIndOrAkNtv]]=1,1,0),IF(tblParticipants[[#This Row],[Asian]]=1,1,0),IF(tblParticipants[[#This Row],[BlkOrAfAmer]]=1,1,0),IF(tblParticipants[[#This Row],[NtvHawOrPacIsl]]=1,1,0),IF(tblParticipants[[#This Row],[White]]=1,1,0))&gt;1,1,0)</f>
        <v>0</v>
      </c>
      <c r="BY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6" s="11">
        <f>IF(tblParticipants[[#This Row],[EarnWg2Qae]]=1,IFERROR(tblParticipants[[#This Row],[HoursPerWk2Qae]]*tblParticipants[[#This Row],[HrlyWg2Qae]]*13,0),0)</f>
        <v>0</v>
      </c>
      <c r="CC6" s="11">
        <f>IF(tblParticipants[[#This Row],[EarnWg3Qae]]=1,IFERROR(tblParticipants[[#This Row],[HoursPerWk3Qae]]*tblParticipants[[#This Row],[HrlyWg3Qae]]*13,0),0)</f>
        <v>0</v>
      </c>
      <c r="CD6" s="9">
        <f>IFERROR(IF(SUM(tblParticipants[[#This Row],[EarnWg1Qae]],tblParticipants[[#This Row],[EarnWg2Qae]],tblParticipants[[#This Row],[EarnWg3Qae]])=3,1,0),0)</f>
        <v>0</v>
      </c>
      <c r="CE6" s="12">
        <f>IF(tblParticipants[[#This Row],[EmplAll3Qae]]=1,tblParticipants[[#This Row],[Earnings2Qae]]+tblParticipants[[#This Row],[Earnings3Qae]],0)</f>
        <v>0</v>
      </c>
      <c r="CF6" s="407"/>
    </row>
    <row r="7" spans="1:84" x14ac:dyDescent="0.3">
      <c r="A7" s="19"/>
      <c r="B7" s="107"/>
      <c r="C7" s="20"/>
      <c r="D7" s="20"/>
      <c r="E7" s="26"/>
      <c r="F7" s="26"/>
      <c r="G7" s="26"/>
      <c r="H7" s="26"/>
      <c r="I7" s="26"/>
      <c r="J7" s="26"/>
      <c r="K7" s="26"/>
      <c r="L7" s="26"/>
      <c r="M7" s="20"/>
      <c r="N7" s="26"/>
      <c r="O7" s="22"/>
      <c r="P7" s="21"/>
      <c r="Q7" s="23"/>
      <c r="R7" s="21"/>
      <c r="S7" s="21"/>
      <c r="T7" s="21"/>
      <c r="U7" s="21"/>
      <c r="V7" s="21"/>
      <c r="W7" s="24"/>
      <c r="X7" s="20"/>
      <c r="Y7" s="20"/>
      <c r="Z7" s="21"/>
      <c r="AA7" s="21"/>
      <c r="AB7" s="21"/>
      <c r="AC7" s="21"/>
      <c r="AD7" s="21"/>
      <c r="AE7" s="21"/>
      <c r="AF7" s="21"/>
      <c r="AG7" s="21"/>
      <c r="AH7" s="21"/>
      <c r="AI7" s="25"/>
      <c r="AJ7" s="20"/>
      <c r="AK7" s="21"/>
      <c r="AL7" s="20"/>
      <c r="AM7" s="20"/>
      <c r="AN7" s="20"/>
      <c r="AO7" s="20"/>
      <c r="AP7" s="446"/>
      <c r="AQ7" s="20"/>
      <c r="AR7" s="20"/>
      <c r="AS7" s="20"/>
      <c r="AT7" s="20"/>
      <c r="AU7" s="26"/>
      <c r="AV7" s="98"/>
      <c r="AW7" s="98"/>
      <c r="AX7" s="98"/>
      <c r="AY7" s="98"/>
      <c r="AZ7" s="98"/>
      <c r="BA7" s="217"/>
      <c r="BB7" s="98"/>
      <c r="BC7" s="98"/>
      <c r="BD7" s="98"/>
      <c r="BE7" s="98"/>
      <c r="BF7" s="98"/>
      <c r="BG7" s="219"/>
      <c r="BH7" s="219"/>
      <c r="BI7" s="219"/>
      <c r="BJ7" s="26"/>
      <c r="BK7" s="21"/>
      <c r="BL7" s="21"/>
      <c r="BM7" s="22"/>
      <c r="BN7" s="21"/>
      <c r="BO7" s="21"/>
      <c r="BP7" s="22"/>
      <c r="BQ7" s="21"/>
      <c r="BR7" s="21"/>
      <c r="BS7" s="22"/>
      <c r="BT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7" s="109" t="str">
        <f>IF(ISNUMBER(tblParticipants[[#This Row],[SvcStartDate]]),IF(AND(tblParticipants[[#This Row],[EnrollQtr]]=1,tblParticipants[[#This Row],[SvcStartDate]]&lt;DATE(conProgYear,7,1)),1,""),"")</f>
        <v/>
      </c>
      <c r="BV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7" s="232" t="str">
        <f t="shared" ca="1" si="0"/>
        <v/>
      </c>
      <c r="BX7" s="9">
        <f>IF(SUM(IF(tblParticipants[[#This Row],[AmIndOrAkNtv]]=1,1,0),IF(tblParticipants[[#This Row],[Asian]]=1,1,0),IF(tblParticipants[[#This Row],[BlkOrAfAmer]]=1,1,0),IF(tblParticipants[[#This Row],[NtvHawOrPacIsl]]=1,1,0),IF(tblParticipants[[#This Row],[White]]=1,1,0))&gt;1,1,0)</f>
        <v>0</v>
      </c>
      <c r="BY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7" s="11">
        <f>IF(tblParticipants[[#This Row],[EarnWg2Qae]]=1,IFERROR(tblParticipants[[#This Row],[HoursPerWk2Qae]]*tblParticipants[[#This Row],[HrlyWg2Qae]]*13,0),0)</f>
        <v>0</v>
      </c>
      <c r="CC7" s="11">
        <f>IF(tblParticipants[[#This Row],[EarnWg3Qae]]=1,IFERROR(tblParticipants[[#This Row],[HoursPerWk3Qae]]*tblParticipants[[#This Row],[HrlyWg3Qae]]*13,0),0)</f>
        <v>0</v>
      </c>
      <c r="CD7" s="9">
        <f>IFERROR(IF(SUM(tblParticipants[[#This Row],[EarnWg1Qae]],tblParticipants[[#This Row],[EarnWg2Qae]],tblParticipants[[#This Row],[EarnWg3Qae]])=3,1,0),0)</f>
        <v>0</v>
      </c>
      <c r="CE7" s="12">
        <f>IF(tblParticipants[[#This Row],[EmplAll3Qae]]=1,tblParticipants[[#This Row],[Earnings2Qae]]+tblParticipants[[#This Row],[Earnings3Qae]],0)</f>
        <v>0</v>
      </c>
      <c r="CF7" s="407"/>
    </row>
    <row r="8" spans="1:84" x14ac:dyDescent="0.3">
      <c r="A8" s="19"/>
      <c r="B8" s="19"/>
      <c r="C8" s="20"/>
      <c r="D8" s="20"/>
      <c r="E8" s="26"/>
      <c r="F8" s="26"/>
      <c r="G8" s="26"/>
      <c r="H8" s="26"/>
      <c r="I8" s="26"/>
      <c r="J8" s="26"/>
      <c r="K8" s="26"/>
      <c r="L8" s="26"/>
      <c r="M8" s="20"/>
      <c r="N8" s="26"/>
      <c r="O8" s="22"/>
      <c r="P8" s="21"/>
      <c r="Q8" s="23"/>
      <c r="R8" s="21"/>
      <c r="S8" s="21"/>
      <c r="T8" s="21"/>
      <c r="U8" s="21"/>
      <c r="V8" s="21"/>
      <c r="W8" s="24"/>
      <c r="X8" s="20"/>
      <c r="Y8" s="20"/>
      <c r="Z8" s="21"/>
      <c r="AA8" s="21"/>
      <c r="AB8" s="21"/>
      <c r="AC8" s="21"/>
      <c r="AD8" s="21"/>
      <c r="AE8" s="21"/>
      <c r="AF8" s="21"/>
      <c r="AG8" s="21"/>
      <c r="AH8" s="21"/>
      <c r="AI8" s="25"/>
      <c r="AJ8" s="20"/>
      <c r="AK8" s="21"/>
      <c r="AL8" s="20"/>
      <c r="AM8" s="20"/>
      <c r="AN8" s="20"/>
      <c r="AO8" s="20"/>
      <c r="AP8" s="446"/>
      <c r="AQ8" s="20"/>
      <c r="AR8" s="20"/>
      <c r="AS8" s="20"/>
      <c r="AT8" s="20"/>
      <c r="AU8" s="26"/>
      <c r="AV8" s="98"/>
      <c r="AW8" s="98"/>
      <c r="AX8" s="98"/>
      <c r="AY8" s="98"/>
      <c r="AZ8" s="98"/>
      <c r="BA8" s="217"/>
      <c r="BB8" s="98"/>
      <c r="BC8" s="98"/>
      <c r="BD8" s="98"/>
      <c r="BE8" s="98"/>
      <c r="BF8" s="98"/>
      <c r="BG8" s="219"/>
      <c r="BH8" s="219"/>
      <c r="BI8" s="219"/>
      <c r="BJ8" s="26"/>
      <c r="BK8" s="21"/>
      <c r="BL8" s="21"/>
      <c r="BM8" s="22"/>
      <c r="BN8" s="21"/>
      <c r="BO8" s="21"/>
      <c r="BP8" s="22"/>
      <c r="BQ8" s="21"/>
      <c r="BR8" s="21"/>
      <c r="BS8" s="22"/>
      <c r="BT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8" s="109" t="str">
        <f>IF(ISNUMBER(tblParticipants[[#This Row],[SvcStartDate]]),IF(AND(tblParticipants[[#This Row],[EnrollQtr]]=1,tblParticipants[[#This Row],[SvcStartDate]]&lt;DATE(conProgYear,7,1)),1,""),"")</f>
        <v/>
      </c>
      <c r="BV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8" s="232" t="str">
        <f t="shared" ca="1" si="0"/>
        <v/>
      </c>
      <c r="BX8" s="9">
        <f>IF(SUM(IF(tblParticipants[[#This Row],[AmIndOrAkNtv]]=1,1,0),IF(tblParticipants[[#This Row],[Asian]]=1,1,0),IF(tblParticipants[[#This Row],[BlkOrAfAmer]]=1,1,0),IF(tblParticipants[[#This Row],[NtvHawOrPacIsl]]=1,1,0),IF(tblParticipants[[#This Row],[White]]=1,1,0))&gt;1,1,0)</f>
        <v>0</v>
      </c>
      <c r="BY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8" s="11">
        <f>IF(tblParticipants[[#This Row],[EarnWg2Qae]]=1,IFERROR(tblParticipants[[#This Row],[HoursPerWk2Qae]]*tblParticipants[[#This Row],[HrlyWg2Qae]]*13,0),0)</f>
        <v>0</v>
      </c>
      <c r="CC8" s="11">
        <f>IF(tblParticipants[[#This Row],[EarnWg3Qae]]=1,IFERROR(tblParticipants[[#This Row],[HoursPerWk3Qae]]*tblParticipants[[#This Row],[HrlyWg3Qae]]*13,0),0)</f>
        <v>0</v>
      </c>
      <c r="CD8" s="9">
        <f>IFERROR(IF(SUM(tblParticipants[[#This Row],[EarnWg1Qae]],tblParticipants[[#This Row],[EarnWg2Qae]],tblParticipants[[#This Row],[EarnWg3Qae]])=3,1,0),0)</f>
        <v>0</v>
      </c>
      <c r="CE8" s="12">
        <f>IF(tblParticipants[[#This Row],[EmplAll3Qae]]=1,tblParticipants[[#This Row],[Earnings2Qae]]+tblParticipants[[#This Row],[Earnings3Qae]],0)</f>
        <v>0</v>
      </c>
      <c r="CF8" s="407"/>
    </row>
    <row r="9" spans="1:84" x14ac:dyDescent="0.3">
      <c r="A9" s="19"/>
      <c r="B9" s="19"/>
      <c r="C9" s="20"/>
      <c r="D9" s="20"/>
      <c r="E9" s="26"/>
      <c r="F9" s="26"/>
      <c r="G9" s="26"/>
      <c r="H9" s="26"/>
      <c r="I9" s="26"/>
      <c r="J9" s="26"/>
      <c r="K9" s="26"/>
      <c r="L9" s="26"/>
      <c r="M9" s="20"/>
      <c r="N9" s="26"/>
      <c r="O9" s="22"/>
      <c r="P9" s="21"/>
      <c r="Q9" s="23"/>
      <c r="R9" s="21"/>
      <c r="S9" s="21"/>
      <c r="T9" s="21"/>
      <c r="U9" s="21"/>
      <c r="V9" s="21"/>
      <c r="W9" s="24"/>
      <c r="X9" s="20"/>
      <c r="Y9" s="20"/>
      <c r="Z9" s="21"/>
      <c r="AA9" s="21"/>
      <c r="AB9" s="21"/>
      <c r="AC9" s="21"/>
      <c r="AD9" s="21"/>
      <c r="AE9" s="21"/>
      <c r="AF9" s="21"/>
      <c r="AG9" s="21"/>
      <c r="AH9" s="21"/>
      <c r="AI9" s="25"/>
      <c r="AJ9" s="20"/>
      <c r="AK9" s="21"/>
      <c r="AL9" s="20"/>
      <c r="AM9" s="20"/>
      <c r="AN9" s="20"/>
      <c r="AO9" s="20"/>
      <c r="AP9" s="446"/>
      <c r="AQ9" s="20"/>
      <c r="AR9" s="20"/>
      <c r="AS9" s="20"/>
      <c r="AT9" s="20"/>
      <c r="AU9" s="26"/>
      <c r="AV9" s="98"/>
      <c r="AW9" s="98"/>
      <c r="AX9" s="98"/>
      <c r="AY9" s="98"/>
      <c r="AZ9" s="98"/>
      <c r="BA9" s="217"/>
      <c r="BB9" s="98"/>
      <c r="BC9" s="98"/>
      <c r="BD9" s="98"/>
      <c r="BE9" s="98"/>
      <c r="BF9" s="98"/>
      <c r="BG9" s="219"/>
      <c r="BH9" s="219"/>
      <c r="BI9" s="219"/>
      <c r="BJ9" s="26"/>
      <c r="BK9" s="21"/>
      <c r="BL9" s="21"/>
      <c r="BM9" s="22"/>
      <c r="BN9" s="21"/>
      <c r="BO9" s="21"/>
      <c r="BP9" s="22"/>
      <c r="BQ9" s="21"/>
      <c r="BR9" s="21"/>
      <c r="BS9" s="22"/>
      <c r="BT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9" s="109" t="str">
        <f>IF(ISNUMBER(tblParticipants[[#This Row],[SvcStartDate]]),IF(AND(tblParticipants[[#This Row],[EnrollQtr]]=1,tblParticipants[[#This Row],[SvcStartDate]]&lt;DATE(conProgYear,7,1)),1,""),"")</f>
        <v/>
      </c>
      <c r="BV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9" s="232" t="str">
        <f t="shared" ca="1" si="0"/>
        <v/>
      </c>
      <c r="BX9" s="9">
        <f>IF(SUM(IF(tblParticipants[[#This Row],[AmIndOrAkNtv]]=1,1,0),IF(tblParticipants[[#This Row],[Asian]]=1,1,0),IF(tblParticipants[[#This Row],[BlkOrAfAmer]]=1,1,0),IF(tblParticipants[[#This Row],[NtvHawOrPacIsl]]=1,1,0),IF(tblParticipants[[#This Row],[White]]=1,1,0))&gt;1,1,0)</f>
        <v>0</v>
      </c>
      <c r="BY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9" s="11">
        <f>IF(tblParticipants[[#This Row],[EarnWg2Qae]]=1,IFERROR(tblParticipants[[#This Row],[HoursPerWk2Qae]]*tblParticipants[[#This Row],[HrlyWg2Qae]]*13,0),0)</f>
        <v>0</v>
      </c>
      <c r="CC9" s="11">
        <f>IF(tblParticipants[[#This Row],[EarnWg3Qae]]=1,IFERROR(tblParticipants[[#This Row],[HoursPerWk3Qae]]*tblParticipants[[#This Row],[HrlyWg3Qae]]*13,0),0)</f>
        <v>0</v>
      </c>
      <c r="CD9" s="9">
        <f>IFERROR(IF(SUM(tblParticipants[[#This Row],[EarnWg1Qae]],tblParticipants[[#This Row],[EarnWg2Qae]],tblParticipants[[#This Row],[EarnWg3Qae]])=3,1,0),0)</f>
        <v>0</v>
      </c>
      <c r="CE9" s="12">
        <f>IF(tblParticipants[[#This Row],[EmplAll3Qae]]=1,tblParticipants[[#This Row],[Earnings2Qae]]+tblParticipants[[#This Row],[Earnings3Qae]],0)</f>
        <v>0</v>
      </c>
      <c r="CF9" s="407"/>
    </row>
    <row r="10" spans="1:84" x14ac:dyDescent="0.3">
      <c r="A10" s="19"/>
      <c r="B10" s="19"/>
      <c r="C10" s="20"/>
      <c r="D10" s="20"/>
      <c r="E10" s="26"/>
      <c r="F10" s="26"/>
      <c r="G10" s="26"/>
      <c r="H10" s="26"/>
      <c r="I10" s="26"/>
      <c r="J10" s="26"/>
      <c r="K10" s="26"/>
      <c r="L10" s="26"/>
      <c r="M10" s="20"/>
      <c r="N10" s="26"/>
      <c r="O10" s="22"/>
      <c r="P10" s="21"/>
      <c r="Q10" s="23"/>
      <c r="R10" s="21"/>
      <c r="S10" s="21"/>
      <c r="T10" s="21"/>
      <c r="U10" s="21"/>
      <c r="V10" s="21"/>
      <c r="W10" s="24"/>
      <c r="X10" s="20"/>
      <c r="Y10" s="20"/>
      <c r="Z10" s="21"/>
      <c r="AA10" s="21"/>
      <c r="AB10" s="21"/>
      <c r="AC10" s="21"/>
      <c r="AD10" s="21"/>
      <c r="AE10" s="21"/>
      <c r="AF10" s="21"/>
      <c r="AG10" s="21"/>
      <c r="AH10" s="21"/>
      <c r="AI10" s="25"/>
      <c r="AJ10" s="20"/>
      <c r="AK10" s="21"/>
      <c r="AL10" s="20"/>
      <c r="AM10" s="20"/>
      <c r="AN10" s="20"/>
      <c r="AO10" s="20"/>
      <c r="AP10" s="446"/>
      <c r="AQ10" s="20"/>
      <c r="AR10" s="20"/>
      <c r="AS10" s="20"/>
      <c r="AT10" s="20"/>
      <c r="AU10" s="26"/>
      <c r="AV10" s="98"/>
      <c r="AW10" s="98"/>
      <c r="AX10" s="98"/>
      <c r="AY10" s="98"/>
      <c r="AZ10" s="98"/>
      <c r="BA10" s="217"/>
      <c r="BB10" s="98"/>
      <c r="BC10" s="98"/>
      <c r="BD10" s="98"/>
      <c r="BE10" s="98"/>
      <c r="BF10" s="98"/>
      <c r="BG10" s="219"/>
      <c r="BH10" s="219"/>
      <c r="BI10" s="219"/>
      <c r="BJ10" s="26"/>
      <c r="BK10" s="21"/>
      <c r="BL10" s="21"/>
      <c r="BM10" s="22"/>
      <c r="BN10" s="21"/>
      <c r="BO10" s="21"/>
      <c r="BP10" s="22"/>
      <c r="BQ10" s="21"/>
      <c r="BR10" s="21"/>
      <c r="BS10" s="22"/>
      <c r="BT1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0" s="109" t="str">
        <f>IF(ISNUMBER(tblParticipants[[#This Row],[SvcStartDate]]),IF(AND(tblParticipants[[#This Row],[EnrollQtr]]=1,tblParticipants[[#This Row],[SvcStartDate]]&lt;DATE(conProgYear,7,1)),1,""),"")</f>
        <v/>
      </c>
      <c r="BV1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0" s="232" t="str">
        <f t="shared" ca="1" si="0"/>
        <v/>
      </c>
      <c r="BX10" s="9">
        <f>IF(SUM(IF(tblParticipants[[#This Row],[AmIndOrAkNtv]]=1,1,0),IF(tblParticipants[[#This Row],[Asian]]=1,1,0),IF(tblParticipants[[#This Row],[BlkOrAfAmer]]=1,1,0),IF(tblParticipants[[#This Row],[NtvHawOrPacIsl]]=1,1,0),IF(tblParticipants[[#This Row],[White]]=1,1,0))&gt;1,1,0)</f>
        <v>0</v>
      </c>
      <c r="BY1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0" s="11">
        <f>IF(tblParticipants[[#This Row],[EarnWg2Qae]]=1,IFERROR(tblParticipants[[#This Row],[HoursPerWk2Qae]]*tblParticipants[[#This Row],[HrlyWg2Qae]]*13,0),0)</f>
        <v>0</v>
      </c>
      <c r="CC10" s="11">
        <f>IF(tblParticipants[[#This Row],[EarnWg3Qae]]=1,IFERROR(tblParticipants[[#This Row],[HoursPerWk3Qae]]*tblParticipants[[#This Row],[HrlyWg3Qae]]*13,0),0)</f>
        <v>0</v>
      </c>
      <c r="CD10" s="9">
        <f>IFERROR(IF(SUM(tblParticipants[[#This Row],[EarnWg1Qae]],tblParticipants[[#This Row],[EarnWg2Qae]],tblParticipants[[#This Row],[EarnWg3Qae]])=3,1,0),0)</f>
        <v>0</v>
      </c>
      <c r="CE10" s="12">
        <f>IF(tblParticipants[[#This Row],[EmplAll3Qae]]=1,tblParticipants[[#This Row],[Earnings2Qae]]+tblParticipants[[#This Row],[Earnings3Qae]],0)</f>
        <v>0</v>
      </c>
      <c r="CF10" s="407"/>
    </row>
    <row r="11" spans="1:84" x14ac:dyDescent="0.3">
      <c r="A11" s="19"/>
      <c r="B11" s="19"/>
      <c r="C11" s="20"/>
      <c r="D11" s="20"/>
      <c r="E11" s="26"/>
      <c r="F11" s="26"/>
      <c r="G11" s="26"/>
      <c r="H11" s="26"/>
      <c r="I11" s="26"/>
      <c r="J11" s="26"/>
      <c r="K11" s="26"/>
      <c r="L11" s="26"/>
      <c r="M11" s="20"/>
      <c r="N11" s="26"/>
      <c r="O11" s="22"/>
      <c r="P11" s="21"/>
      <c r="Q11" s="23"/>
      <c r="R11" s="21"/>
      <c r="S11" s="21"/>
      <c r="T11" s="21"/>
      <c r="U11" s="21"/>
      <c r="V11" s="21"/>
      <c r="W11" s="24"/>
      <c r="X11" s="20"/>
      <c r="Y11" s="20"/>
      <c r="Z11" s="21"/>
      <c r="AA11" s="21"/>
      <c r="AB11" s="21"/>
      <c r="AC11" s="21"/>
      <c r="AD11" s="21"/>
      <c r="AE11" s="21"/>
      <c r="AF11" s="21"/>
      <c r="AG11" s="21"/>
      <c r="AH11" s="21"/>
      <c r="AI11" s="25"/>
      <c r="AJ11" s="20"/>
      <c r="AK11" s="21"/>
      <c r="AL11" s="20"/>
      <c r="AM11" s="20"/>
      <c r="AN11" s="20"/>
      <c r="AO11" s="20"/>
      <c r="AP11" s="446"/>
      <c r="AQ11" s="20"/>
      <c r="AR11" s="20"/>
      <c r="AS11" s="20"/>
      <c r="AT11" s="20"/>
      <c r="AU11" s="26"/>
      <c r="AV11" s="98"/>
      <c r="AW11" s="98"/>
      <c r="AX11" s="98"/>
      <c r="AY11" s="98"/>
      <c r="AZ11" s="98"/>
      <c r="BA11" s="217"/>
      <c r="BB11" s="98"/>
      <c r="BC11" s="98"/>
      <c r="BD11" s="98"/>
      <c r="BE11" s="98"/>
      <c r="BF11" s="98"/>
      <c r="BG11" s="219"/>
      <c r="BH11" s="219"/>
      <c r="BI11" s="219"/>
      <c r="BJ11" s="26"/>
      <c r="BK11" s="21"/>
      <c r="BL11" s="21"/>
      <c r="BM11" s="22"/>
      <c r="BN11" s="21"/>
      <c r="BO11" s="21"/>
      <c r="BP11" s="22"/>
      <c r="BQ11" s="21"/>
      <c r="BR11" s="21"/>
      <c r="BS11" s="22"/>
      <c r="BT1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1" s="109" t="str">
        <f>IF(ISNUMBER(tblParticipants[[#This Row],[SvcStartDate]]),IF(AND(tblParticipants[[#This Row],[EnrollQtr]]=1,tblParticipants[[#This Row],[SvcStartDate]]&lt;DATE(conProgYear,7,1)),1,""),"")</f>
        <v/>
      </c>
      <c r="BV1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1" s="232" t="str">
        <f t="shared" ca="1" si="0"/>
        <v/>
      </c>
      <c r="BX11" s="9">
        <f>IF(SUM(IF(tblParticipants[[#This Row],[AmIndOrAkNtv]]=1,1,0),IF(tblParticipants[[#This Row],[Asian]]=1,1,0),IF(tblParticipants[[#This Row],[BlkOrAfAmer]]=1,1,0),IF(tblParticipants[[#This Row],[NtvHawOrPacIsl]]=1,1,0),IF(tblParticipants[[#This Row],[White]]=1,1,0))&gt;1,1,0)</f>
        <v>0</v>
      </c>
      <c r="BY1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1" s="11">
        <f>IF(tblParticipants[[#This Row],[EarnWg2Qae]]=1,IFERROR(tblParticipants[[#This Row],[HoursPerWk2Qae]]*tblParticipants[[#This Row],[HrlyWg2Qae]]*13,0),0)</f>
        <v>0</v>
      </c>
      <c r="CC11" s="11">
        <f>IF(tblParticipants[[#This Row],[EarnWg3Qae]]=1,IFERROR(tblParticipants[[#This Row],[HoursPerWk3Qae]]*tblParticipants[[#This Row],[HrlyWg3Qae]]*13,0),0)</f>
        <v>0</v>
      </c>
      <c r="CD11" s="9">
        <f>IFERROR(IF(SUM(tblParticipants[[#This Row],[EarnWg1Qae]],tblParticipants[[#This Row],[EarnWg2Qae]],tblParticipants[[#This Row],[EarnWg3Qae]])=3,1,0),0)</f>
        <v>0</v>
      </c>
      <c r="CE11" s="12">
        <f>IF(tblParticipants[[#This Row],[EmplAll3Qae]]=1,tblParticipants[[#This Row],[Earnings2Qae]]+tblParticipants[[#This Row],[Earnings3Qae]],0)</f>
        <v>0</v>
      </c>
      <c r="CF11" s="407"/>
    </row>
    <row r="12" spans="1:84" x14ac:dyDescent="0.3">
      <c r="A12" s="19"/>
      <c r="B12" s="19"/>
      <c r="C12" s="20"/>
      <c r="D12" s="20"/>
      <c r="E12" s="26"/>
      <c r="F12" s="26"/>
      <c r="G12" s="26"/>
      <c r="H12" s="26"/>
      <c r="I12" s="26"/>
      <c r="J12" s="26"/>
      <c r="K12" s="26"/>
      <c r="L12" s="26"/>
      <c r="M12" s="20"/>
      <c r="N12" s="26"/>
      <c r="O12" s="22"/>
      <c r="P12" s="21"/>
      <c r="Q12" s="23"/>
      <c r="R12" s="21"/>
      <c r="S12" s="21"/>
      <c r="T12" s="21"/>
      <c r="U12" s="21"/>
      <c r="V12" s="21"/>
      <c r="W12" s="24"/>
      <c r="X12" s="20"/>
      <c r="Y12" s="20"/>
      <c r="Z12" s="21"/>
      <c r="AA12" s="21"/>
      <c r="AB12" s="21"/>
      <c r="AC12" s="21"/>
      <c r="AD12" s="21"/>
      <c r="AE12" s="21"/>
      <c r="AF12" s="21"/>
      <c r="AG12" s="21"/>
      <c r="AH12" s="21"/>
      <c r="AI12" s="25"/>
      <c r="AJ12" s="20"/>
      <c r="AK12" s="21"/>
      <c r="AL12" s="20"/>
      <c r="AM12" s="20"/>
      <c r="AN12" s="20"/>
      <c r="AO12" s="20"/>
      <c r="AP12" s="446"/>
      <c r="AQ12" s="20"/>
      <c r="AR12" s="20"/>
      <c r="AS12" s="20"/>
      <c r="AT12" s="20"/>
      <c r="AU12" s="26"/>
      <c r="AV12" s="98"/>
      <c r="AW12" s="98"/>
      <c r="AX12" s="98"/>
      <c r="AY12" s="98"/>
      <c r="AZ12" s="98"/>
      <c r="BA12" s="217"/>
      <c r="BB12" s="98"/>
      <c r="BC12" s="98"/>
      <c r="BD12" s="98"/>
      <c r="BE12" s="98"/>
      <c r="BF12" s="98"/>
      <c r="BG12" s="219"/>
      <c r="BH12" s="219"/>
      <c r="BI12" s="219"/>
      <c r="BJ12" s="26"/>
      <c r="BK12" s="21"/>
      <c r="BL12" s="21"/>
      <c r="BM12" s="22"/>
      <c r="BN12" s="21"/>
      <c r="BO12" s="21"/>
      <c r="BP12" s="22"/>
      <c r="BQ12" s="21"/>
      <c r="BR12" s="21"/>
      <c r="BS12" s="22"/>
      <c r="BT1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2" s="109" t="str">
        <f>IF(ISNUMBER(tblParticipants[[#This Row],[SvcStartDate]]),IF(AND(tblParticipants[[#This Row],[EnrollQtr]]=1,tblParticipants[[#This Row],[SvcStartDate]]&lt;DATE(conProgYear,7,1)),1,""),"")</f>
        <v/>
      </c>
      <c r="BV1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2" s="232" t="str">
        <f t="shared" ca="1" si="0"/>
        <v/>
      </c>
      <c r="BX12" s="9">
        <f>IF(SUM(IF(tblParticipants[[#This Row],[AmIndOrAkNtv]]=1,1,0),IF(tblParticipants[[#This Row],[Asian]]=1,1,0),IF(tblParticipants[[#This Row],[BlkOrAfAmer]]=1,1,0),IF(tblParticipants[[#This Row],[NtvHawOrPacIsl]]=1,1,0),IF(tblParticipants[[#This Row],[White]]=1,1,0))&gt;1,1,0)</f>
        <v>0</v>
      </c>
      <c r="BY1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2" s="11">
        <f>IF(tblParticipants[[#This Row],[EarnWg2Qae]]=1,IFERROR(tblParticipants[[#This Row],[HoursPerWk2Qae]]*tblParticipants[[#This Row],[HrlyWg2Qae]]*13,0),0)</f>
        <v>0</v>
      </c>
      <c r="CC12" s="11">
        <f>IF(tblParticipants[[#This Row],[EarnWg3Qae]]=1,IFERROR(tblParticipants[[#This Row],[HoursPerWk3Qae]]*tblParticipants[[#This Row],[HrlyWg3Qae]]*13,0),0)</f>
        <v>0</v>
      </c>
      <c r="CD12" s="9">
        <f>IFERROR(IF(SUM(tblParticipants[[#This Row],[EarnWg1Qae]],tblParticipants[[#This Row],[EarnWg2Qae]],tblParticipants[[#This Row],[EarnWg3Qae]])=3,1,0),0)</f>
        <v>0</v>
      </c>
      <c r="CE12" s="12">
        <f>IF(tblParticipants[[#This Row],[EmplAll3Qae]]=1,tblParticipants[[#This Row],[Earnings2Qae]]+tblParticipants[[#This Row],[Earnings3Qae]],0)</f>
        <v>0</v>
      </c>
      <c r="CF12" s="407"/>
    </row>
    <row r="13" spans="1:84" x14ac:dyDescent="0.3">
      <c r="A13" s="19"/>
      <c r="B13" s="107"/>
      <c r="C13" s="20"/>
      <c r="D13" s="20"/>
      <c r="E13" s="26"/>
      <c r="F13" s="26"/>
      <c r="G13" s="26"/>
      <c r="H13" s="26"/>
      <c r="I13" s="26"/>
      <c r="J13" s="26"/>
      <c r="K13" s="26"/>
      <c r="L13" s="26"/>
      <c r="M13" s="20"/>
      <c r="N13" s="26"/>
      <c r="O13" s="22"/>
      <c r="P13" s="21"/>
      <c r="Q13" s="23"/>
      <c r="R13" s="21"/>
      <c r="S13" s="21"/>
      <c r="T13" s="21"/>
      <c r="U13" s="21"/>
      <c r="V13" s="21"/>
      <c r="W13" s="24"/>
      <c r="X13" s="20"/>
      <c r="Y13" s="20"/>
      <c r="Z13" s="21"/>
      <c r="AA13" s="21"/>
      <c r="AB13" s="21"/>
      <c r="AC13" s="21"/>
      <c r="AD13" s="21"/>
      <c r="AE13" s="21"/>
      <c r="AF13" s="21"/>
      <c r="AG13" s="21"/>
      <c r="AH13" s="21"/>
      <c r="AI13" s="25"/>
      <c r="AJ13" s="20"/>
      <c r="AK13" s="21"/>
      <c r="AL13" s="20"/>
      <c r="AM13" s="20"/>
      <c r="AN13" s="20"/>
      <c r="AO13" s="20"/>
      <c r="AP13" s="446"/>
      <c r="AQ13" s="20"/>
      <c r="AR13" s="20"/>
      <c r="AS13" s="20"/>
      <c r="AT13" s="20"/>
      <c r="AU13" s="26"/>
      <c r="AV13" s="98"/>
      <c r="AW13" s="98"/>
      <c r="AX13" s="98"/>
      <c r="AY13" s="98"/>
      <c r="AZ13" s="98"/>
      <c r="BA13" s="217"/>
      <c r="BB13" s="98"/>
      <c r="BC13" s="98"/>
      <c r="BD13" s="98"/>
      <c r="BE13" s="98"/>
      <c r="BF13" s="98"/>
      <c r="BG13" s="219"/>
      <c r="BH13" s="219"/>
      <c r="BI13" s="219"/>
      <c r="BJ13" s="26"/>
      <c r="BK13" s="21"/>
      <c r="BL13" s="21"/>
      <c r="BM13" s="22"/>
      <c r="BN13" s="21"/>
      <c r="BO13" s="21"/>
      <c r="BP13" s="22"/>
      <c r="BQ13" s="21"/>
      <c r="BR13" s="21"/>
      <c r="BS13" s="22"/>
      <c r="BT1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3" s="109" t="str">
        <f>IF(ISNUMBER(tblParticipants[[#This Row],[SvcStartDate]]),IF(AND(tblParticipants[[#This Row],[EnrollQtr]]=1,tblParticipants[[#This Row],[SvcStartDate]]&lt;DATE(conProgYear,7,1)),1,""),"")</f>
        <v/>
      </c>
      <c r="BV1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3" s="232" t="str">
        <f t="shared" ca="1" si="0"/>
        <v/>
      </c>
      <c r="BX13" s="9">
        <f>IF(SUM(IF(tblParticipants[[#This Row],[AmIndOrAkNtv]]=1,1,0),IF(tblParticipants[[#This Row],[Asian]]=1,1,0),IF(tblParticipants[[#This Row],[BlkOrAfAmer]]=1,1,0),IF(tblParticipants[[#This Row],[NtvHawOrPacIsl]]=1,1,0),IF(tblParticipants[[#This Row],[White]]=1,1,0))&gt;1,1,0)</f>
        <v>0</v>
      </c>
      <c r="BY1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3" s="11">
        <f>IF(tblParticipants[[#This Row],[EarnWg2Qae]]=1,IFERROR(tblParticipants[[#This Row],[HoursPerWk2Qae]]*tblParticipants[[#This Row],[HrlyWg2Qae]]*13,0),0)</f>
        <v>0</v>
      </c>
      <c r="CC13" s="11">
        <f>IF(tblParticipants[[#This Row],[EarnWg3Qae]]=1,IFERROR(tblParticipants[[#This Row],[HoursPerWk3Qae]]*tblParticipants[[#This Row],[HrlyWg3Qae]]*13,0),0)</f>
        <v>0</v>
      </c>
      <c r="CD13" s="9">
        <f>IFERROR(IF(SUM(tblParticipants[[#This Row],[EarnWg1Qae]],tblParticipants[[#This Row],[EarnWg2Qae]],tblParticipants[[#This Row],[EarnWg3Qae]])=3,1,0),0)</f>
        <v>0</v>
      </c>
      <c r="CE13" s="12">
        <f>IF(tblParticipants[[#This Row],[EmplAll3Qae]]=1,tblParticipants[[#This Row],[Earnings2Qae]]+tblParticipants[[#This Row],[Earnings3Qae]],0)</f>
        <v>0</v>
      </c>
      <c r="CF13" s="407"/>
    </row>
    <row r="14" spans="1:84" x14ac:dyDescent="0.3">
      <c r="A14" s="19"/>
      <c r="B14" s="107"/>
      <c r="C14" s="20"/>
      <c r="D14" s="20"/>
      <c r="E14" s="26"/>
      <c r="F14" s="26"/>
      <c r="G14" s="26"/>
      <c r="H14" s="26"/>
      <c r="I14" s="26"/>
      <c r="J14" s="26"/>
      <c r="K14" s="26"/>
      <c r="L14" s="26"/>
      <c r="M14" s="20"/>
      <c r="N14" s="26"/>
      <c r="O14" s="22"/>
      <c r="P14" s="21"/>
      <c r="Q14" s="23"/>
      <c r="R14" s="21"/>
      <c r="S14" s="21"/>
      <c r="T14" s="21"/>
      <c r="U14" s="21"/>
      <c r="V14" s="21"/>
      <c r="W14" s="24"/>
      <c r="X14" s="20"/>
      <c r="Y14" s="20"/>
      <c r="Z14" s="21"/>
      <c r="AA14" s="21"/>
      <c r="AB14" s="21"/>
      <c r="AC14" s="21"/>
      <c r="AD14" s="21"/>
      <c r="AE14" s="21"/>
      <c r="AF14" s="21"/>
      <c r="AG14" s="21"/>
      <c r="AH14" s="21"/>
      <c r="AI14" s="25"/>
      <c r="AJ14" s="20"/>
      <c r="AK14" s="21"/>
      <c r="AL14" s="20"/>
      <c r="AM14" s="20"/>
      <c r="AN14" s="445"/>
      <c r="AO14" s="21"/>
      <c r="AP14" s="446"/>
      <c r="AQ14" s="20"/>
      <c r="AR14" s="20"/>
      <c r="AS14" s="20"/>
      <c r="AT14" s="20"/>
      <c r="AU14" s="26"/>
      <c r="AV14" s="98"/>
      <c r="AW14" s="98"/>
      <c r="AX14" s="98"/>
      <c r="AY14" s="98"/>
      <c r="AZ14" s="98"/>
      <c r="BA14" s="217"/>
      <c r="BB14" s="98"/>
      <c r="BC14" s="98"/>
      <c r="BD14" s="98"/>
      <c r="BE14" s="98"/>
      <c r="BF14" s="98"/>
      <c r="BG14" s="219"/>
      <c r="BH14" s="219"/>
      <c r="BI14" s="219"/>
      <c r="BJ14" s="26"/>
      <c r="BK14" s="21"/>
      <c r="BL14" s="21"/>
      <c r="BM14" s="22"/>
      <c r="BN14" s="21"/>
      <c r="BO14" s="21"/>
      <c r="BP14" s="22"/>
      <c r="BQ14" s="21"/>
      <c r="BR14" s="21"/>
      <c r="BS14" s="22"/>
      <c r="BT1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4" s="109" t="str">
        <f>IF(ISNUMBER(tblParticipants[[#This Row],[SvcStartDate]]),IF(AND(tblParticipants[[#This Row],[EnrollQtr]]=1,tblParticipants[[#This Row],[SvcStartDate]]&lt;DATE(conProgYear,7,1)),1,""),"")</f>
        <v/>
      </c>
      <c r="BV1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4" s="232" t="str">
        <f t="shared" ca="1" si="0"/>
        <v/>
      </c>
      <c r="BX14" s="9">
        <f>IF(SUM(IF(tblParticipants[[#This Row],[AmIndOrAkNtv]]=1,1,0),IF(tblParticipants[[#This Row],[Asian]]=1,1,0),IF(tblParticipants[[#This Row],[BlkOrAfAmer]]=1,1,0),IF(tblParticipants[[#This Row],[NtvHawOrPacIsl]]=1,1,0),IF(tblParticipants[[#This Row],[White]]=1,1,0))&gt;1,1,0)</f>
        <v>0</v>
      </c>
      <c r="BY1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4" s="11">
        <f>IF(tblParticipants[[#This Row],[EarnWg2Qae]]=1,IFERROR(tblParticipants[[#This Row],[HoursPerWk2Qae]]*tblParticipants[[#This Row],[HrlyWg2Qae]]*13,0),0)</f>
        <v>0</v>
      </c>
      <c r="CC14" s="11">
        <f>IF(tblParticipants[[#This Row],[EarnWg3Qae]]=1,IFERROR(tblParticipants[[#This Row],[HoursPerWk3Qae]]*tblParticipants[[#This Row],[HrlyWg3Qae]]*13,0),0)</f>
        <v>0</v>
      </c>
      <c r="CD14" s="9">
        <f>IFERROR(IF(SUM(tblParticipants[[#This Row],[EarnWg1Qae]],tblParticipants[[#This Row],[EarnWg2Qae]],tblParticipants[[#This Row],[EarnWg3Qae]])=3,1,0),0)</f>
        <v>0</v>
      </c>
      <c r="CE14" s="12">
        <f>IF(tblParticipants[[#This Row],[EmplAll3Qae]]=1,tblParticipants[[#This Row],[Earnings2Qae]]+tblParticipants[[#This Row],[Earnings3Qae]],0)</f>
        <v>0</v>
      </c>
      <c r="CF14" s="407"/>
    </row>
    <row r="15" spans="1:84" x14ac:dyDescent="0.3">
      <c r="A15" s="19"/>
      <c r="B15" s="19"/>
      <c r="C15" s="20"/>
      <c r="D15" s="20"/>
      <c r="E15" s="26"/>
      <c r="F15" s="26"/>
      <c r="G15" s="26"/>
      <c r="H15" s="26"/>
      <c r="I15" s="26"/>
      <c r="J15" s="26"/>
      <c r="K15" s="26"/>
      <c r="L15" s="26"/>
      <c r="M15" s="20"/>
      <c r="N15" s="26"/>
      <c r="O15" s="22"/>
      <c r="P15" s="21"/>
      <c r="Q15" s="23"/>
      <c r="R15" s="21"/>
      <c r="S15" s="21"/>
      <c r="T15" s="21"/>
      <c r="U15" s="21"/>
      <c r="V15" s="21"/>
      <c r="W15" s="24"/>
      <c r="X15" s="20"/>
      <c r="Y15" s="20"/>
      <c r="Z15" s="21"/>
      <c r="AA15" s="21"/>
      <c r="AB15" s="21"/>
      <c r="AC15" s="21"/>
      <c r="AD15" s="21"/>
      <c r="AE15" s="21"/>
      <c r="AF15" s="21"/>
      <c r="AG15" s="21"/>
      <c r="AH15" s="21"/>
      <c r="AI15" s="25"/>
      <c r="AJ15" s="20"/>
      <c r="AK15" s="21"/>
      <c r="AL15" s="20"/>
      <c r="AM15" s="20"/>
      <c r="AN15" s="20"/>
      <c r="AO15" s="20"/>
      <c r="AP15" s="446"/>
      <c r="AQ15" s="20"/>
      <c r="AR15" s="20"/>
      <c r="AS15" s="20"/>
      <c r="AT15" s="20"/>
      <c r="AU15" s="26"/>
      <c r="AV15" s="98"/>
      <c r="AW15" s="98"/>
      <c r="AX15" s="98"/>
      <c r="AY15" s="98"/>
      <c r="AZ15" s="98"/>
      <c r="BA15" s="217"/>
      <c r="BB15" s="98"/>
      <c r="BC15" s="98"/>
      <c r="BD15" s="98"/>
      <c r="BE15" s="98"/>
      <c r="BF15" s="98"/>
      <c r="BG15" s="219"/>
      <c r="BH15" s="219"/>
      <c r="BI15" s="219"/>
      <c r="BJ15" s="26"/>
      <c r="BK15" s="21"/>
      <c r="BL15" s="21"/>
      <c r="BM15" s="22"/>
      <c r="BN15" s="21"/>
      <c r="BO15" s="21"/>
      <c r="BP15" s="22"/>
      <c r="BQ15" s="21"/>
      <c r="BR15" s="21"/>
      <c r="BS15" s="22"/>
      <c r="BT1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5" s="109" t="str">
        <f>IF(ISNUMBER(tblParticipants[[#This Row],[SvcStartDate]]),IF(AND(tblParticipants[[#This Row],[EnrollQtr]]=1,tblParticipants[[#This Row],[SvcStartDate]]&lt;DATE(conProgYear,7,1)),1,""),"")</f>
        <v/>
      </c>
      <c r="BV1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5" s="232" t="str">
        <f t="shared" ca="1" si="0"/>
        <v/>
      </c>
      <c r="BX15" s="9">
        <f>IF(SUM(IF(tblParticipants[[#This Row],[AmIndOrAkNtv]]=1,1,0),IF(tblParticipants[[#This Row],[Asian]]=1,1,0),IF(tblParticipants[[#This Row],[BlkOrAfAmer]]=1,1,0),IF(tblParticipants[[#This Row],[NtvHawOrPacIsl]]=1,1,0),IF(tblParticipants[[#This Row],[White]]=1,1,0))&gt;1,1,0)</f>
        <v>0</v>
      </c>
      <c r="BY1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5" s="11">
        <f>IF(tblParticipants[[#This Row],[EarnWg2Qae]]=1,IFERROR(tblParticipants[[#This Row],[HoursPerWk2Qae]]*tblParticipants[[#This Row],[HrlyWg2Qae]]*13,0),0)</f>
        <v>0</v>
      </c>
      <c r="CC15" s="11">
        <f>IF(tblParticipants[[#This Row],[EarnWg3Qae]]=1,IFERROR(tblParticipants[[#This Row],[HoursPerWk3Qae]]*tblParticipants[[#This Row],[HrlyWg3Qae]]*13,0),0)</f>
        <v>0</v>
      </c>
      <c r="CD15" s="9">
        <f>IFERROR(IF(SUM(tblParticipants[[#This Row],[EarnWg1Qae]],tblParticipants[[#This Row],[EarnWg2Qae]],tblParticipants[[#This Row],[EarnWg3Qae]])=3,1,0),0)</f>
        <v>0</v>
      </c>
      <c r="CE15" s="12">
        <f>IF(tblParticipants[[#This Row],[EmplAll3Qae]]=1,tblParticipants[[#This Row],[Earnings2Qae]]+tblParticipants[[#This Row],[Earnings3Qae]],0)</f>
        <v>0</v>
      </c>
      <c r="CF15" s="407"/>
    </row>
    <row r="16" spans="1:84" x14ac:dyDescent="0.3">
      <c r="A16" s="19"/>
      <c r="B16" s="107"/>
      <c r="C16" s="20"/>
      <c r="D16" s="20"/>
      <c r="E16" s="26"/>
      <c r="F16" s="26"/>
      <c r="G16" s="26"/>
      <c r="H16" s="26"/>
      <c r="I16" s="26"/>
      <c r="J16" s="26"/>
      <c r="K16" s="26"/>
      <c r="L16" s="26"/>
      <c r="M16" s="20"/>
      <c r="N16" s="26"/>
      <c r="O16" s="22"/>
      <c r="P16" s="21"/>
      <c r="Q16" s="23"/>
      <c r="R16" s="21"/>
      <c r="S16" s="21"/>
      <c r="T16" s="21"/>
      <c r="U16" s="21"/>
      <c r="V16" s="21"/>
      <c r="W16" s="24"/>
      <c r="X16" s="20"/>
      <c r="Y16" s="20"/>
      <c r="Z16" s="21"/>
      <c r="AA16" s="21"/>
      <c r="AB16" s="21"/>
      <c r="AC16" s="21"/>
      <c r="AD16" s="21"/>
      <c r="AE16" s="21"/>
      <c r="AF16" s="21"/>
      <c r="AG16" s="21"/>
      <c r="AH16" s="21"/>
      <c r="AI16" s="25"/>
      <c r="AJ16" s="20"/>
      <c r="AK16" s="21"/>
      <c r="AL16" s="20"/>
      <c r="AM16" s="20"/>
      <c r="AN16" s="20"/>
      <c r="AO16" s="20"/>
      <c r="AP16" s="446"/>
      <c r="AQ16" s="20"/>
      <c r="AR16" s="20"/>
      <c r="AS16" s="20"/>
      <c r="AT16" s="20"/>
      <c r="AU16" s="26"/>
      <c r="AV16" s="98"/>
      <c r="AW16" s="98"/>
      <c r="AX16" s="98"/>
      <c r="AY16" s="98"/>
      <c r="AZ16" s="98"/>
      <c r="BA16" s="217"/>
      <c r="BB16" s="98"/>
      <c r="BC16" s="98"/>
      <c r="BD16" s="98"/>
      <c r="BE16" s="98"/>
      <c r="BF16" s="98"/>
      <c r="BG16" s="219"/>
      <c r="BH16" s="219"/>
      <c r="BI16" s="219"/>
      <c r="BJ16" s="26"/>
      <c r="BK16" s="21"/>
      <c r="BL16" s="21"/>
      <c r="BM16" s="22"/>
      <c r="BN16" s="21"/>
      <c r="BO16" s="21"/>
      <c r="BP16" s="22"/>
      <c r="BQ16" s="21"/>
      <c r="BR16" s="21"/>
      <c r="BS16" s="22"/>
      <c r="BT1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6" s="109" t="str">
        <f>IF(ISNUMBER(tblParticipants[[#This Row],[SvcStartDate]]),IF(AND(tblParticipants[[#This Row],[EnrollQtr]]=1,tblParticipants[[#This Row],[SvcStartDate]]&lt;DATE(conProgYear,7,1)),1,""),"")</f>
        <v/>
      </c>
      <c r="BV1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6" s="232" t="str">
        <f t="shared" ca="1" si="0"/>
        <v/>
      </c>
      <c r="BX16" s="9">
        <f>IF(SUM(IF(tblParticipants[[#This Row],[AmIndOrAkNtv]]=1,1,0),IF(tblParticipants[[#This Row],[Asian]]=1,1,0),IF(tblParticipants[[#This Row],[BlkOrAfAmer]]=1,1,0),IF(tblParticipants[[#This Row],[NtvHawOrPacIsl]]=1,1,0),IF(tblParticipants[[#This Row],[White]]=1,1,0))&gt;1,1,0)</f>
        <v>0</v>
      </c>
      <c r="BY1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6" s="11">
        <f>IF(tblParticipants[[#This Row],[EarnWg2Qae]]=1,IFERROR(tblParticipants[[#This Row],[HoursPerWk2Qae]]*tblParticipants[[#This Row],[HrlyWg2Qae]]*13,0),0)</f>
        <v>0</v>
      </c>
      <c r="CC16" s="11">
        <f>IF(tblParticipants[[#This Row],[EarnWg3Qae]]=1,IFERROR(tblParticipants[[#This Row],[HoursPerWk3Qae]]*tblParticipants[[#This Row],[HrlyWg3Qae]]*13,0),0)</f>
        <v>0</v>
      </c>
      <c r="CD16" s="9">
        <f>IFERROR(IF(SUM(tblParticipants[[#This Row],[EarnWg1Qae]],tblParticipants[[#This Row],[EarnWg2Qae]],tblParticipants[[#This Row],[EarnWg3Qae]])=3,1,0),0)</f>
        <v>0</v>
      </c>
      <c r="CE16" s="12">
        <f>IF(tblParticipants[[#This Row],[EmplAll3Qae]]=1,tblParticipants[[#This Row],[Earnings2Qae]]+tblParticipants[[#This Row],[Earnings3Qae]],0)</f>
        <v>0</v>
      </c>
      <c r="CF16" s="407"/>
    </row>
    <row r="17" spans="1:84" x14ac:dyDescent="0.3">
      <c r="A17" s="19"/>
      <c r="B17" s="19"/>
      <c r="C17" s="20"/>
      <c r="D17" s="20"/>
      <c r="E17" s="26"/>
      <c r="F17" s="26"/>
      <c r="G17" s="26"/>
      <c r="H17" s="26"/>
      <c r="I17" s="26"/>
      <c r="J17" s="26"/>
      <c r="K17" s="26"/>
      <c r="L17" s="26"/>
      <c r="M17" s="20"/>
      <c r="N17" s="26"/>
      <c r="O17" s="22"/>
      <c r="P17" s="21"/>
      <c r="Q17" s="23"/>
      <c r="R17" s="21"/>
      <c r="S17" s="21"/>
      <c r="T17" s="21"/>
      <c r="U17" s="21"/>
      <c r="V17" s="21"/>
      <c r="W17" s="24"/>
      <c r="X17" s="20"/>
      <c r="Y17" s="20"/>
      <c r="Z17" s="21"/>
      <c r="AA17" s="21"/>
      <c r="AB17" s="21"/>
      <c r="AC17" s="21"/>
      <c r="AD17" s="21"/>
      <c r="AE17" s="21"/>
      <c r="AF17" s="21"/>
      <c r="AG17" s="21"/>
      <c r="AH17" s="21"/>
      <c r="AI17" s="25"/>
      <c r="AJ17" s="20"/>
      <c r="AK17" s="21"/>
      <c r="AL17" s="20"/>
      <c r="AM17" s="20"/>
      <c r="AN17" s="20"/>
      <c r="AO17" s="20"/>
      <c r="AP17" s="446"/>
      <c r="AQ17" s="20"/>
      <c r="AR17" s="20"/>
      <c r="AS17" s="20"/>
      <c r="AT17" s="20"/>
      <c r="AU17" s="26"/>
      <c r="AV17" s="98"/>
      <c r="AW17" s="98"/>
      <c r="AX17" s="98"/>
      <c r="AY17" s="98"/>
      <c r="AZ17" s="98"/>
      <c r="BA17" s="217"/>
      <c r="BB17" s="98"/>
      <c r="BC17" s="98"/>
      <c r="BD17" s="98"/>
      <c r="BE17" s="98"/>
      <c r="BF17" s="98"/>
      <c r="BG17" s="219"/>
      <c r="BH17" s="219"/>
      <c r="BI17" s="219"/>
      <c r="BJ17" s="26"/>
      <c r="BK17" s="21"/>
      <c r="BL17" s="21"/>
      <c r="BM17" s="22"/>
      <c r="BN17" s="21"/>
      <c r="BO17" s="21"/>
      <c r="BP17" s="22"/>
      <c r="BQ17" s="21"/>
      <c r="BR17" s="21"/>
      <c r="BS17" s="22"/>
      <c r="BT1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7" s="109" t="str">
        <f>IF(ISNUMBER(tblParticipants[[#This Row],[SvcStartDate]]),IF(AND(tblParticipants[[#This Row],[EnrollQtr]]=1,tblParticipants[[#This Row],[SvcStartDate]]&lt;DATE(conProgYear,7,1)),1,""),"")</f>
        <v/>
      </c>
      <c r="BV1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7" s="232" t="str">
        <f t="shared" ca="1" si="0"/>
        <v/>
      </c>
      <c r="BX17" s="9">
        <f>IF(SUM(IF(tblParticipants[[#This Row],[AmIndOrAkNtv]]=1,1,0),IF(tblParticipants[[#This Row],[Asian]]=1,1,0),IF(tblParticipants[[#This Row],[BlkOrAfAmer]]=1,1,0),IF(tblParticipants[[#This Row],[NtvHawOrPacIsl]]=1,1,0),IF(tblParticipants[[#This Row],[White]]=1,1,0))&gt;1,1,0)</f>
        <v>0</v>
      </c>
      <c r="BY1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7" s="11">
        <f>IF(tblParticipants[[#This Row],[EarnWg2Qae]]=1,IFERROR(tblParticipants[[#This Row],[HoursPerWk2Qae]]*tblParticipants[[#This Row],[HrlyWg2Qae]]*13,0),0)</f>
        <v>0</v>
      </c>
      <c r="CC17" s="11">
        <f>IF(tblParticipants[[#This Row],[EarnWg3Qae]]=1,IFERROR(tblParticipants[[#This Row],[HoursPerWk3Qae]]*tblParticipants[[#This Row],[HrlyWg3Qae]]*13,0),0)</f>
        <v>0</v>
      </c>
      <c r="CD17" s="9">
        <f>IFERROR(IF(SUM(tblParticipants[[#This Row],[EarnWg1Qae]],tblParticipants[[#This Row],[EarnWg2Qae]],tblParticipants[[#This Row],[EarnWg3Qae]])=3,1,0),0)</f>
        <v>0</v>
      </c>
      <c r="CE17" s="12">
        <f>IF(tblParticipants[[#This Row],[EmplAll3Qae]]=1,tblParticipants[[#This Row],[Earnings2Qae]]+tblParticipants[[#This Row],[Earnings3Qae]],0)</f>
        <v>0</v>
      </c>
      <c r="CF17" s="407"/>
    </row>
    <row r="18" spans="1:84" x14ac:dyDescent="0.3">
      <c r="A18" s="19"/>
      <c r="B18" s="19"/>
      <c r="C18" s="20"/>
      <c r="D18" s="20"/>
      <c r="E18" s="26"/>
      <c r="F18" s="26"/>
      <c r="G18" s="26"/>
      <c r="H18" s="26"/>
      <c r="I18" s="26"/>
      <c r="J18" s="26"/>
      <c r="K18" s="26"/>
      <c r="L18" s="26"/>
      <c r="M18" s="20"/>
      <c r="N18" s="26"/>
      <c r="O18" s="22"/>
      <c r="P18" s="21"/>
      <c r="Q18" s="23"/>
      <c r="R18" s="21"/>
      <c r="S18" s="21"/>
      <c r="T18" s="21"/>
      <c r="U18" s="21"/>
      <c r="V18" s="21"/>
      <c r="W18" s="24"/>
      <c r="X18" s="20"/>
      <c r="Y18" s="20"/>
      <c r="Z18" s="21"/>
      <c r="AA18" s="21"/>
      <c r="AB18" s="21"/>
      <c r="AC18" s="21"/>
      <c r="AD18" s="21"/>
      <c r="AE18" s="21"/>
      <c r="AF18" s="21"/>
      <c r="AG18" s="21"/>
      <c r="AH18" s="21"/>
      <c r="AI18" s="25"/>
      <c r="AJ18" s="20"/>
      <c r="AK18" s="21"/>
      <c r="AL18" s="20"/>
      <c r="AM18" s="20"/>
      <c r="AN18" s="20"/>
      <c r="AO18" s="20"/>
      <c r="AP18" s="446"/>
      <c r="AQ18" s="20"/>
      <c r="AR18" s="20"/>
      <c r="AS18" s="20"/>
      <c r="AT18" s="20"/>
      <c r="AU18" s="26"/>
      <c r="AV18" s="98"/>
      <c r="AW18" s="98"/>
      <c r="AX18" s="98"/>
      <c r="AY18" s="98"/>
      <c r="AZ18" s="98"/>
      <c r="BA18" s="217"/>
      <c r="BB18" s="98"/>
      <c r="BC18" s="98"/>
      <c r="BD18" s="98"/>
      <c r="BE18" s="98"/>
      <c r="BF18" s="98"/>
      <c r="BG18" s="219"/>
      <c r="BH18" s="219"/>
      <c r="BI18" s="219"/>
      <c r="BJ18" s="26"/>
      <c r="BK18" s="21"/>
      <c r="BL18" s="21"/>
      <c r="BM18" s="22"/>
      <c r="BN18" s="21"/>
      <c r="BO18" s="21"/>
      <c r="BP18" s="22"/>
      <c r="BQ18" s="21"/>
      <c r="BR18" s="21"/>
      <c r="BS18" s="22"/>
      <c r="BT1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8" s="109" t="str">
        <f>IF(ISNUMBER(tblParticipants[[#This Row],[SvcStartDate]]),IF(AND(tblParticipants[[#This Row],[EnrollQtr]]=1,tblParticipants[[#This Row],[SvcStartDate]]&lt;DATE(conProgYear,7,1)),1,""),"")</f>
        <v/>
      </c>
      <c r="BV1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8" s="232" t="str">
        <f t="shared" ca="1" si="0"/>
        <v/>
      </c>
      <c r="BX18" s="9">
        <f>IF(SUM(IF(tblParticipants[[#This Row],[AmIndOrAkNtv]]=1,1,0),IF(tblParticipants[[#This Row],[Asian]]=1,1,0),IF(tblParticipants[[#This Row],[BlkOrAfAmer]]=1,1,0),IF(tblParticipants[[#This Row],[NtvHawOrPacIsl]]=1,1,0),IF(tblParticipants[[#This Row],[White]]=1,1,0))&gt;1,1,0)</f>
        <v>0</v>
      </c>
      <c r="BY1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8" s="11">
        <f>IF(tblParticipants[[#This Row],[EarnWg2Qae]]=1,IFERROR(tblParticipants[[#This Row],[HoursPerWk2Qae]]*tblParticipants[[#This Row],[HrlyWg2Qae]]*13,0),0)</f>
        <v>0</v>
      </c>
      <c r="CC18" s="11">
        <f>IF(tblParticipants[[#This Row],[EarnWg3Qae]]=1,IFERROR(tblParticipants[[#This Row],[HoursPerWk3Qae]]*tblParticipants[[#This Row],[HrlyWg3Qae]]*13,0),0)</f>
        <v>0</v>
      </c>
      <c r="CD18" s="9">
        <f>IFERROR(IF(SUM(tblParticipants[[#This Row],[EarnWg1Qae]],tblParticipants[[#This Row],[EarnWg2Qae]],tblParticipants[[#This Row],[EarnWg3Qae]])=3,1,0),0)</f>
        <v>0</v>
      </c>
      <c r="CE18" s="12">
        <f>IF(tblParticipants[[#This Row],[EmplAll3Qae]]=1,tblParticipants[[#This Row],[Earnings2Qae]]+tblParticipants[[#This Row],[Earnings3Qae]],0)</f>
        <v>0</v>
      </c>
      <c r="CF18" s="407"/>
    </row>
    <row r="19" spans="1:84" x14ac:dyDescent="0.3">
      <c r="A19" s="19"/>
      <c r="B19" s="19"/>
      <c r="C19" s="20"/>
      <c r="D19" s="20"/>
      <c r="E19" s="26"/>
      <c r="F19" s="26"/>
      <c r="G19" s="26"/>
      <c r="H19" s="26"/>
      <c r="I19" s="26"/>
      <c r="J19" s="26"/>
      <c r="K19" s="26"/>
      <c r="L19" s="26"/>
      <c r="M19" s="20"/>
      <c r="N19" s="26"/>
      <c r="O19" s="22"/>
      <c r="P19" s="21"/>
      <c r="Q19" s="23"/>
      <c r="R19" s="21"/>
      <c r="S19" s="21"/>
      <c r="T19" s="21"/>
      <c r="U19" s="21"/>
      <c r="V19" s="21"/>
      <c r="W19" s="24"/>
      <c r="X19" s="20"/>
      <c r="Y19" s="20"/>
      <c r="Z19" s="21"/>
      <c r="AA19" s="21"/>
      <c r="AB19" s="21"/>
      <c r="AC19" s="21"/>
      <c r="AD19" s="21"/>
      <c r="AE19" s="21"/>
      <c r="AF19" s="21"/>
      <c r="AG19" s="21"/>
      <c r="AH19" s="21"/>
      <c r="AI19" s="25"/>
      <c r="AJ19" s="20"/>
      <c r="AK19" s="21"/>
      <c r="AL19" s="20"/>
      <c r="AM19" s="20"/>
      <c r="AN19" s="20"/>
      <c r="AO19" s="20"/>
      <c r="AP19" s="446"/>
      <c r="AQ19" s="20"/>
      <c r="AR19" s="20"/>
      <c r="AS19" s="20"/>
      <c r="AT19" s="20"/>
      <c r="AU19" s="26"/>
      <c r="AV19" s="98"/>
      <c r="AW19" s="98"/>
      <c r="AX19" s="98"/>
      <c r="AY19" s="98"/>
      <c r="AZ19" s="98"/>
      <c r="BA19" s="217"/>
      <c r="BB19" s="98"/>
      <c r="BC19" s="98"/>
      <c r="BD19" s="98"/>
      <c r="BE19" s="98"/>
      <c r="BF19" s="98"/>
      <c r="BG19" s="219"/>
      <c r="BH19" s="219"/>
      <c r="BI19" s="219"/>
      <c r="BJ19" s="26"/>
      <c r="BK19" s="21"/>
      <c r="BL19" s="21"/>
      <c r="BM19" s="22"/>
      <c r="BN19" s="21"/>
      <c r="BO19" s="21"/>
      <c r="BP19" s="22"/>
      <c r="BQ19" s="21"/>
      <c r="BR19" s="21"/>
      <c r="BS19" s="22"/>
      <c r="BT1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9" s="109" t="str">
        <f>IF(ISNUMBER(tblParticipants[[#This Row],[SvcStartDate]]),IF(AND(tblParticipants[[#This Row],[EnrollQtr]]=1,tblParticipants[[#This Row],[SvcStartDate]]&lt;DATE(conProgYear,7,1)),1,""),"")</f>
        <v/>
      </c>
      <c r="BV1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9" s="232" t="str">
        <f t="shared" ca="1" si="0"/>
        <v/>
      </c>
      <c r="BX19" s="9">
        <f>IF(SUM(IF(tblParticipants[[#This Row],[AmIndOrAkNtv]]=1,1,0),IF(tblParticipants[[#This Row],[Asian]]=1,1,0),IF(tblParticipants[[#This Row],[BlkOrAfAmer]]=1,1,0),IF(tblParticipants[[#This Row],[NtvHawOrPacIsl]]=1,1,0),IF(tblParticipants[[#This Row],[White]]=1,1,0))&gt;1,1,0)</f>
        <v>0</v>
      </c>
      <c r="BY1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9" s="11">
        <f>IF(tblParticipants[[#This Row],[EarnWg2Qae]]=1,IFERROR(tblParticipants[[#This Row],[HoursPerWk2Qae]]*tblParticipants[[#This Row],[HrlyWg2Qae]]*13,0),0)</f>
        <v>0</v>
      </c>
      <c r="CC19" s="11">
        <f>IF(tblParticipants[[#This Row],[EarnWg3Qae]]=1,IFERROR(tblParticipants[[#This Row],[HoursPerWk3Qae]]*tblParticipants[[#This Row],[HrlyWg3Qae]]*13,0),0)</f>
        <v>0</v>
      </c>
      <c r="CD19" s="9">
        <f>IFERROR(IF(SUM(tblParticipants[[#This Row],[EarnWg1Qae]],tblParticipants[[#This Row],[EarnWg2Qae]],tblParticipants[[#This Row],[EarnWg3Qae]])=3,1,0),0)</f>
        <v>0</v>
      </c>
      <c r="CE19" s="12">
        <f>IF(tblParticipants[[#This Row],[EmplAll3Qae]]=1,tblParticipants[[#This Row],[Earnings2Qae]]+tblParticipants[[#This Row],[Earnings3Qae]],0)</f>
        <v>0</v>
      </c>
      <c r="CF19" s="407"/>
    </row>
    <row r="20" spans="1:84" x14ac:dyDescent="0.3">
      <c r="A20" s="19"/>
      <c r="B20" s="19"/>
      <c r="C20" s="20"/>
      <c r="D20" s="20"/>
      <c r="E20" s="26"/>
      <c r="F20" s="26"/>
      <c r="G20" s="26"/>
      <c r="H20" s="26"/>
      <c r="I20" s="26"/>
      <c r="J20" s="26"/>
      <c r="K20" s="26"/>
      <c r="L20" s="26"/>
      <c r="M20" s="20"/>
      <c r="N20" s="26"/>
      <c r="O20" s="22"/>
      <c r="P20" s="21"/>
      <c r="Q20" s="23"/>
      <c r="R20" s="21"/>
      <c r="S20" s="21"/>
      <c r="T20" s="21"/>
      <c r="U20" s="21"/>
      <c r="V20" s="21"/>
      <c r="W20" s="24"/>
      <c r="X20" s="20"/>
      <c r="Y20" s="20"/>
      <c r="Z20" s="21"/>
      <c r="AA20" s="21"/>
      <c r="AB20" s="21"/>
      <c r="AC20" s="21"/>
      <c r="AD20" s="21"/>
      <c r="AE20" s="21"/>
      <c r="AF20" s="21"/>
      <c r="AG20" s="21"/>
      <c r="AH20" s="21"/>
      <c r="AI20" s="25"/>
      <c r="AJ20" s="20"/>
      <c r="AK20" s="21"/>
      <c r="AL20" s="20"/>
      <c r="AM20" s="20"/>
      <c r="AN20" s="20"/>
      <c r="AO20" s="20"/>
      <c r="AP20" s="446"/>
      <c r="AQ20" s="20"/>
      <c r="AR20" s="20"/>
      <c r="AS20" s="20"/>
      <c r="AT20" s="20"/>
      <c r="AU20" s="26"/>
      <c r="AV20" s="98"/>
      <c r="AW20" s="98"/>
      <c r="AX20" s="98"/>
      <c r="AY20" s="98"/>
      <c r="AZ20" s="98"/>
      <c r="BA20" s="217"/>
      <c r="BB20" s="98"/>
      <c r="BC20" s="98"/>
      <c r="BD20" s="98"/>
      <c r="BE20" s="98"/>
      <c r="BF20" s="98"/>
      <c r="BG20" s="219"/>
      <c r="BH20" s="219"/>
      <c r="BI20" s="219"/>
      <c r="BJ20" s="26"/>
      <c r="BK20" s="21"/>
      <c r="BL20" s="21"/>
      <c r="BM20" s="22"/>
      <c r="BN20" s="21"/>
      <c r="BO20" s="21"/>
      <c r="BP20" s="22"/>
      <c r="BQ20" s="21"/>
      <c r="BR20" s="21"/>
      <c r="BS20" s="22"/>
      <c r="BT2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0" s="109" t="str">
        <f>IF(ISNUMBER(tblParticipants[[#This Row],[SvcStartDate]]),IF(AND(tblParticipants[[#This Row],[EnrollQtr]]=1,tblParticipants[[#This Row],[SvcStartDate]]&lt;DATE(conProgYear,7,1)),1,""),"")</f>
        <v/>
      </c>
      <c r="BV2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0" s="232" t="str">
        <f t="shared" ca="1" si="0"/>
        <v/>
      </c>
      <c r="BX20" s="9">
        <f>IF(SUM(IF(tblParticipants[[#This Row],[AmIndOrAkNtv]]=1,1,0),IF(tblParticipants[[#This Row],[Asian]]=1,1,0),IF(tblParticipants[[#This Row],[BlkOrAfAmer]]=1,1,0),IF(tblParticipants[[#This Row],[NtvHawOrPacIsl]]=1,1,0),IF(tblParticipants[[#This Row],[White]]=1,1,0))&gt;1,1,0)</f>
        <v>0</v>
      </c>
      <c r="BY2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0" s="11">
        <f>IF(tblParticipants[[#This Row],[EarnWg2Qae]]=1,IFERROR(tblParticipants[[#This Row],[HoursPerWk2Qae]]*tblParticipants[[#This Row],[HrlyWg2Qae]]*13,0),0)</f>
        <v>0</v>
      </c>
      <c r="CC20" s="11">
        <f>IF(tblParticipants[[#This Row],[EarnWg3Qae]]=1,IFERROR(tblParticipants[[#This Row],[HoursPerWk3Qae]]*tblParticipants[[#This Row],[HrlyWg3Qae]]*13,0),0)</f>
        <v>0</v>
      </c>
      <c r="CD20" s="9">
        <f>IFERROR(IF(SUM(tblParticipants[[#This Row],[EarnWg1Qae]],tblParticipants[[#This Row],[EarnWg2Qae]],tblParticipants[[#This Row],[EarnWg3Qae]])=3,1,0),0)</f>
        <v>0</v>
      </c>
      <c r="CE20" s="12">
        <f>IF(tblParticipants[[#This Row],[EmplAll3Qae]]=1,tblParticipants[[#This Row],[Earnings2Qae]]+tblParticipants[[#This Row],[Earnings3Qae]],0)</f>
        <v>0</v>
      </c>
      <c r="CF20" s="407"/>
    </row>
    <row r="21" spans="1:84" x14ac:dyDescent="0.3">
      <c r="A21" s="19"/>
      <c r="B21" s="19"/>
      <c r="C21" s="20"/>
      <c r="D21" s="20"/>
      <c r="E21" s="26"/>
      <c r="F21" s="26"/>
      <c r="G21" s="26"/>
      <c r="H21" s="26"/>
      <c r="I21" s="26"/>
      <c r="J21" s="26"/>
      <c r="K21" s="26"/>
      <c r="L21" s="26"/>
      <c r="M21" s="20"/>
      <c r="N21" s="26"/>
      <c r="O21" s="22"/>
      <c r="P21" s="21"/>
      <c r="Q21" s="23"/>
      <c r="R21" s="21"/>
      <c r="S21" s="21"/>
      <c r="T21" s="21"/>
      <c r="U21" s="21"/>
      <c r="V21" s="21"/>
      <c r="W21" s="24"/>
      <c r="X21" s="20"/>
      <c r="Y21" s="20"/>
      <c r="Z21" s="21"/>
      <c r="AA21" s="21"/>
      <c r="AB21" s="21"/>
      <c r="AC21" s="21"/>
      <c r="AD21" s="21"/>
      <c r="AE21" s="21"/>
      <c r="AF21" s="21"/>
      <c r="AG21" s="21"/>
      <c r="AH21" s="21"/>
      <c r="AI21" s="25"/>
      <c r="AJ21" s="20"/>
      <c r="AK21" s="21"/>
      <c r="AL21" s="20"/>
      <c r="AM21" s="20"/>
      <c r="AN21" s="20"/>
      <c r="AO21" s="20"/>
      <c r="AP21" s="446"/>
      <c r="AQ21" s="20"/>
      <c r="AR21" s="20"/>
      <c r="AS21" s="20"/>
      <c r="AT21" s="20"/>
      <c r="AU21" s="26"/>
      <c r="AV21" s="98"/>
      <c r="AW21" s="98"/>
      <c r="AX21" s="98"/>
      <c r="AY21" s="98"/>
      <c r="AZ21" s="98"/>
      <c r="BA21" s="217"/>
      <c r="BB21" s="98"/>
      <c r="BC21" s="98"/>
      <c r="BD21" s="98"/>
      <c r="BE21" s="98"/>
      <c r="BF21" s="98"/>
      <c r="BG21" s="219"/>
      <c r="BH21" s="219"/>
      <c r="BI21" s="219"/>
      <c r="BJ21" s="26"/>
      <c r="BK21" s="21"/>
      <c r="BL21" s="21"/>
      <c r="BM21" s="22"/>
      <c r="BN21" s="21"/>
      <c r="BO21" s="21"/>
      <c r="BP21" s="22"/>
      <c r="BQ21" s="21"/>
      <c r="BR21" s="21"/>
      <c r="BS21" s="22"/>
      <c r="BT2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1" s="109" t="str">
        <f>IF(ISNUMBER(tblParticipants[[#This Row],[SvcStartDate]]),IF(AND(tblParticipants[[#This Row],[EnrollQtr]]=1,tblParticipants[[#This Row],[SvcStartDate]]&lt;DATE(conProgYear,7,1)),1,""),"")</f>
        <v/>
      </c>
      <c r="BV2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1" s="232" t="str">
        <f t="shared" ca="1" si="0"/>
        <v/>
      </c>
      <c r="BX21" s="9">
        <f>IF(SUM(IF(tblParticipants[[#This Row],[AmIndOrAkNtv]]=1,1,0),IF(tblParticipants[[#This Row],[Asian]]=1,1,0),IF(tblParticipants[[#This Row],[BlkOrAfAmer]]=1,1,0),IF(tblParticipants[[#This Row],[NtvHawOrPacIsl]]=1,1,0),IF(tblParticipants[[#This Row],[White]]=1,1,0))&gt;1,1,0)</f>
        <v>0</v>
      </c>
      <c r="BY2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1" s="11">
        <f>IF(tblParticipants[[#This Row],[EarnWg2Qae]]=1,IFERROR(tblParticipants[[#This Row],[HoursPerWk2Qae]]*tblParticipants[[#This Row],[HrlyWg2Qae]]*13,0),0)</f>
        <v>0</v>
      </c>
      <c r="CC21" s="11">
        <f>IF(tblParticipants[[#This Row],[EarnWg3Qae]]=1,IFERROR(tblParticipants[[#This Row],[HoursPerWk3Qae]]*tblParticipants[[#This Row],[HrlyWg3Qae]]*13,0),0)</f>
        <v>0</v>
      </c>
      <c r="CD21" s="9">
        <f>IFERROR(IF(SUM(tblParticipants[[#This Row],[EarnWg1Qae]],tblParticipants[[#This Row],[EarnWg2Qae]],tblParticipants[[#This Row],[EarnWg3Qae]])=3,1,0),0)</f>
        <v>0</v>
      </c>
      <c r="CE21" s="12">
        <f>IF(tblParticipants[[#This Row],[EmplAll3Qae]]=1,tblParticipants[[#This Row],[Earnings2Qae]]+tblParticipants[[#This Row],[Earnings3Qae]],0)</f>
        <v>0</v>
      </c>
      <c r="CF21" s="407"/>
    </row>
    <row r="22" spans="1:84" x14ac:dyDescent="0.3">
      <c r="A22" s="19"/>
      <c r="B22" s="19"/>
      <c r="C22" s="20"/>
      <c r="D22" s="20"/>
      <c r="E22" s="26"/>
      <c r="F22" s="26"/>
      <c r="G22" s="26"/>
      <c r="H22" s="26"/>
      <c r="I22" s="26"/>
      <c r="J22" s="26"/>
      <c r="K22" s="26"/>
      <c r="L22" s="26"/>
      <c r="M22" s="20"/>
      <c r="N22" s="26"/>
      <c r="O22" s="22"/>
      <c r="P22" s="21"/>
      <c r="Q22" s="23"/>
      <c r="R22" s="21"/>
      <c r="S22" s="21"/>
      <c r="T22" s="21"/>
      <c r="U22" s="21"/>
      <c r="V22" s="21"/>
      <c r="W22" s="24"/>
      <c r="X22" s="20"/>
      <c r="Y22" s="20"/>
      <c r="Z22" s="21"/>
      <c r="AA22" s="21"/>
      <c r="AB22" s="21"/>
      <c r="AC22" s="21"/>
      <c r="AD22" s="21"/>
      <c r="AE22" s="21"/>
      <c r="AF22" s="21"/>
      <c r="AG22" s="21"/>
      <c r="AH22" s="21"/>
      <c r="AI22" s="25"/>
      <c r="AJ22" s="20"/>
      <c r="AK22" s="21"/>
      <c r="AL22" s="20"/>
      <c r="AM22" s="20"/>
      <c r="AN22" s="20"/>
      <c r="AO22" s="20"/>
      <c r="AP22" s="446"/>
      <c r="AQ22" s="20"/>
      <c r="AR22" s="20"/>
      <c r="AS22" s="20"/>
      <c r="AT22" s="20"/>
      <c r="AU22" s="26"/>
      <c r="AV22" s="98"/>
      <c r="AW22" s="98"/>
      <c r="AX22" s="98"/>
      <c r="AY22" s="98"/>
      <c r="AZ22" s="98"/>
      <c r="BA22" s="217"/>
      <c r="BB22" s="98"/>
      <c r="BC22" s="98"/>
      <c r="BD22" s="98"/>
      <c r="BE22" s="98"/>
      <c r="BF22" s="98"/>
      <c r="BG22" s="219"/>
      <c r="BH22" s="219"/>
      <c r="BI22" s="219"/>
      <c r="BJ22" s="26"/>
      <c r="BK22" s="21"/>
      <c r="BL22" s="21"/>
      <c r="BM22" s="22"/>
      <c r="BN22" s="21"/>
      <c r="BO22" s="21"/>
      <c r="BP22" s="22"/>
      <c r="BQ22" s="21"/>
      <c r="BR22" s="21"/>
      <c r="BS22" s="22"/>
      <c r="BT2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2" s="109" t="str">
        <f>IF(ISNUMBER(tblParticipants[[#This Row],[SvcStartDate]]),IF(AND(tblParticipants[[#This Row],[EnrollQtr]]=1,tblParticipants[[#This Row],[SvcStartDate]]&lt;DATE(conProgYear,7,1)),1,""),"")</f>
        <v/>
      </c>
      <c r="BV2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2" s="232" t="str">
        <f t="shared" ca="1" si="0"/>
        <v/>
      </c>
      <c r="BX22" s="9">
        <f>IF(SUM(IF(tblParticipants[[#This Row],[AmIndOrAkNtv]]=1,1,0),IF(tblParticipants[[#This Row],[Asian]]=1,1,0),IF(tblParticipants[[#This Row],[BlkOrAfAmer]]=1,1,0),IF(tblParticipants[[#This Row],[NtvHawOrPacIsl]]=1,1,0),IF(tblParticipants[[#This Row],[White]]=1,1,0))&gt;1,1,0)</f>
        <v>0</v>
      </c>
      <c r="BY2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2" s="11">
        <f>IF(tblParticipants[[#This Row],[EarnWg2Qae]]=1,IFERROR(tblParticipants[[#This Row],[HoursPerWk2Qae]]*tblParticipants[[#This Row],[HrlyWg2Qae]]*13,0),0)</f>
        <v>0</v>
      </c>
      <c r="CC22" s="11">
        <f>IF(tblParticipants[[#This Row],[EarnWg3Qae]]=1,IFERROR(tblParticipants[[#This Row],[HoursPerWk3Qae]]*tblParticipants[[#This Row],[HrlyWg3Qae]]*13,0),0)</f>
        <v>0</v>
      </c>
      <c r="CD22" s="9">
        <f>IFERROR(IF(SUM(tblParticipants[[#This Row],[EarnWg1Qae]],tblParticipants[[#This Row],[EarnWg2Qae]],tblParticipants[[#This Row],[EarnWg3Qae]])=3,1,0),0)</f>
        <v>0</v>
      </c>
      <c r="CE22" s="12">
        <f>IF(tblParticipants[[#This Row],[EmplAll3Qae]]=1,tblParticipants[[#This Row],[Earnings2Qae]]+tblParticipants[[#This Row],[Earnings3Qae]],0)</f>
        <v>0</v>
      </c>
      <c r="CF22" s="407"/>
    </row>
    <row r="23" spans="1:84" x14ac:dyDescent="0.3">
      <c r="A23" s="19"/>
      <c r="B23" s="19"/>
      <c r="C23" s="20"/>
      <c r="D23" s="20"/>
      <c r="E23" s="26"/>
      <c r="F23" s="26"/>
      <c r="G23" s="26"/>
      <c r="H23" s="26"/>
      <c r="I23" s="26"/>
      <c r="J23" s="26"/>
      <c r="K23" s="26"/>
      <c r="L23" s="26"/>
      <c r="M23" s="20"/>
      <c r="N23" s="26"/>
      <c r="O23" s="22"/>
      <c r="P23" s="21"/>
      <c r="Q23" s="23"/>
      <c r="R23" s="21"/>
      <c r="S23" s="21"/>
      <c r="T23" s="21"/>
      <c r="U23" s="21"/>
      <c r="V23" s="21"/>
      <c r="W23" s="24"/>
      <c r="X23" s="20"/>
      <c r="Y23" s="20"/>
      <c r="Z23" s="21"/>
      <c r="AA23" s="21"/>
      <c r="AB23" s="21"/>
      <c r="AC23" s="21"/>
      <c r="AD23" s="21"/>
      <c r="AE23" s="21"/>
      <c r="AF23" s="21"/>
      <c r="AG23" s="21"/>
      <c r="AH23" s="21"/>
      <c r="AI23" s="25"/>
      <c r="AJ23" s="20"/>
      <c r="AK23" s="21"/>
      <c r="AL23" s="20"/>
      <c r="AM23" s="20"/>
      <c r="AN23" s="20"/>
      <c r="AO23" s="20"/>
      <c r="AP23" s="446"/>
      <c r="AQ23" s="20"/>
      <c r="AR23" s="20"/>
      <c r="AS23" s="20"/>
      <c r="AT23" s="20"/>
      <c r="AU23" s="26"/>
      <c r="AV23" s="98"/>
      <c r="AW23" s="98"/>
      <c r="AX23" s="98"/>
      <c r="AY23" s="98"/>
      <c r="AZ23" s="98"/>
      <c r="BA23" s="217"/>
      <c r="BB23" s="98"/>
      <c r="BC23" s="98"/>
      <c r="BD23" s="98"/>
      <c r="BE23" s="98"/>
      <c r="BF23" s="98"/>
      <c r="BG23" s="219"/>
      <c r="BH23" s="219"/>
      <c r="BI23" s="219"/>
      <c r="BJ23" s="26"/>
      <c r="BK23" s="21"/>
      <c r="BL23" s="21"/>
      <c r="BM23" s="22"/>
      <c r="BN23" s="21"/>
      <c r="BO23" s="21"/>
      <c r="BP23" s="22"/>
      <c r="BQ23" s="21"/>
      <c r="BR23" s="21"/>
      <c r="BS23" s="22"/>
      <c r="BT2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3" s="109" t="str">
        <f>IF(ISNUMBER(tblParticipants[[#This Row],[SvcStartDate]]),IF(AND(tblParticipants[[#This Row],[EnrollQtr]]=1,tblParticipants[[#This Row],[SvcStartDate]]&lt;DATE(conProgYear,7,1)),1,""),"")</f>
        <v/>
      </c>
      <c r="BV2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3" s="232" t="str">
        <f t="shared" ca="1" si="0"/>
        <v/>
      </c>
      <c r="BX23" s="9">
        <f>IF(SUM(IF(tblParticipants[[#This Row],[AmIndOrAkNtv]]=1,1,0),IF(tblParticipants[[#This Row],[Asian]]=1,1,0),IF(tblParticipants[[#This Row],[BlkOrAfAmer]]=1,1,0),IF(tblParticipants[[#This Row],[NtvHawOrPacIsl]]=1,1,0),IF(tblParticipants[[#This Row],[White]]=1,1,0))&gt;1,1,0)</f>
        <v>0</v>
      </c>
      <c r="BY2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3" s="11">
        <f>IF(tblParticipants[[#This Row],[EarnWg2Qae]]=1,IFERROR(tblParticipants[[#This Row],[HoursPerWk2Qae]]*tblParticipants[[#This Row],[HrlyWg2Qae]]*13,0),0)</f>
        <v>0</v>
      </c>
      <c r="CC23" s="11">
        <f>IF(tblParticipants[[#This Row],[EarnWg3Qae]]=1,IFERROR(tblParticipants[[#This Row],[HoursPerWk3Qae]]*tblParticipants[[#This Row],[HrlyWg3Qae]]*13,0),0)</f>
        <v>0</v>
      </c>
      <c r="CD23" s="9">
        <f>IFERROR(IF(SUM(tblParticipants[[#This Row],[EarnWg1Qae]],tblParticipants[[#This Row],[EarnWg2Qae]],tblParticipants[[#This Row],[EarnWg3Qae]])=3,1,0),0)</f>
        <v>0</v>
      </c>
      <c r="CE23" s="12">
        <f>IF(tblParticipants[[#This Row],[EmplAll3Qae]]=1,tblParticipants[[#This Row],[Earnings2Qae]]+tblParticipants[[#This Row],[Earnings3Qae]],0)</f>
        <v>0</v>
      </c>
      <c r="CF23" s="407"/>
    </row>
    <row r="24" spans="1:84" x14ac:dyDescent="0.3">
      <c r="A24" s="19"/>
      <c r="B24" s="19"/>
      <c r="C24" s="20"/>
      <c r="D24" s="20"/>
      <c r="E24" s="26"/>
      <c r="F24" s="26"/>
      <c r="G24" s="26"/>
      <c r="H24" s="26"/>
      <c r="I24" s="26"/>
      <c r="J24" s="26"/>
      <c r="K24" s="26"/>
      <c r="L24" s="26"/>
      <c r="M24" s="20"/>
      <c r="N24" s="26"/>
      <c r="O24" s="22"/>
      <c r="P24" s="21"/>
      <c r="Q24" s="23"/>
      <c r="R24" s="21"/>
      <c r="S24" s="21"/>
      <c r="T24" s="21"/>
      <c r="U24" s="21"/>
      <c r="V24" s="21"/>
      <c r="W24" s="24"/>
      <c r="X24" s="20"/>
      <c r="Y24" s="20"/>
      <c r="Z24" s="21"/>
      <c r="AA24" s="21"/>
      <c r="AB24" s="21"/>
      <c r="AC24" s="21"/>
      <c r="AD24" s="21"/>
      <c r="AE24" s="21"/>
      <c r="AF24" s="21"/>
      <c r="AG24" s="21"/>
      <c r="AH24" s="21"/>
      <c r="AI24" s="25"/>
      <c r="AJ24" s="20"/>
      <c r="AK24" s="21"/>
      <c r="AL24" s="20"/>
      <c r="AM24" s="20"/>
      <c r="AN24" s="20"/>
      <c r="AO24" s="20"/>
      <c r="AP24" s="446"/>
      <c r="AQ24" s="20"/>
      <c r="AR24" s="20"/>
      <c r="AS24" s="20"/>
      <c r="AT24" s="20"/>
      <c r="AU24" s="26"/>
      <c r="AV24" s="98"/>
      <c r="AW24" s="98"/>
      <c r="AX24" s="98"/>
      <c r="AY24" s="98"/>
      <c r="AZ24" s="98"/>
      <c r="BA24" s="217"/>
      <c r="BB24" s="98"/>
      <c r="BC24" s="98"/>
      <c r="BD24" s="98"/>
      <c r="BE24" s="98"/>
      <c r="BF24" s="98"/>
      <c r="BG24" s="219"/>
      <c r="BH24" s="219"/>
      <c r="BI24" s="219"/>
      <c r="BJ24" s="26"/>
      <c r="BK24" s="21"/>
      <c r="BL24" s="21"/>
      <c r="BM24" s="22"/>
      <c r="BN24" s="21"/>
      <c r="BO24" s="21"/>
      <c r="BP24" s="22"/>
      <c r="BQ24" s="21"/>
      <c r="BR24" s="21"/>
      <c r="BS24" s="22"/>
      <c r="BT2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4" s="109" t="str">
        <f>IF(ISNUMBER(tblParticipants[[#This Row],[SvcStartDate]]),IF(AND(tblParticipants[[#This Row],[EnrollQtr]]=1,tblParticipants[[#This Row],[SvcStartDate]]&lt;DATE(conProgYear,7,1)),1,""),"")</f>
        <v/>
      </c>
      <c r="BV2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4" s="232" t="str">
        <f t="shared" ca="1" si="0"/>
        <v/>
      </c>
      <c r="BX24" s="9">
        <f>IF(SUM(IF(tblParticipants[[#This Row],[AmIndOrAkNtv]]=1,1,0),IF(tblParticipants[[#This Row],[Asian]]=1,1,0),IF(tblParticipants[[#This Row],[BlkOrAfAmer]]=1,1,0),IF(tblParticipants[[#This Row],[NtvHawOrPacIsl]]=1,1,0),IF(tblParticipants[[#This Row],[White]]=1,1,0))&gt;1,1,0)</f>
        <v>0</v>
      </c>
      <c r="BY2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4" s="11">
        <f>IF(tblParticipants[[#This Row],[EarnWg2Qae]]=1,IFERROR(tblParticipants[[#This Row],[HoursPerWk2Qae]]*tblParticipants[[#This Row],[HrlyWg2Qae]]*13,0),0)</f>
        <v>0</v>
      </c>
      <c r="CC24" s="11">
        <f>IF(tblParticipants[[#This Row],[EarnWg3Qae]]=1,IFERROR(tblParticipants[[#This Row],[HoursPerWk3Qae]]*tblParticipants[[#This Row],[HrlyWg3Qae]]*13,0),0)</f>
        <v>0</v>
      </c>
      <c r="CD24" s="9">
        <f>IFERROR(IF(SUM(tblParticipants[[#This Row],[EarnWg1Qae]],tblParticipants[[#This Row],[EarnWg2Qae]],tblParticipants[[#This Row],[EarnWg3Qae]])=3,1,0),0)</f>
        <v>0</v>
      </c>
      <c r="CE24" s="12">
        <f>IF(tblParticipants[[#This Row],[EmplAll3Qae]]=1,tblParticipants[[#This Row],[Earnings2Qae]]+tblParticipants[[#This Row],[Earnings3Qae]],0)</f>
        <v>0</v>
      </c>
      <c r="CF24" s="407"/>
    </row>
    <row r="25" spans="1:84" x14ac:dyDescent="0.3">
      <c r="A25" s="19"/>
      <c r="B25" s="19"/>
      <c r="C25" s="20"/>
      <c r="D25" s="20"/>
      <c r="E25" s="26"/>
      <c r="F25" s="26"/>
      <c r="G25" s="26"/>
      <c r="H25" s="26"/>
      <c r="I25" s="26"/>
      <c r="J25" s="26"/>
      <c r="K25" s="26"/>
      <c r="L25" s="26"/>
      <c r="M25" s="20"/>
      <c r="N25" s="26"/>
      <c r="O25" s="22"/>
      <c r="P25" s="21"/>
      <c r="Q25" s="23"/>
      <c r="R25" s="21"/>
      <c r="S25" s="21"/>
      <c r="T25" s="21"/>
      <c r="U25" s="21"/>
      <c r="V25" s="21"/>
      <c r="W25" s="24"/>
      <c r="X25" s="20"/>
      <c r="Y25" s="20"/>
      <c r="Z25" s="21"/>
      <c r="AA25" s="21"/>
      <c r="AB25" s="21"/>
      <c r="AC25" s="21"/>
      <c r="AD25" s="21"/>
      <c r="AE25" s="21"/>
      <c r="AF25" s="21"/>
      <c r="AG25" s="21"/>
      <c r="AH25" s="21"/>
      <c r="AI25" s="25"/>
      <c r="AJ25" s="20"/>
      <c r="AK25" s="21"/>
      <c r="AL25" s="20"/>
      <c r="AM25" s="20"/>
      <c r="AN25" s="20"/>
      <c r="AO25" s="20"/>
      <c r="AP25" s="446"/>
      <c r="AQ25" s="20"/>
      <c r="AR25" s="20"/>
      <c r="AS25" s="20"/>
      <c r="AT25" s="20"/>
      <c r="AU25" s="26"/>
      <c r="AV25" s="98"/>
      <c r="AW25" s="98"/>
      <c r="AX25" s="98"/>
      <c r="AY25" s="98"/>
      <c r="AZ25" s="98"/>
      <c r="BA25" s="217"/>
      <c r="BB25" s="98"/>
      <c r="BC25" s="98"/>
      <c r="BD25" s="98"/>
      <c r="BE25" s="98"/>
      <c r="BF25" s="98"/>
      <c r="BG25" s="219"/>
      <c r="BH25" s="219"/>
      <c r="BI25" s="219"/>
      <c r="BJ25" s="26"/>
      <c r="BK25" s="21"/>
      <c r="BL25" s="21"/>
      <c r="BM25" s="22"/>
      <c r="BN25" s="21"/>
      <c r="BO25" s="21"/>
      <c r="BP25" s="22"/>
      <c r="BQ25" s="21"/>
      <c r="BR25" s="21"/>
      <c r="BS25" s="22"/>
      <c r="BT2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5" s="109" t="str">
        <f>IF(ISNUMBER(tblParticipants[[#This Row],[SvcStartDate]]),IF(AND(tblParticipants[[#This Row],[EnrollQtr]]=1,tblParticipants[[#This Row],[SvcStartDate]]&lt;DATE(conProgYear,7,1)),1,""),"")</f>
        <v/>
      </c>
      <c r="BV2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5" s="232" t="str">
        <f t="shared" ca="1" si="0"/>
        <v/>
      </c>
      <c r="BX25" s="9">
        <f>IF(SUM(IF(tblParticipants[[#This Row],[AmIndOrAkNtv]]=1,1,0),IF(tblParticipants[[#This Row],[Asian]]=1,1,0),IF(tblParticipants[[#This Row],[BlkOrAfAmer]]=1,1,0),IF(tblParticipants[[#This Row],[NtvHawOrPacIsl]]=1,1,0),IF(tblParticipants[[#This Row],[White]]=1,1,0))&gt;1,1,0)</f>
        <v>0</v>
      </c>
      <c r="BY2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5" s="11">
        <f>IF(tblParticipants[[#This Row],[EarnWg2Qae]]=1,IFERROR(tblParticipants[[#This Row],[HoursPerWk2Qae]]*tblParticipants[[#This Row],[HrlyWg2Qae]]*13,0),0)</f>
        <v>0</v>
      </c>
      <c r="CC25" s="11">
        <f>IF(tblParticipants[[#This Row],[EarnWg3Qae]]=1,IFERROR(tblParticipants[[#This Row],[HoursPerWk3Qae]]*tblParticipants[[#This Row],[HrlyWg3Qae]]*13,0),0)</f>
        <v>0</v>
      </c>
      <c r="CD25" s="9">
        <f>IFERROR(IF(SUM(tblParticipants[[#This Row],[EarnWg1Qae]],tblParticipants[[#This Row],[EarnWg2Qae]],tblParticipants[[#This Row],[EarnWg3Qae]])=3,1,0),0)</f>
        <v>0</v>
      </c>
      <c r="CE25" s="12">
        <f>IF(tblParticipants[[#This Row],[EmplAll3Qae]]=1,tblParticipants[[#This Row],[Earnings2Qae]]+tblParticipants[[#This Row],[Earnings3Qae]],0)</f>
        <v>0</v>
      </c>
      <c r="CF25" s="407"/>
    </row>
    <row r="26" spans="1:84" x14ac:dyDescent="0.3">
      <c r="A26" s="19"/>
      <c r="B26" s="107"/>
      <c r="C26" s="20"/>
      <c r="D26" s="20"/>
      <c r="E26" s="26"/>
      <c r="F26" s="26"/>
      <c r="G26" s="26"/>
      <c r="H26" s="26"/>
      <c r="I26" s="26"/>
      <c r="J26" s="26"/>
      <c r="K26" s="26"/>
      <c r="L26" s="26"/>
      <c r="M26" s="20"/>
      <c r="N26" s="26"/>
      <c r="O26" s="22"/>
      <c r="P26" s="21"/>
      <c r="Q26" s="23"/>
      <c r="R26" s="21"/>
      <c r="S26" s="21"/>
      <c r="T26" s="21"/>
      <c r="U26" s="21"/>
      <c r="V26" s="21"/>
      <c r="W26" s="24"/>
      <c r="X26" s="20"/>
      <c r="Y26" s="20"/>
      <c r="Z26" s="21"/>
      <c r="AA26" s="21"/>
      <c r="AB26" s="21"/>
      <c r="AC26" s="21"/>
      <c r="AD26" s="21"/>
      <c r="AE26" s="21"/>
      <c r="AF26" s="21"/>
      <c r="AG26" s="21"/>
      <c r="AH26" s="21"/>
      <c r="AI26" s="25"/>
      <c r="AJ26" s="20"/>
      <c r="AK26" s="21"/>
      <c r="AL26" s="20"/>
      <c r="AM26" s="20"/>
      <c r="AN26" s="20"/>
      <c r="AO26" s="20"/>
      <c r="AP26" s="446"/>
      <c r="AQ26" s="20"/>
      <c r="AR26" s="20"/>
      <c r="AS26" s="20"/>
      <c r="AT26" s="20"/>
      <c r="AU26" s="26"/>
      <c r="AV26" s="98"/>
      <c r="AW26" s="98"/>
      <c r="AX26" s="98"/>
      <c r="AY26" s="98"/>
      <c r="AZ26" s="98"/>
      <c r="BA26" s="217"/>
      <c r="BB26" s="98"/>
      <c r="BC26" s="98"/>
      <c r="BD26" s="98"/>
      <c r="BE26" s="98"/>
      <c r="BF26" s="98"/>
      <c r="BG26" s="219"/>
      <c r="BH26" s="219"/>
      <c r="BI26" s="219"/>
      <c r="BJ26" s="26"/>
      <c r="BK26" s="21"/>
      <c r="BL26" s="21"/>
      <c r="BM26" s="22"/>
      <c r="BN26" s="21"/>
      <c r="BO26" s="21"/>
      <c r="BP26" s="22"/>
      <c r="BQ26" s="21"/>
      <c r="BR26" s="21"/>
      <c r="BS26" s="22"/>
      <c r="BT2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6" s="109" t="str">
        <f>IF(ISNUMBER(tblParticipants[[#This Row],[SvcStartDate]]),IF(AND(tblParticipants[[#This Row],[EnrollQtr]]=1,tblParticipants[[#This Row],[SvcStartDate]]&lt;DATE(conProgYear,7,1)),1,""),"")</f>
        <v/>
      </c>
      <c r="BV2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6" s="232" t="str">
        <f t="shared" ca="1" si="0"/>
        <v/>
      </c>
      <c r="BX26" s="9">
        <f>IF(SUM(IF(tblParticipants[[#This Row],[AmIndOrAkNtv]]=1,1,0),IF(tblParticipants[[#This Row],[Asian]]=1,1,0),IF(tblParticipants[[#This Row],[BlkOrAfAmer]]=1,1,0),IF(tblParticipants[[#This Row],[NtvHawOrPacIsl]]=1,1,0),IF(tblParticipants[[#This Row],[White]]=1,1,0))&gt;1,1,0)</f>
        <v>0</v>
      </c>
      <c r="BY2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6" s="11">
        <f>IF(tblParticipants[[#This Row],[EarnWg2Qae]]=1,IFERROR(tblParticipants[[#This Row],[HoursPerWk2Qae]]*tblParticipants[[#This Row],[HrlyWg2Qae]]*13,0),0)</f>
        <v>0</v>
      </c>
      <c r="CC26" s="11">
        <f>IF(tblParticipants[[#This Row],[EarnWg3Qae]]=1,IFERROR(tblParticipants[[#This Row],[HoursPerWk3Qae]]*tblParticipants[[#This Row],[HrlyWg3Qae]]*13,0),0)</f>
        <v>0</v>
      </c>
      <c r="CD26" s="9">
        <f>IFERROR(IF(SUM(tblParticipants[[#This Row],[EarnWg1Qae]],tblParticipants[[#This Row],[EarnWg2Qae]],tblParticipants[[#This Row],[EarnWg3Qae]])=3,1,0),0)</f>
        <v>0</v>
      </c>
      <c r="CE26" s="12">
        <f>IF(tblParticipants[[#This Row],[EmplAll3Qae]]=1,tblParticipants[[#This Row],[Earnings2Qae]]+tblParticipants[[#This Row],[Earnings3Qae]],0)</f>
        <v>0</v>
      </c>
      <c r="CF26" s="407"/>
    </row>
    <row r="27" spans="1:84" x14ac:dyDescent="0.3">
      <c r="A27" s="19"/>
      <c r="B27" s="19"/>
      <c r="C27" s="20"/>
      <c r="D27" s="20"/>
      <c r="E27" s="26"/>
      <c r="F27" s="26"/>
      <c r="G27" s="26"/>
      <c r="H27" s="26"/>
      <c r="I27" s="26"/>
      <c r="J27" s="26"/>
      <c r="K27" s="26"/>
      <c r="L27" s="26"/>
      <c r="M27" s="20"/>
      <c r="N27" s="26"/>
      <c r="O27" s="22"/>
      <c r="P27" s="21"/>
      <c r="Q27" s="23"/>
      <c r="R27" s="21"/>
      <c r="S27" s="21"/>
      <c r="T27" s="21"/>
      <c r="U27" s="21"/>
      <c r="V27" s="21"/>
      <c r="W27" s="24"/>
      <c r="X27" s="20"/>
      <c r="Y27" s="20"/>
      <c r="Z27" s="21"/>
      <c r="AA27" s="21"/>
      <c r="AB27" s="21"/>
      <c r="AC27" s="21"/>
      <c r="AD27" s="21"/>
      <c r="AE27" s="21"/>
      <c r="AF27" s="21"/>
      <c r="AG27" s="21"/>
      <c r="AH27" s="21"/>
      <c r="AI27" s="25"/>
      <c r="AJ27" s="20"/>
      <c r="AK27" s="21"/>
      <c r="AL27" s="20"/>
      <c r="AM27" s="20"/>
      <c r="AN27" s="20"/>
      <c r="AO27" s="20"/>
      <c r="AP27" s="446"/>
      <c r="AQ27" s="20"/>
      <c r="AR27" s="20"/>
      <c r="AS27" s="20"/>
      <c r="AT27" s="20"/>
      <c r="AU27" s="26"/>
      <c r="AV27" s="98"/>
      <c r="AW27" s="98"/>
      <c r="AX27" s="98"/>
      <c r="AY27" s="98"/>
      <c r="AZ27" s="98"/>
      <c r="BA27" s="217"/>
      <c r="BB27" s="98"/>
      <c r="BC27" s="98"/>
      <c r="BD27" s="98"/>
      <c r="BE27" s="98"/>
      <c r="BF27" s="98"/>
      <c r="BG27" s="219"/>
      <c r="BH27" s="219"/>
      <c r="BI27" s="219"/>
      <c r="BJ27" s="26"/>
      <c r="BK27" s="21"/>
      <c r="BL27" s="21"/>
      <c r="BM27" s="22"/>
      <c r="BN27" s="21"/>
      <c r="BO27" s="21"/>
      <c r="BP27" s="22"/>
      <c r="BQ27" s="21"/>
      <c r="BR27" s="21"/>
      <c r="BS27" s="22"/>
      <c r="BT2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7" s="109" t="str">
        <f>IF(ISNUMBER(tblParticipants[[#This Row],[SvcStartDate]]),IF(AND(tblParticipants[[#This Row],[EnrollQtr]]=1,tblParticipants[[#This Row],[SvcStartDate]]&lt;DATE(conProgYear,7,1)),1,""),"")</f>
        <v/>
      </c>
      <c r="BV2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7" s="232" t="str">
        <f t="shared" ca="1" si="0"/>
        <v/>
      </c>
      <c r="BX27" s="9">
        <f>IF(SUM(IF(tblParticipants[[#This Row],[AmIndOrAkNtv]]=1,1,0),IF(tblParticipants[[#This Row],[Asian]]=1,1,0),IF(tblParticipants[[#This Row],[BlkOrAfAmer]]=1,1,0),IF(tblParticipants[[#This Row],[NtvHawOrPacIsl]]=1,1,0),IF(tblParticipants[[#This Row],[White]]=1,1,0))&gt;1,1,0)</f>
        <v>0</v>
      </c>
      <c r="BY2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7" s="11">
        <f>IF(tblParticipants[[#This Row],[EarnWg2Qae]]=1,IFERROR(tblParticipants[[#This Row],[HoursPerWk2Qae]]*tblParticipants[[#This Row],[HrlyWg2Qae]]*13,0),0)</f>
        <v>0</v>
      </c>
      <c r="CC27" s="11">
        <f>IF(tblParticipants[[#This Row],[EarnWg3Qae]]=1,IFERROR(tblParticipants[[#This Row],[HoursPerWk3Qae]]*tblParticipants[[#This Row],[HrlyWg3Qae]]*13,0),0)</f>
        <v>0</v>
      </c>
      <c r="CD27" s="9">
        <f>IFERROR(IF(SUM(tblParticipants[[#This Row],[EarnWg1Qae]],tblParticipants[[#This Row],[EarnWg2Qae]],tblParticipants[[#This Row],[EarnWg3Qae]])=3,1,0),0)</f>
        <v>0</v>
      </c>
      <c r="CE27" s="12">
        <f>IF(tblParticipants[[#This Row],[EmplAll3Qae]]=1,tblParticipants[[#This Row],[Earnings2Qae]]+tblParticipants[[#This Row],[Earnings3Qae]],0)</f>
        <v>0</v>
      </c>
      <c r="CF27" s="407"/>
    </row>
    <row r="28" spans="1:84" x14ac:dyDescent="0.3">
      <c r="A28" s="19"/>
      <c r="B28" s="19"/>
      <c r="C28" s="20"/>
      <c r="D28" s="20"/>
      <c r="E28" s="26"/>
      <c r="F28" s="26"/>
      <c r="G28" s="26"/>
      <c r="H28" s="26"/>
      <c r="I28" s="26"/>
      <c r="J28" s="26"/>
      <c r="K28" s="26"/>
      <c r="L28" s="26"/>
      <c r="M28" s="20"/>
      <c r="N28" s="26"/>
      <c r="O28" s="22"/>
      <c r="P28" s="21"/>
      <c r="Q28" s="23"/>
      <c r="R28" s="21"/>
      <c r="S28" s="21"/>
      <c r="T28" s="21"/>
      <c r="U28" s="21"/>
      <c r="V28" s="21"/>
      <c r="W28" s="24"/>
      <c r="X28" s="20"/>
      <c r="Y28" s="20"/>
      <c r="Z28" s="21"/>
      <c r="AA28" s="21"/>
      <c r="AB28" s="21"/>
      <c r="AC28" s="21"/>
      <c r="AD28" s="21"/>
      <c r="AE28" s="21"/>
      <c r="AF28" s="21"/>
      <c r="AG28" s="21"/>
      <c r="AH28" s="21"/>
      <c r="AI28" s="25"/>
      <c r="AJ28" s="20"/>
      <c r="AK28" s="21"/>
      <c r="AL28" s="20"/>
      <c r="AM28" s="20"/>
      <c r="AN28" s="20"/>
      <c r="AO28" s="20"/>
      <c r="AP28" s="446"/>
      <c r="AQ28" s="20"/>
      <c r="AR28" s="20"/>
      <c r="AS28" s="20"/>
      <c r="AT28" s="20"/>
      <c r="AU28" s="26"/>
      <c r="AV28" s="98"/>
      <c r="AW28" s="98"/>
      <c r="AX28" s="98"/>
      <c r="AY28" s="98"/>
      <c r="AZ28" s="98"/>
      <c r="BA28" s="217"/>
      <c r="BB28" s="98"/>
      <c r="BC28" s="98"/>
      <c r="BD28" s="98"/>
      <c r="BE28" s="98"/>
      <c r="BF28" s="98"/>
      <c r="BG28" s="219"/>
      <c r="BH28" s="219"/>
      <c r="BI28" s="219"/>
      <c r="BJ28" s="26"/>
      <c r="BK28" s="21"/>
      <c r="BL28" s="21"/>
      <c r="BM28" s="22"/>
      <c r="BN28" s="21"/>
      <c r="BO28" s="21"/>
      <c r="BP28" s="22"/>
      <c r="BQ28" s="21"/>
      <c r="BR28" s="21"/>
      <c r="BS28" s="22"/>
      <c r="BT2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8" s="109" t="str">
        <f>IF(ISNUMBER(tblParticipants[[#This Row],[SvcStartDate]]),IF(AND(tblParticipants[[#This Row],[EnrollQtr]]=1,tblParticipants[[#This Row],[SvcStartDate]]&lt;DATE(conProgYear,7,1)),1,""),"")</f>
        <v/>
      </c>
      <c r="BV2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8" s="232" t="str">
        <f t="shared" ca="1" si="0"/>
        <v/>
      </c>
      <c r="BX28" s="9">
        <f>IF(SUM(IF(tblParticipants[[#This Row],[AmIndOrAkNtv]]=1,1,0),IF(tblParticipants[[#This Row],[Asian]]=1,1,0),IF(tblParticipants[[#This Row],[BlkOrAfAmer]]=1,1,0),IF(tblParticipants[[#This Row],[NtvHawOrPacIsl]]=1,1,0),IF(tblParticipants[[#This Row],[White]]=1,1,0))&gt;1,1,0)</f>
        <v>0</v>
      </c>
      <c r="BY2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8" s="11">
        <f>IF(tblParticipants[[#This Row],[EarnWg2Qae]]=1,IFERROR(tblParticipants[[#This Row],[HoursPerWk2Qae]]*tblParticipants[[#This Row],[HrlyWg2Qae]]*13,0),0)</f>
        <v>0</v>
      </c>
      <c r="CC28" s="11">
        <f>IF(tblParticipants[[#This Row],[EarnWg3Qae]]=1,IFERROR(tblParticipants[[#This Row],[HoursPerWk3Qae]]*tblParticipants[[#This Row],[HrlyWg3Qae]]*13,0),0)</f>
        <v>0</v>
      </c>
      <c r="CD28" s="9">
        <f>IFERROR(IF(SUM(tblParticipants[[#This Row],[EarnWg1Qae]],tblParticipants[[#This Row],[EarnWg2Qae]],tblParticipants[[#This Row],[EarnWg3Qae]])=3,1,0),0)</f>
        <v>0</v>
      </c>
      <c r="CE28" s="12">
        <f>IF(tblParticipants[[#This Row],[EmplAll3Qae]]=1,tblParticipants[[#This Row],[Earnings2Qae]]+tblParticipants[[#This Row],[Earnings3Qae]],0)</f>
        <v>0</v>
      </c>
      <c r="CF28" s="407"/>
    </row>
    <row r="29" spans="1:84" x14ac:dyDescent="0.3">
      <c r="A29" s="19"/>
      <c r="B29" s="19"/>
      <c r="C29" s="20"/>
      <c r="D29" s="20"/>
      <c r="E29" s="26"/>
      <c r="F29" s="26"/>
      <c r="G29" s="26"/>
      <c r="H29" s="26"/>
      <c r="I29" s="26"/>
      <c r="J29" s="26"/>
      <c r="K29" s="26"/>
      <c r="L29" s="26"/>
      <c r="M29" s="20"/>
      <c r="N29" s="26"/>
      <c r="O29" s="22"/>
      <c r="P29" s="21"/>
      <c r="Q29" s="23"/>
      <c r="R29" s="21"/>
      <c r="S29" s="21"/>
      <c r="T29" s="21"/>
      <c r="U29" s="21"/>
      <c r="V29" s="21"/>
      <c r="W29" s="24"/>
      <c r="X29" s="20"/>
      <c r="Y29" s="20"/>
      <c r="Z29" s="21"/>
      <c r="AA29" s="21"/>
      <c r="AB29" s="21"/>
      <c r="AC29" s="21"/>
      <c r="AD29" s="21"/>
      <c r="AE29" s="21"/>
      <c r="AF29" s="21"/>
      <c r="AG29" s="21"/>
      <c r="AH29" s="21"/>
      <c r="AI29" s="25"/>
      <c r="AJ29" s="20"/>
      <c r="AK29" s="21"/>
      <c r="AL29" s="20"/>
      <c r="AM29" s="20"/>
      <c r="AN29" s="20"/>
      <c r="AO29" s="20"/>
      <c r="AP29" s="446"/>
      <c r="AQ29" s="20"/>
      <c r="AR29" s="20"/>
      <c r="AS29" s="20"/>
      <c r="AT29" s="20"/>
      <c r="AU29" s="26"/>
      <c r="AV29" s="98"/>
      <c r="AW29" s="98"/>
      <c r="AX29" s="98"/>
      <c r="AY29" s="98"/>
      <c r="AZ29" s="98"/>
      <c r="BA29" s="217"/>
      <c r="BB29" s="98"/>
      <c r="BC29" s="98"/>
      <c r="BD29" s="98"/>
      <c r="BE29" s="98"/>
      <c r="BF29" s="98"/>
      <c r="BG29" s="219"/>
      <c r="BH29" s="219"/>
      <c r="BI29" s="219"/>
      <c r="BJ29" s="26"/>
      <c r="BK29" s="21"/>
      <c r="BL29" s="21"/>
      <c r="BM29" s="22"/>
      <c r="BN29" s="21"/>
      <c r="BO29" s="21"/>
      <c r="BP29" s="22"/>
      <c r="BQ29" s="21"/>
      <c r="BR29" s="21"/>
      <c r="BS29" s="22"/>
      <c r="BT2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9" s="109" t="str">
        <f>IF(ISNUMBER(tblParticipants[[#This Row],[SvcStartDate]]),IF(AND(tblParticipants[[#This Row],[EnrollQtr]]=1,tblParticipants[[#This Row],[SvcStartDate]]&lt;DATE(conProgYear,7,1)),1,""),"")</f>
        <v/>
      </c>
      <c r="BV2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9" s="232" t="str">
        <f t="shared" ca="1" si="0"/>
        <v/>
      </c>
      <c r="BX29" s="9">
        <f>IF(SUM(IF(tblParticipants[[#This Row],[AmIndOrAkNtv]]=1,1,0),IF(tblParticipants[[#This Row],[Asian]]=1,1,0),IF(tblParticipants[[#This Row],[BlkOrAfAmer]]=1,1,0),IF(tblParticipants[[#This Row],[NtvHawOrPacIsl]]=1,1,0),IF(tblParticipants[[#This Row],[White]]=1,1,0))&gt;1,1,0)</f>
        <v>0</v>
      </c>
      <c r="BY2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9" s="11">
        <f>IF(tblParticipants[[#This Row],[EarnWg2Qae]]=1,IFERROR(tblParticipants[[#This Row],[HoursPerWk2Qae]]*tblParticipants[[#This Row],[HrlyWg2Qae]]*13,0),0)</f>
        <v>0</v>
      </c>
      <c r="CC29" s="11">
        <f>IF(tblParticipants[[#This Row],[EarnWg3Qae]]=1,IFERROR(tblParticipants[[#This Row],[HoursPerWk3Qae]]*tblParticipants[[#This Row],[HrlyWg3Qae]]*13,0),0)</f>
        <v>0</v>
      </c>
      <c r="CD29" s="9">
        <f>IFERROR(IF(SUM(tblParticipants[[#This Row],[EarnWg1Qae]],tblParticipants[[#This Row],[EarnWg2Qae]],tblParticipants[[#This Row],[EarnWg3Qae]])=3,1,0),0)</f>
        <v>0</v>
      </c>
      <c r="CE29" s="12">
        <f>IF(tblParticipants[[#This Row],[EmplAll3Qae]]=1,tblParticipants[[#This Row],[Earnings2Qae]]+tblParticipants[[#This Row],[Earnings3Qae]],0)</f>
        <v>0</v>
      </c>
      <c r="CF29" s="407"/>
    </row>
    <row r="30" spans="1:84" x14ac:dyDescent="0.3">
      <c r="A30" s="19"/>
      <c r="B30" s="19"/>
      <c r="C30" s="20"/>
      <c r="D30" s="20"/>
      <c r="E30" s="26"/>
      <c r="F30" s="26"/>
      <c r="G30" s="26"/>
      <c r="H30" s="26"/>
      <c r="I30" s="26"/>
      <c r="J30" s="26"/>
      <c r="K30" s="26"/>
      <c r="L30" s="26"/>
      <c r="M30" s="20"/>
      <c r="N30" s="26"/>
      <c r="O30" s="22"/>
      <c r="P30" s="21"/>
      <c r="Q30" s="23"/>
      <c r="R30" s="21"/>
      <c r="S30" s="21"/>
      <c r="T30" s="21"/>
      <c r="U30" s="21"/>
      <c r="V30" s="21"/>
      <c r="W30" s="24"/>
      <c r="X30" s="20"/>
      <c r="Y30" s="20"/>
      <c r="Z30" s="21"/>
      <c r="AA30" s="21"/>
      <c r="AB30" s="21"/>
      <c r="AC30" s="21"/>
      <c r="AD30" s="21"/>
      <c r="AE30" s="21"/>
      <c r="AF30" s="21"/>
      <c r="AG30" s="21"/>
      <c r="AH30" s="21"/>
      <c r="AI30" s="25"/>
      <c r="AJ30" s="20"/>
      <c r="AK30" s="21"/>
      <c r="AL30" s="20"/>
      <c r="AM30" s="20"/>
      <c r="AN30" s="20"/>
      <c r="AO30" s="20"/>
      <c r="AP30" s="446"/>
      <c r="AQ30" s="20"/>
      <c r="AR30" s="20"/>
      <c r="AS30" s="20"/>
      <c r="AT30" s="20"/>
      <c r="AU30" s="26"/>
      <c r="AV30" s="98"/>
      <c r="AW30" s="98"/>
      <c r="AX30" s="98"/>
      <c r="AY30" s="98"/>
      <c r="AZ30" s="98"/>
      <c r="BA30" s="217"/>
      <c r="BB30" s="98"/>
      <c r="BC30" s="98"/>
      <c r="BD30" s="98"/>
      <c r="BE30" s="98"/>
      <c r="BF30" s="98"/>
      <c r="BG30" s="219"/>
      <c r="BH30" s="219"/>
      <c r="BI30" s="219"/>
      <c r="BJ30" s="26"/>
      <c r="BK30" s="21"/>
      <c r="BL30" s="21"/>
      <c r="BM30" s="22"/>
      <c r="BN30" s="21"/>
      <c r="BO30" s="21"/>
      <c r="BP30" s="22"/>
      <c r="BQ30" s="21"/>
      <c r="BR30" s="21"/>
      <c r="BS30" s="22"/>
      <c r="BT3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0" s="109" t="str">
        <f>IF(ISNUMBER(tblParticipants[[#This Row],[SvcStartDate]]),IF(AND(tblParticipants[[#This Row],[EnrollQtr]]=1,tblParticipants[[#This Row],[SvcStartDate]]&lt;DATE(conProgYear,7,1)),1,""),"")</f>
        <v/>
      </c>
      <c r="BV3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0" s="232" t="str">
        <f t="shared" ca="1" si="0"/>
        <v/>
      </c>
      <c r="BX30" s="9">
        <f>IF(SUM(IF(tblParticipants[[#This Row],[AmIndOrAkNtv]]=1,1,0),IF(tblParticipants[[#This Row],[Asian]]=1,1,0),IF(tblParticipants[[#This Row],[BlkOrAfAmer]]=1,1,0),IF(tblParticipants[[#This Row],[NtvHawOrPacIsl]]=1,1,0),IF(tblParticipants[[#This Row],[White]]=1,1,0))&gt;1,1,0)</f>
        <v>0</v>
      </c>
      <c r="BY3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0" s="11">
        <f>IF(tblParticipants[[#This Row],[EarnWg2Qae]]=1,IFERROR(tblParticipants[[#This Row],[HoursPerWk2Qae]]*tblParticipants[[#This Row],[HrlyWg2Qae]]*13,0),0)</f>
        <v>0</v>
      </c>
      <c r="CC30" s="11">
        <f>IF(tblParticipants[[#This Row],[EarnWg3Qae]]=1,IFERROR(tblParticipants[[#This Row],[HoursPerWk3Qae]]*tblParticipants[[#This Row],[HrlyWg3Qae]]*13,0),0)</f>
        <v>0</v>
      </c>
      <c r="CD30" s="9">
        <f>IFERROR(IF(SUM(tblParticipants[[#This Row],[EarnWg1Qae]],tblParticipants[[#This Row],[EarnWg2Qae]],tblParticipants[[#This Row],[EarnWg3Qae]])=3,1,0),0)</f>
        <v>0</v>
      </c>
      <c r="CE30" s="12">
        <f>IF(tblParticipants[[#This Row],[EmplAll3Qae]]=1,tblParticipants[[#This Row],[Earnings2Qae]]+tblParticipants[[#This Row],[Earnings3Qae]],0)</f>
        <v>0</v>
      </c>
      <c r="CF30" s="407"/>
    </row>
    <row r="31" spans="1:84" x14ac:dyDescent="0.3">
      <c r="A31" s="19"/>
      <c r="B31" s="19"/>
      <c r="C31" s="20"/>
      <c r="D31" s="20"/>
      <c r="E31" s="26"/>
      <c r="F31" s="26"/>
      <c r="G31" s="26"/>
      <c r="H31" s="26"/>
      <c r="I31" s="26"/>
      <c r="J31" s="26"/>
      <c r="K31" s="26"/>
      <c r="L31" s="26"/>
      <c r="M31" s="20"/>
      <c r="N31" s="26"/>
      <c r="O31" s="22"/>
      <c r="P31" s="21"/>
      <c r="Q31" s="23"/>
      <c r="R31" s="21"/>
      <c r="S31" s="21"/>
      <c r="T31" s="21"/>
      <c r="U31" s="21"/>
      <c r="V31" s="21"/>
      <c r="W31" s="24"/>
      <c r="X31" s="20"/>
      <c r="Y31" s="20"/>
      <c r="Z31" s="21"/>
      <c r="AA31" s="21"/>
      <c r="AB31" s="21"/>
      <c r="AC31" s="21"/>
      <c r="AD31" s="21"/>
      <c r="AE31" s="21"/>
      <c r="AF31" s="21"/>
      <c r="AG31" s="21"/>
      <c r="AH31" s="21"/>
      <c r="AI31" s="25"/>
      <c r="AJ31" s="20"/>
      <c r="AK31" s="21"/>
      <c r="AL31" s="20"/>
      <c r="AM31" s="20"/>
      <c r="AN31" s="20"/>
      <c r="AO31" s="20"/>
      <c r="AP31" s="446"/>
      <c r="AQ31" s="20"/>
      <c r="AR31" s="20"/>
      <c r="AS31" s="20"/>
      <c r="AT31" s="20"/>
      <c r="AU31" s="26"/>
      <c r="AV31" s="98"/>
      <c r="AW31" s="98"/>
      <c r="AX31" s="98"/>
      <c r="AY31" s="98"/>
      <c r="AZ31" s="98"/>
      <c r="BA31" s="217"/>
      <c r="BB31" s="98"/>
      <c r="BC31" s="98"/>
      <c r="BD31" s="98"/>
      <c r="BE31" s="98"/>
      <c r="BF31" s="98"/>
      <c r="BG31" s="219"/>
      <c r="BH31" s="219"/>
      <c r="BI31" s="219"/>
      <c r="BJ31" s="26"/>
      <c r="BK31" s="21"/>
      <c r="BL31" s="21"/>
      <c r="BM31" s="22"/>
      <c r="BN31" s="21"/>
      <c r="BO31" s="21"/>
      <c r="BP31" s="22"/>
      <c r="BQ31" s="21"/>
      <c r="BR31" s="21"/>
      <c r="BS31" s="22"/>
      <c r="BT3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1" s="109" t="str">
        <f>IF(ISNUMBER(tblParticipants[[#This Row],[SvcStartDate]]),IF(AND(tblParticipants[[#This Row],[EnrollQtr]]=1,tblParticipants[[#This Row],[SvcStartDate]]&lt;DATE(conProgYear,7,1)),1,""),"")</f>
        <v/>
      </c>
      <c r="BV3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1" s="232" t="str">
        <f t="shared" ca="1" si="0"/>
        <v/>
      </c>
      <c r="BX31" s="9">
        <f>IF(SUM(IF(tblParticipants[[#This Row],[AmIndOrAkNtv]]=1,1,0),IF(tblParticipants[[#This Row],[Asian]]=1,1,0),IF(tblParticipants[[#This Row],[BlkOrAfAmer]]=1,1,0),IF(tblParticipants[[#This Row],[NtvHawOrPacIsl]]=1,1,0),IF(tblParticipants[[#This Row],[White]]=1,1,0))&gt;1,1,0)</f>
        <v>0</v>
      </c>
      <c r="BY3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1" s="11">
        <f>IF(tblParticipants[[#This Row],[EarnWg2Qae]]=1,IFERROR(tblParticipants[[#This Row],[HoursPerWk2Qae]]*tblParticipants[[#This Row],[HrlyWg2Qae]]*13,0),0)</f>
        <v>0</v>
      </c>
      <c r="CC31" s="11">
        <f>IF(tblParticipants[[#This Row],[EarnWg3Qae]]=1,IFERROR(tblParticipants[[#This Row],[HoursPerWk3Qae]]*tblParticipants[[#This Row],[HrlyWg3Qae]]*13,0),0)</f>
        <v>0</v>
      </c>
      <c r="CD31" s="9">
        <f>IFERROR(IF(SUM(tblParticipants[[#This Row],[EarnWg1Qae]],tblParticipants[[#This Row],[EarnWg2Qae]],tblParticipants[[#This Row],[EarnWg3Qae]])=3,1,0),0)</f>
        <v>0</v>
      </c>
      <c r="CE31" s="12">
        <f>IF(tblParticipants[[#This Row],[EmplAll3Qae]]=1,tblParticipants[[#This Row],[Earnings2Qae]]+tblParticipants[[#This Row],[Earnings3Qae]],0)</f>
        <v>0</v>
      </c>
      <c r="CF31" s="407"/>
    </row>
    <row r="32" spans="1:84" x14ac:dyDescent="0.3">
      <c r="A32" s="19"/>
      <c r="B32" s="19"/>
      <c r="C32" s="20"/>
      <c r="D32" s="20"/>
      <c r="E32" s="26"/>
      <c r="F32" s="26"/>
      <c r="G32" s="26"/>
      <c r="H32" s="26"/>
      <c r="I32" s="26"/>
      <c r="J32" s="26"/>
      <c r="K32" s="26"/>
      <c r="L32" s="26"/>
      <c r="M32" s="20"/>
      <c r="N32" s="26"/>
      <c r="O32" s="22"/>
      <c r="P32" s="21"/>
      <c r="Q32" s="23"/>
      <c r="R32" s="21"/>
      <c r="S32" s="21"/>
      <c r="T32" s="21"/>
      <c r="U32" s="21"/>
      <c r="V32" s="21"/>
      <c r="W32" s="24"/>
      <c r="X32" s="20"/>
      <c r="Y32" s="20"/>
      <c r="Z32" s="21"/>
      <c r="AA32" s="21"/>
      <c r="AB32" s="21"/>
      <c r="AC32" s="21"/>
      <c r="AD32" s="21"/>
      <c r="AE32" s="21"/>
      <c r="AF32" s="21"/>
      <c r="AG32" s="21"/>
      <c r="AH32" s="21"/>
      <c r="AI32" s="25"/>
      <c r="AJ32" s="20"/>
      <c r="AK32" s="21"/>
      <c r="AL32" s="20"/>
      <c r="AM32" s="20"/>
      <c r="AN32" s="20"/>
      <c r="AO32" s="20"/>
      <c r="AP32" s="446"/>
      <c r="AQ32" s="20"/>
      <c r="AR32" s="20"/>
      <c r="AS32" s="20"/>
      <c r="AT32" s="20"/>
      <c r="AU32" s="26"/>
      <c r="AV32" s="98"/>
      <c r="AW32" s="98"/>
      <c r="AX32" s="98"/>
      <c r="AY32" s="98"/>
      <c r="AZ32" s="98"/>
      <c r="BA32" s="217"/>
      <c r="BB32" s="98"/>
      <c r="BC32" s="98"/>
      <c r="BD32" s="98"/>
      <c r="BE32" s="98"/>
      <c r="BF32" s="98"/>
      <c r="BG32" s="219"/>
      <c r="BH32" s="219"/>
      <c r="BI32" s="219"/>
      <c r="BJ32" s="26"/>
      <c r="BK32" s="21"/>
      <c r="BL32" s="21"/>
      <c r="BM32" s="22"/>
      <c r="BN32" s="21"/>
      <c r="BO32" s="21"/>
      <c r="BP32" s="22"/>
      <c r="BQ32" s="21"/>
      <c r="BR32" s="21"/>
      <c r="BS32" s="22"/>
      <c r="BT3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2" s="109" t="str">
        <f>IF(ISNUMBER(tblParticipants[[#This Row],[SvcStartDate]]),IF(AND(tblParticipants[[#This Row],[EnrollQtr]]=1,tblParticipants[[#This Row],[SvcStartDate]]&lt;DATE(conProgYear,7,1)),1,""),"")</f>
        <v/>
      </c>
      <c r="BV3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2" s="232" t="str">
        <f t="shared" ca="1" si="0"/>
        <v/>
      </c>
      <c r="BX32" s="9">
        <f>IF(SUM(IF(tblParticipants[[#This Row],[AmIndOrAkNtv]]=1,1,0),IF(tblParticipants[[#This Row],[Asian]]=1,1,0),IF(tblParticipants[[#This Row],[BlkOrAfAmer]]=1,1,0),IF(tblParticipants[[#This Row],[NtvHawOrPacIsl]]=1,1,0),IF(tblParticipants[[#This Row],[White]]=1,1,0))&gt;1,1,0)</f>
        <v>0</v>
      </c>
      <c r="BY3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2" s="11">
        <f>IF(tblParticipants[[#This Row],[EarnWg2Qae]]=1,IFERROR(tblParticipants[[#This Row],[HoursPerWk2Qae]]*tblParticipants[[#This Row],[HrlyWg2Qae]]*13,0),0)</f>
        <v>0</v>
      </c>
      <c r="CC32" s="11">
        <f>IF(tblParticipants[[#This Row],[EarnWg3Qae]]=1,IFERROR(tblParticipants[[#This Row],[HoursPerWk3Qae]]*tblParticipants[[#This Row],[HrlyWg3Qae]]*13,0),0)</f>
        <v>0</v>
      </c>
      <c r="CD32" s="9">
        <f>IFERROR(IF(SUM(tblParticipants[[#This Row],[EarnWg1Qae]],tblParticipants[[#This Row],[EarnWg2Qae]],tblParticipants[[#This Row],[EarnWg3Qae]])=3,1,0),0)</f>
        <v>0</v>
      </c>
      <c r="CE32" s="12">
        <f>IF(tblParticipants[[#This Row],[EmplAll3Qae]]=1,tblParticipants[[#This Row],[Earnings2Qae]]+tblParticipants[[#This Row],[Earnings3Qae]],0)</f>
        <v>0</v>
      </c>
      <c r="CF32" s="407"/>
    </row>
    <row r="33" spans="1:84" x14ac:dyDescent="0.3">
      <c r="A33" s="19"/>
      <c r="B33" s="107"/>
      <c r="C33" s="20"/>
      <c r="D33" s="20"/>
      <c r="E33" s="26"/>
      <c r="F33" s="26"/>
      <c r="G33" s="26"/>
      <c r="H33" s="26"/>
      <c r="I33" s="26"/>
      <c r="J33" s="26"/>
      <c r="K33" s="26"/>
      <c r="L33" s="26"/>
      <c r="M33" s="20"/>
      <c r="N33" s="26"/>
      <c r="O33" s="22"/>
      <c r="P33" s="21"/>
      <c r="Q33" s="23"/>
      <c r="R33" s="21"/>
      <c r="S33" s="21"/>
      <c r="T33" s="21"/>
      <c r="U33" s="21"/>
      <c r="V33" s="21"/>
      <c r="W33" s="24"/>
      <c r="X33" s="20"/>
      <c r="Y33" s="20"/>
      <c r="Z33" s="21"/>
      <c r="AA33" s="21"/>
      <c r="AB33" s="21"/>
      <c r="AC33" s="21"/>
      <c r="AD33" s="21"/>
      <c r="AE33" s="21"/>
      <c r="AF33" s="21"/>
      <c r="AG33" s="21"/>
      <c r="AH33" s="21"/>
      <c r="AI33" s="25"/>
      <c r="AJ33" s="20"/>
      <c r="AK33" s="21"/>
      <c r="AL33" s="20"/>
      <c r="AM33" s="20"/>
      <c r="AN33" s="20"/>
      <c r="AO33" s="20"/>
      <c r="AP33" s="446"/>
      <c r="AQ33" s="20"/>
      <c r="AR33" s="20"/>
      <c r="AS33" s="20"/>
      <c r="AT33" s="20"/>
      <c r="AU33" s="26"/>
      <c r="AV33" s="98"/>
      <c r="AW33" s="98"/>
      <c r="AX33" s="98"/>
      <c r="AY33" s="98"/>
      <c r="AZ33" s="98"/>
      <c r="BA33" s="217"/>
      <c r="BB33" s="98"/>
      <c r="BC33" s="98"/>
      <c r="BD33" s="98"/>
      <c r="BE33" s="98"/>
      <c r="BF33" s="98"/>
      <c r="BG33" s="219"/>
      <c r="BH33" s="219"/>
      <c r="BI33" s="219"/>
      <c r="BJ33" s="26"/>
      <c r="BK33" s="21"/>
      <c r="BL33" s="21"/>
      <c r="BM33" s="22"/>
      <c r="BN33" s="21"/>
      <c r="BO33" s="21"/>
      <c r="BP33" s="22"/>
      <c r="BQ33" s="21"/>
      <c r="BR33" s="21"/>
      <c r="BS33" s="22"/>
      <c r="BT3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3" s="109" t="str">
        <f>IF(ISNUMBER(tblParticipants[[#This Row],[SvcStartDate]]),IF(AND(tblParticipants[[#This Row],[EnrollQtr]]=1,tblParticipants[[#This Row],[SvcStartDate]]&lt;DATE(conProgYear,7,1)),1,""),"")</f>
        <v/>
      </c>
      <c r="BV3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3" s="232" t="str">
        <f t="shared" ca="1" si="0"/>
        <v/>
      </c>
      <c r="BX33" s="9">
        <f>IF(SUM(IF(tblParticipants[[#This Row],[AmIndOrAkNtv]]=1,1,0),IF(tblParticipants[[#This Row],[Asian]]=1,1,0),IF(tblParticipants[[#This Row],[BlkOrAfAmer]]=1,1,0),IF(tblParticipants[[#This Row],[NtvHawOrPacIsl]]=1,1,0),IF(tblParticipants[[#This Row],[White]]=1,1,0))&gt;1,1,0)</f>
        <v>0</v>
      </c>
      <c r="BY3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3" s="11">
        <f>IF(tblParticipants[[#This Row],[EarnWg2Qae]]=1,IFERROR(tblParticipants[[#This Row],[HoursPerWk2Qae]]*tblParticipants[[#This Row],[HrlyWg2Qae]]*13,0),0)</f>
        <v>0</v>
      </c>
      <c r="CC33" s="11">
        <f>IF(tblParticipants[[#This Row],[EarnWg3Qae]]=1,IFERROR(tblParticipants[[#This Row],[HoursPerWk3Qae]]*tblParticipants[[#This Row],[HrlyWg3Qae]]*13,0),0)</f>
        <v>0</v>
      </c>
      <c r="CD33" s="9">
        <f>IFERROR(IF(SUM(tblParticipants[[#This Row],[EarnWg1Qae]],tblParticipants[[#This Row],[EarnWg2Qae]],tblParticipants[[#This Row],[EarnWg3Qae]])=3,1,0),0)</f>
        <v>0</v>
      </c>
      <c r="CE33" s="12">
        <f>IF(tblParticipants[[#This Row],[EmplAll3Qae]]=1,tblParticipants[[#This Row],[Earnings2Qae]]+tblParticipants[[#This Row],[Earnings3Qae]],0)</f>
        <v>0</v>
      </c>
      <c r="CF33" s="407"/>
    </row>
    <row r="34" spans="1:84" x14ac:dyDescent="0.3">
      <c r="A34" s="19"/>
      <c r="B34" s="19"/>
      <c r="C34" s="20"/>
      <c r="D34" s="20"/>
      <c r="E34" s="26"/>
      <c r="F34" s="26"/>
      <c r="G34" s="26"/>
      <c r="H34" s="26"/>
      <c r="I34" s="26"/>
      <c r="J34" s="26"/>
      <c r="K34" s="26"/>
      <c r="L34" s="26"/>
      <c r="M34" s="20"/>
      <c r="N34" s="26"/>
      <c r="O34" s="22"/>
      <c r="P34" s="21"/>
      <c r="Q34" s="23"/>
      <c r="R34" s="21"/>
      <c r="S34" s="21"/>
      <c r="T34" s="21"/>
      <c r="U34" s="21"/>
      <c r="V34" s="21"/>
      <c r="W34" s="24"/>
      <c r="X34" s="20"/>
      <c r="Y34" s="20"/>
      <c r="Z34" s="21"/>
      <c r="AA34" s="21"/>
      <c r="AB34" s="21"/>
      <c r="AC34" s="21"/>
      <c r="AD34" s="21"/>
      <c r="AE34" s="21"/>
      <c r="AF34" s="21"/>
      <c r="AG34" s="21"/>
      <c r="AH34" s="21"/>
      <c r="AI34" s="25"/>
      <c r="AJ34" s="20"/>
      <c r="AK34" s="21"/>
      <c r="AL34" s="20"/>
      <c r="AM34" s="20"/>
      <c r="AN34" s="20"/>
      <c r="AO34" s="20"/>
      <c r="AP34" s="446"/>
      <c r="AQ34" s="20"/>
      <c r="AR34" s="20"/>
      <c r="AS34" s="20"/>
      <c r="AT34" s="20"/>
      <c r="AU34" s="26"/>
      <c r="AV34" s="98"/>
      <c r="AW34" s="98"/>
      <c r="AX34" s="98"/>
      <c r="AY34" s="98"/>
      <c r="AZ34" s="98"/>
      <c r="BA34" s="217"/>
      <c r="BB34" s="98"/>
      <c r="BC34" s="98"/>
      <c r="BD34" s="98"/>
      <c r="BE34" s="98"/>
      <c r="BF34" s="98"/>
      <c r="BG34" s="219"/>
      <c r="BH34" s="219"/>
      <c r="BI34" s="219"/>
      <c r="BJ34" s="26"/>
      <c r="BK34" s="21"/>
      <c r="BL34" s="21"/>
      <c r="BM34" s="22"/>
      <c r="BN34" s="21"/>
      <c r="BO34" s="21"/>
      <c r="BP34" s="22"/>
      <c r="BQ34" s="21"/>
      <c r="BR34" s="21"/>
      <c r="BS34" s="22"/>
      <c r="BT3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4" s="109" t="str">
        <f>IF(ISNUMBER(tblParticipants[[#This Row],[SvcStartDate]]),IF(AND(tblParticipants[[#This Row],[EnrollQtr]]=1,tblParticipants[[#This Row],[SvcStartDate]]&lt;DATE(conProgYear,7,1)),1,""),"")</f>
        <v/>
      </c>
      <c r="BV3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4" s="232" t="str">
        <f t="shared" ca="1" si="0"/>
        <v/>
      </c>
      <c r="BX34" s="9">
        <f>IF(SUM(IF(tblParticipants[[#This Row],[AmIndOrAkNtv]]=1,1,0),IF(tblParticipants[[#This Row],[Asian]]=1,1,0),IF(tblParticipants[[#This Row],[BlkOrAfAmer]]=1,1,0),IF(tblParticipants[[#This Row],[NtvHawOrPacIsl]]=1,1,0),IF(tblParticipants[[#This Row],[White]]=1,1,0))&gt;1,1,0)</f>
        <v>0</v>
      </c>
      <c r="BY3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4" s="11">
        <f>IF(tblParticipants[[#This Row],[EarnWg2Qae]]=1,IFERROR(tblParticipants[[#This Row],[HoursPerWk2Qae]]*tblParticipants[[#This Row],[HrlyWg2Qae]]*13,0),0)</f>
        <v>0</v>
      </c>
      <c r="CC34" s="11">
        <f>IF(tblParticipants[[#This Row],[EarnWg3Qae]]=1,IFERROR(tblParticipants[[#This Row],[HoursPerWk3Qae]]*tblParticipants[[#This Row],[HrlyWg3Qae]]*13,0),0)</f>
        <v>0</v>
      </c>
      <c r="CD34" s="9">
        <f>IFERROR(IF(SUM(tblParticipants[[#This Row],[EarnWg1Qae]],tblParticipants[[#This Row],[EarnWg2Qae]],tblParticipants[[#This Row],[EarnWg3Qae]])=3,1,0),0)</f>
        <v>0</v>
      </c>
      <c r="CE34" s="12">
        <f>IF(tblParticipants[[#This Row],[EmplAll3Qae]]=1,tblParticipants[[#This Row],[Earnings2Qae]]+tblParticipants[[#This Row],[Earnings3Qae]],0)</f>
        <v>0</v>
      </c>
      <c r="CF34" s="407"/>
    </row>
    <row r="35" spans="1:84" x14ac:dyDescent="0.3">
      <c r="A35" s="19"/>
      <c r="B35" s="107"/>
      <c r="C35" s="20"/>
      <c r="D35" s="20"/>
      <c r="E35" s="26"/>
      <c r="F35" s="26"/>
      <c r="G35" s="26"/>
      <c r="H35" s="26"/>
      <c r="I35" s="26"/>
      <c r="J35" s="26"/>
      <c r="K35" s="26"/>
      <c r="L35" s="26"/>
      <c r="M35" s="20"/>
      <c r="N35" s="26"/>
      <c r="O35" s="22"/>
      <c r="P35" s="21"/>
      <c r="Q35" s="23"/>
      <c r="R35" s="21"/>
      <c r="S35" s="21"/>
      <c r="T35" s="21"/>
      <c r="U35" s="21"/>
      <c r="V35" s="21"/>
      <c r="W35" s="24"/>
      <c r="X35" s="20"/>
      <c r="Y35" s="20"/>
      <c r="Z35" s="21"/>
      <c r="AA35" s="21"/>
      <c r="AB35" s="21"/>
      <c r="AC35" s="21"/>
      <c r="AD35" s="21"/>
      <c r="AE35" s="21"/>
      <c r="AF35" s="21"/>
      <c r="AG35" s="21"/>
      <c r="AH35" s="21"/>
      <c r="AI35" s="25"/>
      <c r="AJ35" s="20"/>
      <c r="AK35" s="21"/>
      <c r="AL35" s="20"/>
      <c r="AM35" s="20"/>
      <c r="AN35" s="20"/>
      <c r="AO35" s="20"/>
      <c r="AP35" s="446"/>
      <c r="AQ35" s="20"/>
      <c r="AR35" s="20"/>
      <c r="AS35" s="20"/>
      <c r="AT35" s="20"/>
      <c r="AU35" s="26"/>
      <c r="AV35" s="98"/>
      <c r="AW35" s="98"/>
      <c r="AX35" s="98"/>
      <c r="AY35" s="98"/>
      <c r="AZ35" s="98"/>
      <c r="BA35" s="217"/>
      <c r="BB35" s="98"/>
      <c r="BC35" s="98"/>
      <c r="BD35" s="98"/>
      <c r="BE35" s="98"/>
      <c r="BF35" s="98"/>
      <c r="BG35" s="219"/>
      <c r="BH35" s="219"/>
      <c r="BI35" s="219"/>
      <c r="BJ35" s="26"/>
      <c r="BK35" s="21"/>
      <c r="BL35" s="21"/>
      <c r="BM35" s="22"/>
      <c r="BN35" s="21"/>
      <c r="BO35" s="21"/>
      <c r="BP35" s="22"/>
      <c r="BQ35" s="21"/>
      <c r="BR35" s="21"/>
      <c r="BS35" s="22"/>
      <c r="BT3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5" s="109" t="str">
        <f>IF(ISNUMBER(tblParticipants[[#This Row],[SvcStartDate]]),IF(AND(tblParticipants[[#This Row],[EnrollQtr]]=1,tblParticipants[[#This Row],[SvcStartDate]]&lt;DATE(conProgYear,7,1)),1,""),"")</f>
        <v/>
      </c>
      <c r="BV3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5" s="232" t="str">
        <f t="shared" ca="1" si="0"/>
        <v/>
      </c>
      <c r="BX35" s="9">
        <f>IF(SUM(IF(tblParticipants[[#This Row],[AmIndOrAkNtv]]=1,1,0),IF(tblParticipants[[#This Row],[Asian]]=1,1,0),IF(tblParticipants[[#This Row],[BlkOrAfAmer]]=1,1,0),IF(tblParticipants[[#This Row],[NtvHawOrPacIsl]]=1,1,0),IF(tblParticipants[[#This Row],[White]]=1,1,0))&gt;1,1,0)</f>
        <v>0</v>
      </c>
      <c r="BY3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5" s="11">
        <f>IF(tblParticipants[[#This Row],[EarnWg2Qae]]=1,IFERROR(tblParticipants[[#This Row],[HoursPerWk2Qae]]*tblParticipants[[#This Row],[HrlyWg2Qae]]*13,0),0)</f>
        <v>0</v>
      </c>
      <c r="CC35" s="11">
        <f>IF(tblParticipants[[#This Row],[EarnWg3Qae]]=1,IFERROR(tblParticipants[[#This Row],[HoursPerWk3Qae]]*tblParticipants[[#This Row],[HrlyWg3Qae]]*13,0),0)</f>
        <v>0</v>
      </c>
      <c r="CD35" s="9">
        <f>IFERROR(IF(SUM(tblParticipants[[#This Row],[EarnWg1Qae]],tblParticipants[[#This Row],[EarnWg2Qae]],tblParticipants[[#This Row],[EarnWg3Qae]])=3,1,0),0)</f>
        <v>0</v>
      </c>
      <c r="CE35" s="12">
        <f>IF(tblParticipants[[#This Row],[EmplAll3Qae]]=1,tblParticipants[[#This Row],[Earnings2Qae]]+tblParticipants[[#This Row],[Earnings3Qae]],0)</f>
        <v>0</v>
      </c>
      <c r="CF35" s="407"/>
    </row>
    <row r="36" spans="1:84" x14ac:dyDescent="0.3">
      <c r="A36" s="19"/>
      <c r="B36" s="19"/>
      <c r="C36" s="20"/>
      <c r="D36" s="20"/>
      <c r="E36" s="26"/>
      <c r="F36" s="26"/>
      <c r="G36" s="26"/>
      <c r="H36" s="26"/>
      <c r="I36" s="26"/>
      <c r="J36" s="26"/>
      <c r="K36" s="26"/>
      <c r="L36" s="26"/>
      <c r="M36" s="20"/>
      <c r="N36" s="26"/>
      <c r="O36" s="22"/>
      <c r="P36" s="21"/>
      <c r="Q36" s="23"/>
      <c r="R36" s="21"/>
      <c r="S36" s="21"/>
      <c r="T36" s="21"/>
      <c r="U36" s="21"/>
      <c r="V36" s="21"/>
      <c r="W36" s="24"/>
      <c r="X36" s="20"/>
      <c r="Y36" s="20"/>
      <c r="Z36" s="21"/>
      <c r="AA36" s="21"/>
      <c r="AB36" s="21"/>
      <c r="AC36" s="21"/>
      <c r="AD36" s="21"/>
      <c r="AE36" s="21"/>
      <c r="AF36" s="21"/>
      <c r="AG36" s="21"/>
      <c r="AH36" s="21"/>
      <c r="AI36" s="25"/>
      <c r="AJ36" s="20"/>
      <c r="AK36" s="21"/>
      <c r="AL36" s="20"/>
      <c r="AM36" s="20"/>
      <c r="AN36" s="20"/>
      <c r="AO36" s="20"/>
      <c r="AP36" s="446"/>
      <c r="AQ36" s="20"/>
      <c r="AR36" s="20"/>
      <c r="AS36" s="20"/>
      <c r="AT36" s="20"/>
      <c r="AU36" s="26"/>
      <c r="AV36" s="98"/>
      <c r="AW36" s="98"/>
      <c r="AX36" s="98"/>
      <c r="AY36" s="98"/>
      <c r="AZ36" s="98"/>
      <c r="BA36" s="217"/>
      <c r="BB36" s="98"/>
      <c r="BC36" s="98"/>
      <c r="BD36" s="98"/>
      <c r="BE36" s="98"/>
      <c r="BF36" s="98"/>
      <c r="BG36" s="219"/>
      <c r="BH36" s="219"/>
      <c r="BI36" s="219"/>
      <c r="BJ36" s="26"/>
      <c r="BK36" s="21"/>
      <c r="BL36" s="21"/>
      <c r="BM36" s="22"/>
      <c r="BN36" s="21"/>
      <c r="BO36" s="21"/>
      <c r="BP36" s="22"/>
      <c r="BQ36" s="21"/>
      <c r="BR36" s="21"/>
      <c r="BS36" s="22"/>
      <c r="BT3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6" s="109" t="str">
        <f>IF(ISNUMBER(tblParticipants[[#This Row],[SvcStartDate]]),IF(AND(tblParticipants[[#This Row],[EnrollQtr]]=1,tblParticipants[[#This Row],[SvcStartDate]]&lt;DATE(conProgYear,7,1)),1,""),"")</f>
        <v/>
      </c>
      <c r="BV3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6" s="232" t="str">
        <f t="shared" ca="1" si="0"/>
        <v/>
      </c>
      <c r="BX36" s="9">
        <f>IF(SUM(IF(tblParticipants[[#This Row],[AmIndOrAkNtv]]=1,1,0),IF(tblParticipants[[#This Row],[Asian]]=1,1,0),IF(tblParticipants[[#This Row],[BlkOrAfAmer]]=1,1,0),IF(tblParticipants[[#This Row],[NtvHawOrPacIsl]]=1,1,0),IF(tblParticipants[[#This Row],[White]]=1,1,0))&gt;1,1,0)</f>
        <v>0</v>
      </c>
      <c r="BY3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6" s="11">
        <f>IF(tblParticipants[[#This Row],[EarnWg2Qae]]=1,IFERROR(tblParticipants[[#This Row],[HoursPerWk2Qae]]*tblParticipants[[#This Row],[HrlyWg2Qae]]*13,0),0)</f>
        <v>0</v>
      </c>
      <c r="CC36" s="11">
        <f>IF(tblParticipants[[#This Row],[EarnWg3Qae]]=1,IFERROR(tblParticipants[[#This Row],[HoursPerWk3Qae]]*tblParticipants[[#This Row],[HrlyWg3Qae]]*13,0),0)</f>
        <v>0</v>
      </c>
      <c r="CD36" s="9">
        <f>IFERROR(IF(SUM(tblParticipants[[#This Row],[EarnWg1Qae]],tblParticipants[[#This Row],[EarnWg2Qae]],tblParticipants[[#This Row],[EarnWg3Qae]])=3,1,0),0)</f>
        <v>0</v>
      </c>
      <c r="CE36" s="12">
        <f>IF(tblParticipants[[#This Row],[EmplAll3Qae]]=1,tblParticipants[[#This Row],[Earnings2Qae]]+tblParticipants[[#This Row],[Earnings3Qae]],0)</f>
        <v>0</v>
      </c>
      <c r="CF36" s="407"/>
    </row>
    <row r="37" spans="1:84" x14ac:dyDescent="0.3">
      <c r="A37" s="19"/>
      <c r="B37" s="107"/>
      <c r="C37" s="20"/>
      <c r="D37" s="20"/>
      <c r="E37" s="26"/>
      <c r="F37" s="26"/>
      <c r="G37" s="26"/>
      <c r="H37" s="26"/>
      <c r="I37" s="26"/>
      <c r="J37" s="26"/>
      <c r="K37" s="26"/>
      <c r="L37" s="26"/>
      <c r="M37" s="20"/>
      <c r="N37" s="26"/>
      <c r="O37" s="22"/>
      <c r="P37" s="21"/>
      <c r="Q37" s="23"/>
      <c r="R37" s="21"/>
      <c r="S37" s="21"/>
      <c r="T37" s="21"/>
      <c r="U37" s="21"/>
      <c r="V37" s="21"/>
      <c r="W37" s="24"/>
      <c r="X37" s="20"/>
      <c r="Y37" s="20"/>
      <c r="Z37" s="21"/>
      <c r="AA37" s="21"/>
      <c r="AB37" s="21"/>
      <c r="AC37" s="21"/>
      <c r="AD37" s="21"/>
      <c r="AE37" s="21"/>
      <c r="AF37" s="21"/>
      <c r="AG37" s="21"/>
      <c r="AH37" s="21"/>
      <c r="AI37" s="25"/>
      <c r="AJ37" s="20"/>
      <c r="AK37" s="21"/>
      <c r="AL37" s="20"/>
      <c r="AM37" s="20"/>
      <c r="AN37" s="20"/>
      <c r="AO37" s="20"/>
      <c r="AP37" s="446"/>
      <c r="AQ37" s="20"/>
      <c r="AR37" s="20"/>
      <c r="AS37" s="20"/>
      <c r="AT37" s="20"/>
      <c r="AU37" s="26"/>
      <c r="AV37" s="98"/>
      <c r="AW37" s="98"/>
      <c r="AX37" s="98"/>
      <c r="AY37" s="98"/>
      <c r="AZ37" s="98"/>
      <c r="BA37" s="217"/>
      <c r="BB37" s="98"/>
      <c r="BC37" s="98"/>
      <c r="BD37" s="98"/>
      <c r="BE37" s="98"/>
      <c r="BF37" s="98"/>
      <c r="BG37" s="219"/>
      <c r="BH37" s="219"/>
      <c r="BI37" s="219"/>
      <c r="BJ37" s="26"/>
      <c r="BK37" s="21"/>
      <c r="BL37" s="21"/>
      <c r="BM37" s="22"/>
      <c r="BN37" s="21"/>
      <c r="BO37" s="21"/>
      <c r="BP37" s="22"/>
      <c r="BQ37" s="21"/>
      <c r="BR37" s="21"/>
      <c r="BS37" s="22"/>
      <c r="BT3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7" s="109" t="str">
        <f>IF(ISNUMBER(tblParticipants[[#This Row],[SvcStartDate]]),IF(AND(tblParticipants[[#This Row],[EnrollQtr]]=1,tblParticipants[[#This Row],[SvcStartDate]]&lt;DATE(conProgYear,7,1)),1,""),"")</f>
        <v/>
      </c>
      <c r="BV3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7" s="232" t="str">
        <f t="shared" ca="1" si="0"/>
        <v/>
      </c>
      <c r="BX37" s="9">
        <f>IF(SUM(IF(tblParticipants[[#This Row],[AmIndOrAkNtv]]=1,1,0),IF(tblParticipants[[#This Row],[Asian]]=1,1,0),IF(tblParticipants[[#This Row],[BlkOrAfAmer]]=1,1,0),IF(tblParticipants[[#This Row],[NtvHawOrPacIsl]]=1,1,0),IF(tblParticipants[[#This Row],[White]]=1,1,0))&gt;1,1,0)</f>
        <v>0</v>
      </c>
      <c r="BY3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7" s="11">
        <f>IF(tblParticipants[[#This Row],[EarnWg2Qae]]=1,IFERROR(tblParticipants[[#This Row],[HoursPerWk2Qae]]*tblParticipants[[#This Row],[HrlyWg2Qae]]*13,0),0)</f>
        <v>0</v>
      </c>
      <c r="CC37" s="11">
        <f>IF(tblParticipants[[#This Row],[EarnWg3Qae]]=1,IFERROR(tblParticipants[[#This Row],[HoursPerWk3Qae]]*tblParticipants[[#This Row],[HrlyWg3Qae]]*13,0),0)</f>
        <v>0</v>
      </c>
      <c r="CD37" s="9">
        <f>IFERROR(IF(SUM(tblParticipants[[#This Row],[EarnWg1Qae]],tblParticipants[[#This Row],[EarnWg2Qae]],tblParticipants[[#This Row],[EarnWg3Qae]])=3,1,0),0)</f>
        <v>0</v>
      </c>
      <c r="CE37" s="12">
        <f>IF(tblParticipants[[#This Row],[EmplAll3Qae]]=1,tblParticipants[[#This Row],[Earnings2Qae]]+tblParticipants[[#This Row],[Earnings3Qae]],0)</f>
        <v>0</v>
      </c>
      <c r="CF37" s="407"/>
    </row>
    <row r="38" spans="1:84" x14ac:dyDescent="0.3">
      <c r="A38" s="19"/>
      <c r="B38" s="107"/>
      <c r="C38" s="20"/>
      <c r="D38" s="20"/>
      <c r="E38" s="26"/>
      <c r="F38" s="26"/>
      <c r="G38" s="26"/>
      <c r="H38" s="26"/>
      <c r="I38" s="26"/>
      <c r="J38" s="26"/>
      <c r="K38" s="26"/>
      <c r="L38" s="26"/>
      <c r="M38" s="20"/>
      <c r="N38" s="26"/>
      <c r="O38" s="22"/>
      <c r="P38" s="21"/>
      <c r="Q38" s="23"/>
      <c r="R38" s="21"/>
      <c r="S38" s="21"/>
      <c r="T38" s="21"/>
      <c r="U38" s="21"/>
      <c r="V38" s="21"/>
      <c r="W38" s="24"/>
      <c r="X38" s="20"/>
      <c r="Y38" s="20"/>
      <c r="Z38" s="21"/>
      <c r="AA38" s="21"/>
      <c r="AB38" s="21"/>
      <c r="AC38" s="21"/>
      <c r="AD38" s="21"/>
      <c r="AE38" s="21"/>
      <c r="AF38" s="21"/>
      <c r="AG38" s="21"/>
      <c r="AH38" s="21"/>
      <c r="AI38" s="25"/>
      <c r="AJ38" s="20"/>
      <c r="AK38" s="21"/>
      <c r="AL38" s="20"/>
      <c r="AM38" s="20"/>
      <c r="AN38" s="20"/>
      <c r="AO38" s="20"/>
      <c r="AP38" s="446"/>
      <c r="AQ38" s="20"/>
      <c r="AR38" s="20"/>
      <c r="AS38" s="20"/>
      <c r="AT38" s="20"/>
      <c r="AU38" s="26"/>
      <c r="AV38" s="98"/>
      <c r="AW38" s="98"/>
      <c r="AX38" s="98"/>
      <c r="AY38" s="98"/>
      <c r="AZ38" s="98"/>
      <c r="BA38" s="217"/>
      <c r="BB38" s="98"/>
      <c r="BC38" s="98"/>
      <c r="BD38" s="98"/>
      <c r="BE38" s="98"/>
      <c r="BF38" s="98"/>
      <c r="BG38" s="219"/>
      <c r="BH38" s="219"/>
      <c r="BI38" s="219"/>
      <c r="BJ38" s="26"/>
      <c r="BK38" s="21"/>
      <c r="BL38" s="21"/>
      <c r="BM38" s="22"/>
      <c r="BN38" s="21"/>
      <c r="BO38" s="21"/>
      <c r="BP38" s="22"/>
      <c r="BQ38" s="21"/>
      <c r="BR38" s="21"/>
      <c r="BS38" s="22"/>
      <c r="BT3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8" s="109" t="str">
        <f>IF(ISNUMBER(tblParticipants[[#This Row],[SvcStartDate]]),IF(AND(tblParticipants[[#This Row],[EnrollQtr]]=1,tblParticipants[[#This Row],[SvcStartDate]]&lt;DATE(conProgYear,7,1)),1,""),"")</f>
        <v/>
      </c>
      <c r="BV3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8" s="232" t="str">
        <f t="shared" ca="1" si="0"/>
        <v/>
      </c>
      <c r="BX38" s="9">
        <f>IF(SUM(IF(tblParticipants[[#This Row],[AmIndOrAkNtv]]=1,1,0),IF(tblParticipants[[#This Row],[Asian]]=1,1,0),IF(tblParticipants[[#This Row],[BlkOrAfAmer]]=1,1,0),IF(tblParticipants[[#This Row],[NtvHawOrPacIsl]]=1,1,0),IF(tblParticipants[[#This Row],[White]]=1,1,0))&gt;1,1,0)</f>
        <v>0</v>
      </c>
      <c r="BY3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8" s="11">
        <f>IF(tblParticipants[[#This Row],[EarnWg2Qae]]=1,IFERROR(tblParticipants[[#This Row],[HoursPerWk2Qae]]*tblParticipants[[#This Row],[HrlyWg2Qae]]*13,0),0)</f>
        <v>0</v>
      </c>
      <c r="CC38" s="11">
        <f>IF(tblParticipants[[#This Row],[EarnWg3Qae]]=1,IFERROR(tblParticipants[[#This Row],[HoursPerWk3Qae]]*tblParticipants[[#This Row],[HrlyWg3Qae]]*13,0),0)</f>
        <v>0</v>
      </c>
      <c r="CD38" s="9">
        <f>IFERROR(IF(SUM(tblParticipants[[#This Row],[EarnWg1Qae]],tblParticipants[[#This Row],[EarnWg2Qae]],tblParticipants[[#This Row],[EarnWg3Qae]])=3,1,0),0)</f>
        <v>0</v>
      </c>
      <c r="CE38" s="12">
        <f>IF(tblParticipants[[#This Row],[EmplAll3Qae]]=1,tblParticipants[[#This Row],[Earnings2Qae]]+tblParticipants[[#This Row],[Earnings3Qae]],0)</f>
        <v>0</v>
      </c>
      <c r="CF38" s="407"/>
    </row>
    <row r="39" spans="1:84" x14ac:dyDescent="0.3">
      <c r="A39" s="19"/>
      <c r="B39" s="107"/>
      <c r="C39" s="20"/>
      <c r="D39" s="20"/>
      <c r="E39" s="26"/>
      <c r="F39" s="26"/>
      <c r="G39" s="26"/>
      <c r="H39" s="26"/>
      <c r="I39" s="26"/>
      <c r="J39" s="26"/>
      <c r="K39" s="26"/>
      <c r="L39" s="26"/>
      <c r="M39" s="20"/>
      <c r="N39" s="26"/>
      <c r="O39" s="22"/>
      <c r="P39" s="21"/>
      <c r="Q39" s="23"/>
      <c r="R39" s="21"/>
      <c r="S39" s="21"/>
      <c r="T39" s="21"/>
      <c r="U39" s="21"/>
      <c r="V39" s="21"/>
      <c r="W39" s="24"/>
      <c r="X39" s="20"/>
      <c r="Y39" s="20"/>
      <c r="Z39" s="21"/>
      <c r="AA39" s="21"/>
      <c r="AB39" s="21"/>
      <c r="AC39" s="21"/>
      <c r="AD39" s="21"/>
      <c r="AE39" s="21"/>
      <c r="AF39" s="21"/>
      <c r="AG39" s="21"/>
      <c r="AH39" s="21"/>
      <c r="AI39" s="25"/>
      <c r="AJ39" s="20"/>
      <c r="AK39" s="21"/>
      <c r="AL39" s="20"/>
      <c r="AM39" s="20"/>
      <c r="AN39" s="20"/>
      <c r="AO39" s="20"/>
      <c r="AP39" s="446"/>
      <c r="AQ39" s="20"/>
      <c r="AR39" s="20"/>
      <c r="AS39" s="20"/>
      <c r="AT39" s="20"/>
      <c r="AU39" s="26"/>
      <c r="AV39" s="98"/>
      <c r="AW39" s="98"/>
      <c r="AX39" s="98"/>
      <c r="AY39" s="98"/>
      <c r="AZ39" s="98"/>
      <c r="BA39" s="217"/>
      <c r="BB39" s="98"/>
      <c r="BC39" s="98"/>
      <c r="BD39" s="98"/>
      <c r="BE39" s="98"/>
      <c r="BF39" s="98"/>
      <c r="BG39" s="219"/>
      <c r="BH39" s="219"/>
      <c r="BI39" s="219"/>
      <c r="BJ39" s="26"/>
      <c r="BK39" s="21"/>
      <c r="BL39" s="21"/>
      <c r="BM39" s="22"/>
      <c r="BN39" s="21"/>
      <c r="BO39" s="21"/>
      <c r="BP39" s="22"/>
      <c r="BQ39" s="21"/>
      <c r="BR39" s="21"/>
      <c r="BS39" s="22"/>
      <c r="BT3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9" s="109" t="str">
        <f>IF(ISNUMBER(tblParticipants[[#This Row],[SvcStartDate]]),IF(AND(tblParticipants[[#This Row],[EnrollQtr]]=1,tblParticipants[[#This Row],[SvcStartDate]]&lt;DATE(conProgYear,7,1)),1,""),"")</f>
        <v/>
      </c>
      <c r="BV3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9" s="232" t="str">
        <f t="shared" ca="1" si="0"/>
        <v/>
      </c>
      <c r="BX39" s="9">
        <f>IF(SUM(IF(tblParticipants[[#This Row],[AmIndOrAkNtv]]=1,1,0),IF(tblParticipants[[#This Row],[Asian]]=1,1,0),IF(tblParticipants[[#This Row],[BlkOrAfAmer]]=1,1,0),IF(tblParticipants[[#This Row],[NtvHawOrPacIsl]]=1,1,0),IF(tblParticipants[[#This Row],[White]]=1,1,0))&gt;1,1,0)</f>
        <v>0</v>
      </c>
      <c r="BY3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9" s="11">
        <f>IF(tblParticipants[[#This Row],[EarnWg2Qae]]=1,IFERROR(tblParticipants[[#This Row],[HoursPerWk2Qae]]*tblParticipants[[#This Row],[HrlyWg2Qae]]*13,0),0)</f>
        <v>0</v>
      </c>
      <c r="CC39" s="11">
        <f>IF(tblParticipants[[#This Row],[EarnWg3Qae]]=1,IFERROR(tblParticipants[[#This Row],[HoursPerWk3Qae]]*tblParticipants[[#This Row],[HrlyWg3Qae]]*13,0),0)</f>
        <v>0</v>
      </c>
      <c r="CD39" s="9">
        <f>IFERROR(IF(SUM(tblParticipants[[#This Row],[EarnWg1Qae]],tblParticipants[[#This Row],[EarnWg2Qae]],tblParticipants[[#This Row],[EarnWg3Qae]])=3,1,0),0)</f>
        <v>0</v>
      </c>
      <c r="CE39" s="12">
        <f>IF(tblParticipants[[#This Row],[EmplAll3Qae]]=1,tblParticipants[[#This Row],[Earnings2Qae]]+tblParticipants[[#This Row],[Earnings3Qae]],0)</f>
        <v>0</v>
      </c>
      <c r="CF39" s="407"/>
    </row>
    <row r="40" spans="1:84" x14ac:dyDescent="0.3">
      <c r="A40" s="19"/>
      <c r="B40" s="19"/>
      <c r="C40" s="20"/>
      <c r="D40" s="20"/>
      <c r="E40" s="26"/>
      <c r="F40" s="26"/>
      <c r="G40" s="26"/>
      <c r="H40" s="26"/>
      <c r="I40" s="26"/>
      <c r="J40" s="26"/>
      <c r="K40" s="26"/>
      <c r="L40" s="26"/>
      <c r="M40" s="20"/>
      <c r="N40" s="26"/>
      <c r="O40" s="22"/>
      <c r="P40" s="21"/>
      <c r="Q40" s="23"/>
      <c r="R40" s="21"/>
      <c r="S40" s="21"/>
      <c r="T40" s="21"/>
      <c r="U40" s="21"/>
      <c r="V40" s="21"/>
      <c r="W40" s="24"/>
      <c r="X40" s="20"/>
      <c r="Y40" s="20"/>
      <c r="Z40" s="21"/>
      <c r="AA40" s="21"/>
      <c r="AB40" s="21"/>
      <c r="AC40" s="21"/>
      <c r="AD40" s="21"/>
      <c r="AE40" s="21"/>
      <c r="AF40" s="21"/>
      <c r="AG40" s="21"/>
      <c r="AH40" s="21"/>
      <c r="AI40" s="25"/>
      <c r="AJ40" s="20"/>
      <c r="AK40" s="21"/>
      <c r="AL40" s="20"/>
      <c r="AM40" s="20"/>
      <c r="AN40" s="20"/>
      <c r="AO40" s="20"/>
      <c r="AP40" s="446"/>
      <c r="AQ40" s="20"/>
      <c r="AR40" s="20"/>
      <c r="AS40" s="20"/>
      <c r="AT40" s="20"/>
      <c r="AU40" s="26"/>
      <c r="AV40" s="98"/>
      <c r="AW40" s="98"/>
      <c r="AX40" s="98"/>
      <c r="AY40" s="98"/>
      <c r="AZ40" s="98"/>
      <c r="BA40" s="217"/>
      <c r="BB40" s="98"/>
      <c r="BC40" s="98"/>
      <c r="BD40" s="98"/>
      <c r="BE40" s="98"/>
      <c r="BF40" s="98"/>
      <c r="BG40" s="219"/>
      <c r="BH40" s="219"/>
      <c r="BI40" s="219"/>
      <c r="BJ40" s="26"/>
      <c r="BK40" s="21"/>
      <c r="BL40" s="21"/>
      <c r="BM40" s="22"/>
      <c r="BN40" s="21"/>
      <c r="BO40" s="21"/>
      <c r="BP40" s="22"/>
      <c r="BQ40" s="21"/>
      <c r="BR40" s="21"/>
      <c r="BS40" s="22"/>
      <c r="BT4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0" s="109" t="str">
        <f>IF(ISNUMBER(tblParticipants[[#This Row],[SvcStartDate]]),IF(AND(tblParticipants[[#This Row],[EnrollQtr]]=1,tblParticipants[[#This Row],[SvcStartDate]]&lt;DATE(conProgYear,7,1)),1,""),"")</f>
        <v/>
      </c>
      <c r="BV4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0" s="232" t="str">
        <f t="shared" ca="1" si="0"/>
        <v/>
      </c>
      <c r="BX40" s="9">
        <f>IF(SUM(IF(tblParticipants[[#This Row],[AmIndOrAkNtv]]=1,1,0),IF(tblParticipants[[#This Row],[Asian]]=1,1,0),IF(tblParticipants[[#This Row],[BlkOrAfAmer]]=1,1,0),IF(tblParticipants[[#This Row],[NtvHawOrPacIsl]]=1,1,0),IF(tblParticipants[[#This Row],[White]]=1,1,0))&gt;1,1,0)</f>
        <v>0</v>
      </c>
      <c r="BY4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0" s="11">
        <f>IF(tblParticipants[[#This Row],[EarnWg2Qae]]=1,IFERROR(tblParticipants[[#This Row],[HoursPerWk2Qae]]*tblParticipants[[#This Row],[HrlyWg2Qae]]*13,0),0)</f>
        <v>0</v>
      </c>
      <c r="CC40" s="11">
        <f>IF(tblParticipants[[#This Row],[EarnWg3Qae]]=1,IFERROR(tblParticipants[[#This Row],[HoursPerWk3Qae]]*tblParticipants[[#This Row],[HrlyWg3Qae]]*13,0),0)</f>
        <v>0</v>
      </c>
      <c r="CD40" s="9">
        <f>IFERROR(IF(SUM(tblParticipants[[#This Row],[EarnWg1Qae]],tblParticipants[[#This Row],[EarnWg2Qae]],tblParticipants[[#This Row],[EarnWg3Qae]])=3,1,0),0)</f>
        <v>0</v>
      </c>
      <c r="CE40" s="12">
        <f>IF(tblParticipants[[#This Row],[EmplAll3Qae]]=1,tblParticipants[[#This Row],[Earnings2Qae]]+tblParticipants[[#This Row],[Earnings3Qae]],0)</f>
        <v>0</v>
      </c>
      <c r="CF40" s="407"/>
    </row>
    <row r="41" spans="1:84" x14ac:dyDescent="0.3">
      <c r="A41" s="19"/>
      <c r="B41" s="19"/>
      <c r="C41" s="20"/>
      <c r="D41" s="20"/>
      <c r="E41" s="26"/>
      <c r="F41" s="26"/>
      <c r="G41" s="26"/>
      <c r="H41" s="26"/>
      <c r="I41" s="26"/>
      <c r="J41" s="26"/>
      <c r="K41" s="26"/>
      <c r="L41" s="26"/>
      <c r="M41" s="20"/>
      <c r="N41" s="26"/>
      <c r="O41" s="22"/>
      <c r="P41" s="21"/>
      <c r="Q41" s="23"/>
      <c r="R41" s="21"/>
      <c r="S41" s="21"/>
      <c r="T41" s="21"/>
      <c r="U41" s="21"/>
      <c r="V41" s="21"/>
      <c r="W41" s="24"/>
      <c r="X41" s="20"/>
      <c r="Y41" s="20"/>
      <c r="Z41" s="21"/>
      <c r="AA41" s="21"/>
      <c r="AB41" s="21"/>
      <c r="AC41" s="21"/>
      <c r="AD41" s="21"/>
      <c r="AE41" s="21"/>
      <c r="AF41" s="21"/>
      <c r="AG41" s="21"/>
      <c r="AH41" s="21"/>
      <c r="AI41" s="25"/>
      <c r="AJ41" s="20"/>
      <c r="AK41" s="21"/>
      <c r="AL41" s="20"/>
      <c r="AM41" s="20"/>
      <c r="AN41" s="20"/>
      <c r="AO41" s="20"/>
      <c r="AP41" s="446"/>
      <c r="AQ41" s="20"/>
      <c r="AR41" s="20"/>
      <c r="AS41" s="20"/>
      <c r="AT41" s="20"/>
      <c r="AU41" s="26"/>
      <c r="AV41" s="98"/>
      <c r="AW41" s="98"/>
      <c r="AX41" s="98"/>
      <c r="AY41" s="98"/>
      <c r="AZ41" s="98"/>
      <c r="BA41" s="217"/>
      <c r="BB41" s="98"/>
      <c r="BC41" s="98"/>
      <c r="BD41" s="98"/>
      <c r="BE41" s="98"/>
      <c r="BF41" s="98"/>
      <c r="BG41" s="219"/>
      <c r="BH41" s="219"/>
      <c r="BI41" s="219"/>
      <c r="BJ41" s="26"/>
      <c r="BK41" s="21"/>
      <c r="BL41" s="21"/>
      <c r="BM41" s="22"/>
      <c r="BN41" s="21"/>
      <c r="BO41" s="21"/>
      <c r="BP41" s="22"/>
      <c r="BQ41" s="21"/>
      <c r="BR41" s="21"/>
      <c r="BS41" s="22"/>
      <c r="BT4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1" s="109" t="str">
        <f>IF(ISNUMBER(tblParticipants[[#This Row],[SvcStartDate]]),IF(AND(tblParticipants[[#This Row],[EnrollQtr]]=1,tblParticipants[[#This Row],[SvcStartDate]]&lt;DATE(conProgYear,7,1)),1,""),"")</f>
        <v/>
      </c>
      <c r="BV4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1" s="232" t="str">
        <f t="shared" ca="1" si="0"/>
        <v/>
      </c>
      <c r="BX41" s="9">
        <f>IF(SUM(IF(tblParticipants[[#This Row],[AmIndOrAkNtv]]=1,1,0),IF(tblParticipants[[#This Row],[Asian]]=1,1,0),IF(tblParticipants[[#This Row],[BlkOrAfAmer]]=1,1,0),IF(tblParticipants[[#This Row],[NtvHawOrPacIsl]]=1,1,0),IF(tblParticipants[[#This Row],[White]]=1,1,0))&gt;1,1,0)</f>
        <v>0</v>
      </c>
      <c r="BY4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1" s="11">
        <f>IF(tblParticipants[[#This Row],[EarnWg2Qae]]=1,IFERROR(tblParticipants[[#This Row],[HoursPerWk2Qae]]*tblParticipants[[#This Row],[HrlyWg2Qae]]*13,0),0)</f>
        <v>0</v>
      </c>
      <c r="CC41" s="11">
        <f>IF(tblParticipants[[#This Row],[EarnWg3Qae]]=1,IFERROR(tblParticipants[[#This Row],[HoursPerWk3Qae]]*tblParticipants[[#This Row],[HrlyWg3Qae]]*13,0),0)</f>
        <v>0</v>
      </c>
      <c r="CD41" s="9">
        <f>IFERROR(IF(SUM(tblParticipants[[#This Row],[EarnWg1Qae]],tblParticipants[[#This Row],[EarnWg2Qae]],tblParticipants[[#This Row],[EarnWg3Qae]])=3,1,0),0)</f>
        <v>0</v>
      </c>
      <c r="CE41" s="12">
        <f>IF(tblParticipants[[#This Row],[EmplAll3Qae]]=1,tblParticipants[[#This Row],[Earnings2Qae]]+tblParticipants[[#This Row],[Earnings3Qae]],0)</f>
        <v>0</v>
      </c>
      <c r="CF41" s="407"/>
    </row>
    <row r="42" spans="1:84" x14ac:dyDescent="0.3">
      <c r="A42" s="19"/>
      <c r="B42" s="19"/>
      <c r="C42" s="20"/>
      <c r="D42" s="20"/>
      <c r="E42" s="26"/>
      <c r="F42" s="26"/>
      <c r="G42" s="26"/>
      <c r="H42" s="26"/>
      <c r="I42" s="26"/>
      <c r="J42" s="26"/>
      <c r="K42" s="26"/>
      <c r="L42" s="26"/>
      <c r="M42" s="20"/>
      <c r="N42" s="26"/>
      <c r="O42" s="22"/>
      <c r="P42" s="21"/>
      <c r="Q42" s="23"/>
      <c r="R42" s="21"/>
      <c r="S42" s="21"/>
      <c r="T42" s="21"/>
      <c r="U42" s="21"/>
      <c r="V42" s="21"/>
      <c r="W42" s="24"/>
      <c r="X42" s="20"/>
      <c r="Y42" s="20"/>
      <c r="Z42" s="21"/>
      <c r="AA42" s="21"/>
      <c r="AB42" s="21"/>
      <c r="AC42" s="21"/>
      <c r="AD42" s="21"/>
      <c r="AE42" s="21"/>
      <c r="AF42" s="21"/>
      <c r="AG42" s="21"/>
      <c r="AH42" s="21"/>
      <c r="AI42" s="25"/>
      <c r="AJ42" s="20"/>
      <c r="AK42" s="21"/>
      <c r="AL42" s="20"/>
      <c r="AM42" s="20"/>
      <c r="AN42" s="20"/>
      <c r="AO42" s="20"/>
      <c r="AP42" s="446"/>
      <c r="AQ42" s="20"/>
      <c r="AR42" s="20"/>
      <c r="AS42" s="20"/>
      <c r="AT42" s="20"/>
      <c r="AU42" s="26"/>
      <c r="AV42" s="98"/>
      <c r="AW42" s="98"/>
      <c r="AX42" s="98"/>
      <c r="AY42" s="98"/>
      <c r="AZ42" s="98"/>
      <c r="BA42" s="217"/>
      <c r="BB42" s="98"/>
      <c r="BC42" s="98"/>
      <c r="BD42" s="98"/>
      <c r="BE42" s="98"/>
      <c r="BF42" s="98"/>
      <c r="BG42" s="219"/>
      <c r="BH42" s="219"/>
      <c r="BI42" s="219"/>
      <c r="BJ42" s="26"/>
      <c r="BK42" s="21"/>
      <c r="BL42" s="21"/>
      <c r="BM42" s="22"/>
      <c r="BN42" s="21"/>
      <c r="BO42" s="21"/>
      <c r="BP42" s="22"/>
      <c r="BQ42" s="21"/>
      <c r="BR42" s="21"/>
      <c r="BS42" s="22"/>
      <c r="BT4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2" s="109" t="str">
        <f>IF(ISNUMBER(tblParticipants[[#This Row],[SvcStartDate]]),IF(AND(tblParticipants[[#This Row],[EnrollQtr]]=1,tblParticipants[[#This Row],[SvcStartDate]]&lt;DATE(conProgYear,7,1)),1,""),"")</f>
        <v/>
      </c>
      <c r="BV4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2" s="232" t="str">
        <f t="shared" ca="1" si="0"/>
        <v/>
      </c>
      <c r="BX42" s="9">
        <f>IF(SUM(IF(tblParticipants[[#This Row],[AmIndOrAkNtv]]=1,1,0),IF(tblParticipants[[#This Row],[Asian]]=1,1,0),IF(tblParticipants[[#This Row],[BlkOrAfAmer]]=1,1,0),IF(tblParticipants[[#This Row],[NtvHawOrPacIsl]]=1,1,0),IF(tblParticipants[[#This Row],[White]]=1,1,0))&gt;1,1,0)</f>
        <v>0</v>
      </c>
      <c r="BY4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2" s="11">
        <f>IF(tblParticipants[[#This Row],[EarnWg2Qae]]=1,IFERROR(tblParticipants[[#This Row],[HoursPerWk2Qae]]*tblParticipants[[#This Row],[HrlyWg2Qae]]*13,0),0)</f>
        <v>0</v>
      </c>
      <c r="CC42" s="11">
        <f>IF(tblParticipants[[#This Row],[EarnWg3Qae]]=1,IFERROR(tblParticipants[[#This Row],[HoursPerWk3Qae]]*tblParticipants[[#This Row],[HrlyWg3Qae]]*13,0),0)</f>
        <v>0</v>
      </c>
      <c r="CD42" s="9">
        <f>IFERROR(IF(SUM(tblParticipants[[#This Row],[EarnWg1Qae]],tblParticipants[[#This Row],[EarnWg2Qae]],tblParticipants[[#This Row],[EarnWg3Qae]])=3,1,0),0)</f>
        <v>0</v>
      </c>
      <c r="CE42" s="12">
        <f>IF(tblParticipants[[#This Row],[EmplAll3Qae]]=1,tblParticipants[[#This Row],[Earnings2Qae]]+tblParticipants[[#This Row],[Earnings3Qae]],0)</f>
        <v>0</v>
      </c>
      <c r="CF42" s="407"/>
    </row>
    <row r="43" spans="1:84" x14ac:dyDescent="0.3">
      <c r="A43" s="19"/>
      <c r="B43" s="19"/>
      <c r="C43" s="20"/>
      <c r="D43" s="20"/>
      <c r="E43" s="26"/>
      <c r="F43" s="26"/>
      <c r="G43" s="26"/>
      <c r="H43" s="26"/>
      <c r="I43" s="26"/>
      <c r="J43" s="26"/>
      <c r="K43" s="26"/>
      <c r="L43" s="26"/>
      <c r="M43" s="20"/>
      <c r="N43" s="26"/>
      <c r="O43" s="22"/>
      <c r="P43" s="21"/>
      <c r="Q43" s="23"/>
      <c r="R43" s="21"/>
      <c r="S43" s="21"/>
      <c r="T43" s="21"/>
      <c r="U43" s="21"/>
      <c r="V43" s="21"/>
      <c r="W43" s="24"/>
      <c r="X43" s="20"/>
      <c r="Y43" s="20"/>
      <c r="Z43" s="21"/>
      <c r="AA43" s="21"/>
      <c r="AB43" s="21"/>
      <c r="AC43" s="21"/>
      <c r="AD43" s="21"/>
      <c r="AE43" s="21"/>
      <c r="AF43" s="21"/>
      <c r="AG43" s="21"/>
      <c r="AH43" s="21"/>
      <c r="AI43" s="25"/>
      <c r="AJ43" s="20"/>
      <c r="AK43" s="21"/>
      <c r="AL43" s="20"/>
      <c r="AM43" s="20"/>
      <c r="AN43" s="20"/>
      <c r="AO43" s="20"/>
      <c r="AP43" s="446"/>
      <c r="AQ43" s="20"/>
      <c r="AR43" s="20"/>
      <c r="AS43" s="20"/>
      <c r="AT43" s="20"/>
      <c r="AU43" s="26"/>
      <c r="AV43" s="98"/>
      <c r="AW43" s="98"/>
      <c r="AX43" s="98"/>
      <c r="AY43" s="98"/>
      <c r="AZ43" s="98"/>
      <c r="BA43" s="217"/>
      <c r="BB43" s="98"/>
      <c r="BC43" s="98"/>
      <c r="BD43" s="98"/>
      <c r="BE43" s="98"/>
      <c r="BF43" s="98"/>
      <c r="BG43" s="219"/>
      <c r="BH43" s="219"/>
      <c r="BI43" s="219"/>
      <c r="BJ43" s="26"/>
      <c r="BK43" s="21"/>
      <c r="BL43" s="21"/>
      <c r="BM43" s="22"/>
      <c r="BN43" s="21"/>
      <c r="BO43" s="21"/>
      <c r="BP43" s="22"/>
      <c r="BQ43" s="21"/>
      <c r="BR43" s="21"/>
      <c r="BS43" s="22"/>
      <c r="BT4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3" s="109" t="str">
        <f>IF(ISNUMBER(tblParticipants[[#This Row],[SvcStartDate]]),IF(AND(tblParticipants[[#This Row],[EnrollQtr]]=1,tblParticipants[[#This Row],[SvcStartDate]]&lt;DATE(conProgYear,7,1)),1,""),"")</f>
        <v/>
      </c>
      <c r="BV4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3" s="232" t="str">
        <f t="shared" ca="1" si="0"/>
        <v/>
      </c>
      <c r="BX43" s="9">
        <f>IF(SUM(IF(tblParticipants[[#This Row],[AmIndOrAkNtv]]=1,1,0),IF(tblParticipants[[#This Row],[Asian]]=1,1,0),IF(tblParticipants[[#This Row],[BlkOrAfAmer]]=1,1,0),IF(tblParticipants[[#This Row],[NtvHawOrPacIsl]]=1,1,0),IF(tblParticipants[[#This Row],[White]]=1,1,0))&gt;1,1,0)</f>
        <v>0</v>
      </c>
      <c r="BY4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3" s="11">
        <f>IF(tblParticipants[[#This Row],[EarnWg2Qae]]=1,IFERROR(tblParticipants[[#This Row],[HoursPerWk2Qae]]*tblParticipants[[#This Row],[HrlyWg2Qae]]*13,0),0)</f>
        <v>0</v>
      </c>
      <c r="CC43" s="11">
        <f>IF(tblParticipants[[#This Row],[EarnWg3Qae]]=1,IFERROR(tblParticipants[[#This Row],[HoursPerWk3Qae]]*tblParticipants[[#This Row],[HrlyWg3Qae]]*13,0),0)</f>
        <v>0</v>
      </c>
      <c r="CD43" s="9">
        <f>IFERROR(IF(SUM(tblParticipants[[#This Row],[EarnWg1Qae]],tblParticipants[[#This Row],[EarnWg2Qae]],tblParticipants[[#This Row],[EarnWg3Qae]])=3,1,0),0)</f>
        <v>0</v>
      </c>
      <c r="CE43" s="12">
        <f>IF(tblParticipants[[#This Row],[EmplAll3Qae]]=1,tblParticipants[[#This Row],[Earnings2Qae]]+tblParticipants[[#This Row],[Earnings3Qae]],0)</f>
        <v>0</v>
      </c>
      <c r="CF43" s="407"/>
    </row>
    <row r="44" spans="1:84" x14ac:dyDescent="0.3">
      <c r="A44" s="19"/>
      <c r="B44" s="19"/>
      <c r="C44" s="20"/>
      <c r="D44" s="20"/>
      <c r="E44" s="26"/>
      <c r="F44" s="26"/>
      <c r="G44" s="26"/>
      <c r="H44" s="26"/>
      <c r="I44" s="26"/>
      <c r="J44" s="26"/>
      <c r="K44" s="26"/>
      <c r="L44" s="26"/>
      <c r="M44" s="20"/>
      <c r="N44" s="26"/>
      <c r="O44" s="22"/>
      <c r="P44" s="21"/>
      <c r="Q44" s="23"/>
      <c r="R44" s="21"/>
      <c r="S44" s="21"/>
      <c r="T44" s="21"/>
      <c r="U44" s="21"/>
      <c r="V44" s="21"/>
      <c r="W44" s="24"/>
      <c r="X44" s="20"/>
      <c r="Y44" s="20"/>
      <c r="Z44" s="21"/>
      <c r="AA44" s="21"/>
      <c r="AB44" s="21"/>
      <c r="AC44" s="21"/>
      <c r="AD44" s="21"/>
      <c r="AE44" s="21"/>
      <c r="AF44" s="21"/>
      <c r="AG44" s="21"/>
      <c r="AH44" s="21"/>
      <c r="AI44" s="25"/>
      <c r="AJ44" s="20"/>
      <c r="AK44" s="21"/>
      <c r="AL44" s="20"/>
      <c r="AM44" s="20"/>
      <c r="AN44" s="20"/>
      <c r="AO44" s="20"/>
      <c r="AP44" s="446"/>
      <c r="AQ44" s="20"/>
      <c r="AR44" s="20"/>
      <c r="AS44" s="20"/>
      <c r="AT44" s="20"/>
      <c r="AU44" s="26"/>
      <c r="AV44" s="98"/>
      <c r="AW44" s="98"/>
      <c r="AX44" s="98"/>
      <c r="AY44" s="98"/>
      <c r="AZ44" s="98"/>
      <c r="BA44" s="217"/>
      <c r="BB44" s="98"/>
      <c r="BC44" s="98"/>
      <c r="BD44" s="98"/>
      <c r="BE44" s="98"/>
      <c r="BF44" s="98"/>
      <c r="BG44" s="219"/>
      <c r="BH44" s="219"/>
      <c r="BI44" s="219"/>
      <c r="BJ44" s="26"/>
      <c r="BK44" s="21"/>
      <c r="BL44" s="21"/>
      <c r="BM44" s="22"/>
      <c r="BN44" s="21"/>
      <c r="BO44" s="21"/>
      <c r="BP44" s="22"/>
      <c r="BQ44" s="21"/>
      <c r="BR44" s="21"/>
      <c r="BS44" s="22"/>
      <c r="BT4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4" s="109" t="str">
        <f>IF(ISNUMBER(tblParticipants[[#This Row],[SvcStartDate]]),IF(AND(tblParticipants[[#This Row],[EnrollQtr]]=1,tblParticipants[[#This Row],[SvcStartDate]]&lt;DATE(conProgYear,7,1)),1,""),"")</f>
        <v/>
      </c>
      <c r="BV4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4" s="232" t="str">
        <f t="shared" ca="1" si="0"/>
        <v/>
      </c>
      <c r="BX44" s="9">
        <f>IF(SUM(IF(tblParticipants[[#This Row],[AmIndOrAkNtv]]=1,1,0),IF(tblParticipants[[#This Row],[Asian]]=1,1,0),IF(tblParticipants[[#This Row],[BlkOrAfAmer]]=1,1,0),IF(tblParticipants[[#This Row],[NtvHawOrPacIsl]]=1,1,0),IF(tblParticipants[[#This Row],[White]]=1,1,0))&gt;1,1,0)</f>
        <v>0</v>
      </c>
      <c r="BY4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4" s="11">
        <f>IF(tblParticipants[[#This Row],[EarnWg2Qae]]=1,IFERROR(tblParticipants[[#This Row],[HoursPerWk2Qae]]*tblParticipants[[#This Row],[HrlyWg2Qae]]*13,0),0)</f>
        <v>0</v>
      </c>
      <c r="CC44" s="11">
        <f>IF(tblParticipants[[#This Row],[EarnWg3Qae]]=1,IFERROR(tblParticipants[[#This Row],[HoursPerWk3Qae]]*tblParticipants[[#This Row],[HrlyWg3Qae]]*13,0),0)</f>
        <v>0</v>
      </c>
      <c r="CD44" s="9">
        <f>IFERROR(IF(SUM(tblParticipants[[#This Row],[EarnWg1Qae]],tblParticipants[[#This Row],[EarnWg2Qae]],tblParticipants[[#This Row],[EarnWg3Qae]])=3,1,0),0)</f>
        <v>0</v>
      </c>
      <c r="CE44" s="12">
        <f>IF(tblParticipants[[#This Row],[EmplAll3Qae]]=1,tblParticipants[[#This Row],[Earnings2Qae]]+tblParticipants[[#This Row],[Earnings3Qae]],0)</f>
        <v>0</v>
      </c>
      <c r="CF44" s="407"/>
    </row>
    <row r="45" spans="1:84" x14ac:dyDescent="0.3">
      <c r="A45" s="19"/>
      <c r="B45" s="19"/>
      <c r="C45" s="20"/>
      <c r="D45" s="20"/>
      <c r="E45" s="26"/>
      <c r="F45" s="26"/>
      <c r="G45" s="26"/>
      <c r="H45" s="26"/>
      <c r="I45" s="26"/>
      <c r="J45" s="26"/>
      <c r="K45" s="26"/>
      <c r="L45" s="26"/>
      <c r="M45" s="20"/>
      <c r="N45" s="26"/>
      <c r="O45" s="22"/>
      <c r="P45" s="21"/>
      <c r="Q45" s="23"/>
      <c r="R45" s="21"/>
      <c r="S45" s="21"/>
      <c r="T45" s="21"/>
      <c r="U45" s="21"/>
      <c r="V45" s="21"/>
      <c r="W45" s="24"/>
      <c r="X45" s="20"/>
      <c r="Y45" s="20"/>
      <c r="Z45" s="21"/>
      <c r="AA45" s="21"/>
      <c r="AB45" s="21"/>
      <c r="AC45" s="21"/>
      <c r="AD45" s="21"/>
      <c r="AE45" s="21"/>
      <c r="AF45" s="21"/>
      <c r="AG45" s="21"/>
      <c r="AH45" s="21"/>
      <c r="AI45" s="25"/>
      <c r="AJ45" s="20"/>
      <c r="AK45" s="21"/>
      <c r="AL45" s="20"/>
      <c r="AM45" s="20"/>
      <c r="AN45" s="20"/>
      <c r="AO45" s="20"/>
      <c r="AP45" s="446"/>
      <c r="AQ45" s="20"/>
      <c r="AR45" s="20"/>
      <c r="AS45" s="20"/>
      <c r="AT45" s="20"/>
      <c r="AU45" s="26"/>
      <c r="AV45" s="98"/>
      <c r="AW45" s="98"/>
      <c r="AX45" s="98"/>
      <c r="AY45" s="98"/>
      <c r="AZ45" s="98"/>
      <c r="BA45" s="217"/>
      <c r="BB45" s="98"/>
      <c r="BC45" s="98"/>
      <c r="BD45" s="98"/>
      <c r="BE45" s="98"/>
      <c r="BF45" s="98"/>
      <c r="BG45" s="219"/>
      <c r="BH45" s="219"/>
      <c r="BI45" s="219"/>
      <c r="BJ45" s="26"/>
      <c r="BK45" s="21"/>
      <c r="BL45" s="21"/>
      <c r="BM45" s="22"/>
      <c r="BN45" s="21"/>
      <c r="BO45" s="21"/>
      <c r="BP45" s="22"/>
      <c r="BQ45" s="21"/>
      <c r="BR45" s="21"/>
      <c r="BS45" s="22"/>
      <c r="BT4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5" s="109" t="str">
        <f>IF(ISNUMBER(tblParticipants[[#This Row],[SvcStartDate]]),IF(AND(tblParticipants[[#This Row],[EnrollQtr]]=1,tblParticipants[[#This Row],[SvcStartDate]]&lt;DATE(conProgYear,7,1)),1,""),"")</f>
        <v/>
      </c>
      <c r="BV4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5" s="232" t="str">
        <f t="shared" ca="1" si="0"/>
        <v/>
      </c>
      <c r="BX45" s="9">
        <f>IF(SUM(IF(tblParticipants[[#This Row],[AmIndOrAkNtv]]=1,1,0),IF(tblParticipants[[#This Row],[Asian]]=1,1,0),IF(tblParticipants[[#This Row],[BlkOrAfAmer]]=1,1,0),IF(tblParticipants[[#This Row],[NtvHawOrPacIsl]]=1,1,0),IF(tblParticipants[[#This Row],[White]]=1,1,0))&gt;1,1,0)</f>
        <v>0</v>
      </c>
      <c r="BY4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5" s="11">
        <f>IF(tblParticipants[[#This Row],[EarnWg2Qae]]=1,IFERROR(tblParticipants[[#This Row],[HoursPerWk2Qae]]*tblParticipants[[#This Row],[HrlyWg2Qae]]*13,0),0)</f>
        <v>0</v>
      </c>
      <c r="CC45" s="11">
        <f>IF(tblParticipants[[#This Row],[EarnWg3Qae]]=1,IFERROR(tblParticipants[[#This Row],[HoursPerWk3Qae]]*tblParticipants[[#This Row],[HrlyWg3Qae]]*13,0),0)</f>
        <v>0</v>
      </c>
      <c r="CD45" s="9">
        <f>IFERROR(IF(SUM(tblParticipants[[#This Row],[EarnWg1Qae]],tblParticipants[[#This Row],[EarnWg2Qae]],tblParticipants[[#This Row],[EarnWg3Qae]])=3,1,0),0)</f>
        <v>0</v>
      </c>
      <c r="CE45" s="12">
        <f>IF(tblParticipants[[#This Row],[EmplAll3Qae]]=1,tblParticipants[[#This Row],[Earnings2Qae]]+tblParticipants[[#This Row],[Earnings3Qae]],0)</f>
        <v>0</v>
      </c>
      <c r="CF45" s="407"/>
    </row>
    <row r="46" spans="1:84" x14ac:dyDescent="0.3">
      <c r="A46" s="19"/>
      <c r="B46" s="19"/>
      <c r="C46" s="20"/>
      <c r="D46" s="20"/>
      <c r="E46" s="26"/>
      <c r="F46" s="26"/>
      <c r="G46" s="26"/>
      <c r="H46" s="26"/>
      <c r="I46" s="26"/>
      <c r="J46" s="26"/>
      <c r="K46" s="26"/>
      <c r="L46" s="26"/>
      <c r="M46" s="20"/>
      <c r="N46" s="26"/>
      <c r="O46" s="22"/>
      <c r="P46" s="21"/>
      <c r="Q46" s="23"/>
      <c r="R46" s="21"/>
      <c r="S46" s="21"/>
      <c r="T46" s="21"/>
      <c r="U46" s="21"/>
      <c r="V46" s="21"/>
      <c r="W46" s="24"/>
      <c r="X46" s="20"/>
      <c r="Y46" s="20"/>
      <c r="Z46" s="21"/>
      <c r="AA46" s="21"/>
      <c r="AB46" s="21"/>
      <c r="AC46" s="21"/>
      <c r="AD46" s="21"/>
      <c r="AE46" s="21"/>
      <c r="AF46" s="21"/>
      <c r="AG46" s="21"/>
      <c r="AH46" s="21"/>
      <c r="AI46" s="25"/>
      <c r="AJ46" s="20"/>
      <c r="AK46" s="21"/>
      <c r="AL46" s="20"/>
      <c r="AM46" s="20"/>
      <c r="AN46" s="20"/>
      <c r="AO46" s="20"/>
      <c r="AP46" s="446"/>
      <c r="AQ46" s="20"/>
      <c r="AR46" s="20"/>
      <c r="AS46" s="20"/>
      <c r="AT46" s="20"/>
      <c r="AU46" s="26"/>
      <c r="AV46" s="98"/>
      <c r="AW46" s="98"/>
      <c r="AX46" s="98"/>
      <c r="AY46" s="98"/>
      <c r="AZ46" s="98"/>
      <c r="BA46" s="217"/>
      <c r="BB46" s="98"/>
      <c r="BC46" s="98"/>
      <c r="BD46" s="98"/>
      <c r="BE46" s="98"/>
      <c r="BF46" s="98"/>
      <c r="BG46" s="219"/>
      <c r="BH46" s="219"/>
      <c r="BI46" s="219"/>
      <c r="BJ46" s="26"/>
      <c r="BK46" s="21"/>
      <c r="BL46" s="21"/>
      <c r="BM46" s="22"/>
      <c r="BN46" s="21"/>
      <c r="BO46" s="21"/>
      <c r="BP46" s="22"/>
      <c r="BQ46" s="21"/>
      <c r="BR46" s="21"/>
      <c r="BS46" s="22"/>
      <c r="BT4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6" s="109" t="str">
        <f>IF(ISNUMBER(tblParticipants[[#This Row],[SvcStartDate]]),IF(AND(tblParticipants[[#This Row],[EnrollQtr]]=1,tblParticipants[[#This Row],[SvcStartDate]]&lt;DATE(conProgYear,7,1)),1,""),"")</f>
        <v/>
      </c>
      <c r="BV4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6" s="232" t="str">
        <f t="shared" ca="1" si="0"/>
        <v/>
      </c>
      <c r="BX46" s="9">
        <f>IF(SUM(IF(tblParticipants[[#This Row],[AmIndOrAkNtv]]=1,1,0),IF(tblParticipants[[#This Row],[Asian]]=1,1,0),IF(tblParticipants[[#This Row],[BlkOrAfAmer]]=1,1,0),IF(tblParticipants[[#This Row],[NtvHawOrPacIsl]]=1,1,0),IF(tblParticipants[[#This Row],[White]]=1,1,0))&gt;1,1,0)</f>
        <v>0</v>
      </c>
      <c r="BY4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6" s="11">
        <f>IF(tblParticipants[[#This Row],[EarnWg2Qae]]=1,IFERROR(tblParticipants[[#This Row],[HoursPerWk2Qae]]*tblParticipants[[#This Row],[HrlyWg2Qae]]*13,0),0)</f>
        <v>0</v>
      </c>
      <c r="CC46" s="11">
        <f>IF(tblParticipants[[#This Row],[EarnWg3Qae]]=1,IFERROR(tblParticipants[[#This Row],[HoursPerWk3Qae]]*tblParticipants[[#This Row],[HrlyWg3Qae]]*13,0),0)</f>
        <v>0</v>
      </c>
      <c r="CD46" s="9">
        <f>IFERROR(IF(SUM(tblParticipants[[#This Row],[EarnWg1Qae]],tblParticipants[[#This Row],[EarnWg2Qae]],tblParticipants[[#This Row],[EarnWg3Qae]])=3,1,0),0)</f>
        <v>0</v>
      </c>
      <c r="CE46" s="12">
        <f>IF(tblParticipants[[#This Row],[EmplAll3Qae]]=1,tblParticipants[[#This Row],[Earnings2Qae]]+tblParticipants[[#This Row],[Earnings3Qae]],0)</f>
        <v>0</v>
      </c>
      <c r="CF46" s="407"/>
    </row>
    <row r="47" spans="1:84" x14ac:dyDescent="0.3">
      <c r="A47" s="19"/>
      <c r="B47" s="107"/>
      <c r="C47" s="20"/>
      <c r="D47" s="20"/>
      <c r="E47" s="26"/>
      <c r="F47" s="26"/>
      <c r="G47" s="26"/>
      <c r="H47" s="26"/>
      <c r="I47" s="26"/>
      <c r="J47" s="26"/>
      <c r="K47" s="26"/>
      <c r="L47" s="26"/>
      <c r="M47" s="20"/>
      <c r="N47" s="26"/>
      <c r="O47" s="22"/>
      <c r="P47" s="21"/>
      <c r="Q47" s="23"/>
      <c r="R47" s="21"/>
      <c r="S47" s="21"/>
      <c r="T47" s="21"/>
      <c r="U47" s="21"/>
      <c r="V47" s="21"/>
      <c r="W47" s="24"/>
      <c r="X47" s="20"/>
      <c r="Y47" s="20"/>
      <c r="Z47" s="21"/>
      <c r="AA47" s="21"/>
      <c r="AB47" s="21"/>
      <c r="AC47" s="21"/>
      <c r="AD47" s="21"/>
      <c r="AE47" s="21"/>
      <c r="AF47" s="21"/>
      <c r="AG47" s="21"/>
      <c r="AH47" s="21"/>
      <c r="AI47" s="25"/>
      <c r="AJ47" s="20"/>
      <c r="AK47" s="21"/>
      <c r="AL47" s="20"/>
      <c r="AM47" s="20"/>
      <c r="AN47" s="20"/>
      <c r="AO47" s="20"/>
      <c r="AP47" s="446"/>
      <c r="AQ47" s="20"/>
      <c r="AR47" s="20"/>
      <c r="AS47" s="20"/>
      <c r="AT47" s="20"/>
      <c r="AU47" s="26"/>
      <c r="AV47" s="98"/>
      <c r="AW47" s="98"/>
      <c r="AX47" s="98"/>
      <c r="AY47" s="98"/>
      <c r="AZ47" s="98"/>
      <c r="BA47" s="217"/>
      <c r="BB47" s="98"/>
      <c r="BC47" s="98"/>
      <c r="BD47" s="98"/>
      <c r="BE47" s="98"/>
      <c r="BF47" s="98"/>
      <c r="BG47" s="219"/>
      <c r="BH47" s="219"/>
      <c r="BI47" s="219"/>
      <c r="BJ47" s="26"/>
      <c r="BK47" s="21"/>
      <c r="BL47" s="21"/>
      <c r="BM47" s="22"/>
      <c r="BN47" s="21"/>
      <c r="BO47" s="21"/>
      <c r="BP47" s="22"/>
      <c r="BQ47" s="21"/>
      <c r="BR47" s="21"/>
      <c r="BS47" s="22"/>
      <c r="BT4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7" s="109" t="str">
        <f>IF(ISNUMBER(tblParticipants[[#This Row],[SvcStartDate]]),IF(AND(tblParticipants[[#This Row],[EnrollQtr]]=1,tblParticipants[[#This Row],[SvcStartDate]]&lt;DATE(conProgYear,7,1)),1,""),"")</f>
        <v/>
      </c>
      <c r="BV4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7" s="232" t="str">
        <f t="shared" ca="1" si="0"/>
        <v/>
      </c>
      <c r="BX47" s="9">
        <f>IF(SUM(IF(tblParticipants[[#This Row],[AmIndOrAkNtv]]=1,1,0),IF(tblParticipants[[#This Row],[Asian]]=1,1,0),IF(tblParticipants[[#This Row],[BlkOrAfAmer]]=1,1,0),IF(tblParticipants[[#This Row],[NtvHawOrPacIsl]]=1,1,0),IF(tblParticipants[[#This Row],[White]]=1,1,0))&gt;1,1,0)</f>
        <v>0</v>
      </c>
      <c r="BY4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7" s="11">
        <f>IF(tblParticipants[[#This Row],[EarnWg2Qae]]=1,IFERROR(tblParticipants[[#This Row],[HoursPerWk2Qae]]*tblParticipants[[#This Row],[HrlyWg2Qae]]*13,0),0)</f>
        <v>0</v>
      </c>
      <c r="CC47" s="11">
        <f>IF(tblParticipants[[#This Row],[EarnWg3Qae]]=1,IFERROR(tblParticipants[[#This Row],[HoursPerWk3Qae]]*tblParticipants[[#This Row],[HrlyWg3Qae]]*13,0),0)</f>
        <v>0</v>
      </c>
      <c r="CD47" s="9">
        <f>IFERROR(IF(SUM(tblParticipants[[#This Row],[EarnWg1Qae]],tblParticipants[[#This Row],[EarnWg2Qae]],tblParticipants[[#This Row],[EarnWg3Qae]])=3,1,0),0)</f>
        <v>0</v>
      </c>
      <c r="CE47" s="12">
        <f>IF(tblParticipants[[#This Row],[EmplAll3Qae]]=1,tblParticipants[[#This Row],[Earnings2Qae]]+tblParticipants[[#This Row],[Earnings3Qae]],0)</f>
        <v>0</v>
      </c>
      <c r="CF47" s="407"/>
    </row>
    <row r="48" spans="1:84" x14ac:dyDescent="0.3">
      <c r="A48" s="19"/>
      <c r="B48" s="107"/>
      <c r="C48" s="20"/>
      <c r="D48" s="20"/>
      <c r="E48" s="26"/>
      <c r="F48" s="26"/>
      <c r="G48" s="26"/>
      <c r="H48" s="26"/>
      <c r="I48" s="26"/>
      <c r="J48" s="26"/>
      <c r="K48" s="26"/>
      <c r="L48" s="26"/>
      <c r="M48" s="20"/>
      <c r="N48" s="26"/>
      <c r="O48" s="22"/>
      <c r="P48" s="21"/>
      <c r="Q48" s="23"/>
      <c r="R48" s="21"/>
      <c r="S48" s="21"/>
      <c r="T48" s="21"/>
      <c r="U48" s="21"/>
      <c r="V48" s="21"/>
      <c r="W48" s="24"/>
      <c r="X48" s="20"/>
      <c r="Y48" s="20"/>
      <c r="Z48" s="21"/>
      <c r="AA48" s="21"/>
      <c r="AB48" s="21"/>
      <c r="AC48" s="21"/>
      <c r="AD48" s="21"/>
      <c r="AE48" s="21"/>
      <c r="AF48" s="21"/>
      <c r="AG48" s="21"/>
      <c r="AH48" s="21"/>
      <c r="AI48" s="25"/>
      <c r="AJ48" s="20"/>
      <c r="AK48" s="21"/>
      <c r="AL48" s="20"/>
      <c r="AM48" s="20"/>
      <c r="AN48" s="20"/>
      <c r="AO48" s="20"/>
      <c r="AP48" s="446"/>
      <c r="AQ48" s="20"/>
      <c r="AR48" s="20"/>
      <c r="AS48" s="20"/>
      <c r="AT48" s="20"/>
      <c r="AU48" s="26"/>
      <c r="AV48" s="98"/>
      <c r="AW48" s="98"/>
      <c r="AX48" s="98"/>
      <c r="AY48" s="98"/>
      <c r="AZ48" s="98"/>
      <c r="BA48" s="217"/>
      <c r="BB48" s="98"/>
      <c r="BC48" s="98"/>
      <c r="BD48" s="98"/>
      <c r="BE48" s="98"/>
      <c r="BF48" s="98"/>
      <c r="BG48" s="219"/>
      <c r="BH48" s="219"/>
      <c r="BI48" s="219"/>
      <c r="BJ48" s="26"/>
      <c r="BK48" s="21"/>
      <c r="BL48" s="21"/>
      <c r="BM48" s="22"/>
      <c r="BN48" s="21"/>
      <c r="BO48" s="21"/>
      <c r="BP48" s="22"/>
      <c r="BQ48" s="21"/>
      <c r="BR48" s="21"/>
      <c r="BS48" s="22"/>
      <c r="BT4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8" s="109" t="str">
        <f>IF(ISNUMBER(tblParticipants[[#This Row],[SvcStartDate]]),IF(AND(tblParticipants[[#This Row],[EnrollQtr]]=1,tblParticipants[[#This Row],[SvcStartDate]]&lt;DATE(conProgYear,7,1)),1,""),"")</f>
        <v/>
      </c>
      <c r="BV4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8" s="232" t="str">
        <f t="shared" ca="1" si="0"/>
        <v/>
      </c>
      <c r="BX48" s="9">
        <f>IF(SUM(IF(tblParticipants[[#This Row],[AmIndOrAkNtv]]=1,1,0),IF(tblParticipants[[#This Row],[Asian]]=1,1,0),IF(tblParticipants[[#This Row],[BlkOrAfAmer]]=1,1,0),IF(tblParticipants[[#This Row],[NtvHawOrPacIsl]]=1,1,0),IF(tblParticipants[[#This Row],[White]]=1,1,0))&gt;1,1,0)</f>
        <v>0</v>
      </c>
      <c r="BY4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8" s="11">
        <f>IF(tblParticipants[[#This Row],[EarnWg2Qae]]=1,IFERROR(tblParticipants[[#This Row],[HoursPerWk2Qae]]*tblParticipants[[#This Row],[HrlyWg2Qae]]*13,0),0)</f>
        <v>0</v>
      </c>
      <c r="CC48" s="11">
        <f>IF(tblParticipants[[#This Row],[EarnWg3Qae]]=1,IFERROR(tblParticipants[[#This Row],[HoursPerWk3Qae]]*tblParticipants[[#This Row],[HrlyWg3Qae]]*13,0),0)</f>
        <v>0</v>
      </c>
      <c r="CD48" s="9">
        <f>IFERROR(IF(SUM(tblParticipants[[#This Row],[EarnWg1Qae]],tblParticipants[[#This Row],[EarnWg2Qae]],tblParticipants[[#This Row],[EarnWg3Qae]])=3,1,0),0)</f>
        <v>0</v>
      </c>
      <c r="CE48" s="12">
        <f>IF(tblParticipants[[#This Row],[EmplAll3Qae]]=1,tblParticipants[[#This Row],[Earnings2Qae]]+tblParticipants[[#This Row],[Earnings3Qae]],0)</f>
        <v>0</v>
      </c>
      <c r="CF48" s="407"/>
    </row>
    <row r="49" spans="1:84" x14ac:dyDescent="0.3">
      <c r="A49" s="19"/>
      <c r="B49" s="19"/>
      <c r="C49" s="20"/>
      <c r="D49" s="20"/>
      <c r="E49" s="26"/>
      <c r="F49" s="26"/>
      <c r="G49" s="26"/>
      <c r="H49" s="26"/>
      <c r="I49" s="26"/>
      <c r="J49" s="26"/>
      <c r="K49" s="26"/>
      <c r="L49" s="26"/>
      <c r="M49" s="20"/>
      <c r="N49" s="26"/>
      <c r="O49" s="22"/>
      <c r="P49" s="21"/>
      <c r="Q49" s="23"/>
      <c r="R49" s="21"/>
      <c r="S49" s="21"/>
      <c r="T49" s="21"/>
      <c r="U49" s="21"/>
      <c r="V49" s="21"/>
      <c r="W49" s="24"/>
      <c r="X49" s="20"/>
      <c r="Y49" s="20"/>
      <c r="Z49" s="21"/>
      <c r="AA49" s="21"/>
      <c r="AB49" s="21"/>
      <c r="AC49" s="21"/>
      <c r="AD49" s="21"/>
      <c r="AE49" s="21"/>
      <c r="AF49" s="21"/>
      <c r="AG49" s="21"/>
      <c r="AH49" s="21"/>
      <c r="AI49" s="25"/>
      <c r="AJ49" s="20"/>
      <c r="AK49" s="21"/>
      <c r="AL49" s="20"/>
      <c r="AM49" s="20"/>
      <c r="AN49" s="20"/>
      <c r="AO49" s="20"/>
      <c r="AP49" s="446"/>
      <c r="AQ49" s="20"/>
      <c r="AR49" s="20"/>
      <c r="AS49" s="20"/>
      <c r="AT49" s="20"/>
      <c r="AU49" s="26"/>
      <c r="AV49" s="98"/>
      <c r="AW49" s="98"/>
      <c r="AX49" s="98"/>
      <c r="AY49" s="98"/>
      <c r="AZ49" s="98"/>
      <c r="BA49" s="217"/>
      <c r="BB49" s="98"/>
      <c r="BC49" s="98"/>
      <c r="BD49" s="98"/>
      <c r="BE49" s="98"/>
      <c r="BF49" s="98"/>
      <c r="BG49" s="219"/>
      <c r="BH49" s="219"/>
      <c r="BI49" s="219"/>
      <c r="BJ49" s="26"/>
      <c r="BK49" s="21"/>
      <c r="BL49" s="21"/>
      <c r="BM49" s="22"/>
      <c r="BN49" s="21"/>
      <c r="BO49" s="21"/>
      <c r="BP49" s="22"/>
      <c r="BQ49" s="21"/>
      <c r="BR49" s="21"/>
      <c r="BS49" s="22"/>
      <c r="BT4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9" s="109" t="str">
        <f>IF(ISNUMBER(tblParticipants[[#This Row],[SvcStartDate]]),IF(AND(tblParticipants[[#This Row],[EnrollQtr]]=1,tblParticipants[[#This Row],[SvcStartDate]]&lt;DATE(conProgYear,7,1)),1,""),"")</f>
        <v/>
      </c>
      <c r="BV4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9" s="232" t="str">
        <f t="shared" ca="1" si="0"/>
        <v/>
      </c>
      <c r="BX49" s="9">
        <f>IF(SUM(IF(tblParticipants[[#This Row],[AmIndOrAkNtv]]=1,1,0),IF(tblParticipants[[#This Row],[Asian]]=1,1,0),IF(tblParticipants[[#This Row],[BlkOrAfAmer]]=1,1,0),IF(tblParticipants[[#This Row],[NtvHawOrPacIsl]]=1,1,0),IF(tblParticipants[[#This Row],[White]]=1,1,0))&gt;1,1,0)</f>
        <v>0</v>
      </c>
      <c r="BY4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9" s="11">
        <f>IF(tblParticipants[[#This Row],[EarnWg2Qae]]=1,IFERROR(tblParticipants[[#This Row],[HoursPerWk2Qae]]*tblParticipants[[#This Row],[HrlyWg2Qae]]*13,0),0)</f>
        <v>0</v>
      </c>
      <c r="CC49" s="11">
        <f>IF(tblParticipants[[#This Row],[EarnWg3Qae]]=1,IFERROR(tblParticipants[[#This Row],[HoursPerWk3Qae]]*tblParticipants[[#This Row],[HrlyWg3Qae]]*13,0),0)</f>
        <v>0</v>
      </c>
      <c r="CD49" s="9">
        <f>IFERROR(IF(SUM(tblParticipants[[#This Row],[EarnWg1Qae]],tblParticipants[[#This Row],[EarnWg2Qae]],tblParticipants[[#This Row],[EarnWg3Qae]])=3,1,0),0)</f>
        <v>0</v>
      </c>
      <c r="CE49" s="12">
        <f>IF(tblParticipants[[#This Row],[EmplAll3Qae]]=1,tblParticipants[[#This Row],[Earnings2Qae]]+tblParticipants[[#This Row],[Earnings3Qae]],0)</f>
        <v>0</v>
      </c>
      <c r="CF49" s="407"/>
    </row>
    <row r="50" spans="1:84" x14ac:dyDescent="0.3">
      <c r="A50" s="19"/>
      <c r="B50" s="19"/>
      <c r="C50" s="20"/>
      <c r="D50" s="20"/>
      <c r="E50" s="26"/>
      <c r="F50" s="26"/>
      <c r="G50" s="26"/>
      <c r="H50" s="26"/>
      <c r="I50" s="26"/>
      <c r="J50" s="26"/>
      <c r="K50" s="26"/>
      <c r="L50" s="26"/>
      <c r="M50" s="20"/>
      <c r="N50" s="26"/>
      <c r="O50" s="22"/>
      <c r="P50" s="21"/>
      <c r="Q50" s="23"/>
      <c r="R50" s="21"/>
      <c r="S50" s="21"/>
      <c r="T50" s="21"/>
      <c r="U50" s="21"/>
      <c r="V50" s="21"/>
      <c r="W50" s="24"/>
      <c r="X50" s="20"/>
      <c r="Y50" s="20"/>
      <c r="Z50" s="21"/>
      <c r="AA50" s="21"/>
      <c r="AB50" s="21"/>
      <c r="AC50" s="21"/>
      <c r="AD50" s="21"/>
      <c r="AE50" s="21"/>
      <c r="AF50" s="21"/>
      <c r="AG50" s="21"/>
      <c r="AH50" s="21"/>
      <c r="AI50" s="25"/>
      <c r="AJ50" s="20"/>
      <c r="AK50" s="21"/>
      <c r="AL50" s="20"/>
      <c r="AM50" s="20"/>
      <c r="AN50" s="20"/>
      <c r="AO50" s="20"/>
      <c r="AP50" s="446"/>
      <c r="AQ50" s="20"/>
      <c r="AR50" s="20"/>
      <c r="AS50" s="20"/>
      <c r="AT50" s="20"/>
      <c r="AU50" s="26"/>
      <c r="AV50" s="98"/>
      <c r="AW50" s="98"/>
      <c r="AX50" s="98"/>
      <c r="AY50" s="98"/>
      <c r="AZ50" s="98"/>
      <c r="BA50" s="217"/>
      <c r="BB50" s="98"/>
      <c r="BC50" s="98"/>
      <c r="BD50" s="98"/>
      <c r="BE50" s="98"/>
      <c r="BF50" s="98"/>
      <c r="BG50" s="219"/>
      <c r="BH50" s="219"/>
      <c r="BI50" s="219"/>
      <c r="BJ50" s="26"/>
      <c r="BK50" s="21"/>
      <c r="BL50" s="21"/>
      <c r="BM50" s="22"/>
      <c r="BN50" s="21"/>
      <c r="BO50" s="21"/>
      <c r="BP50" s="22"/>
      <c r="BQ50" s="21"/>
      <c r="BR50" s="21"/>
      <c r="BS50" s="22"/>
      <c r="BT5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50" s="109" t="str">
        <f>IF(ISNUMBER(tblParticipants[[#This Row],[SvcStartDate]]),IF(AND(tblParticipants[[#This Row],[EnrollQtr]]=1,tblParticipants[[#This Row],[SvcStartDate]]&lt;DATE(conProgYear,7,1)),1,""),"")</f>
        <v/>
      </c>
      <c r="BV5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50" s="232" t="str">
        <f t="shared" ca="1" si="0"/>
        <v/>
      </c>
      <c r="BX50" s="9">
        <f>IF(SUM(IF(tblParticipants[[#This Row],[AmIndOrAkNtv]]=1,1,0),IF(tblParticipants[[#This Row],[Asian]]=1,1,0),IF(tblParticipants[[#This Row],[BlkOrAfAmer]]=1,1,0),IF(tblParticipants[[#This Row],[NtvHawOrPacIsl]]=1,1,0),IF(tblParticipants[[#This Row],[White]]=1,1,0))&gt;1,1,0)</f>
        <v>0</v>
      </c>
      <c r="BY5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5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5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50" s="11">
        <f>IF(tblParticipants[[#This Row],[EarnWg2Qae]]=1,IFERROR(tblParticipants[[#This Row],[HoursPerWk2Qae]]*tblParticipants[[#This Row],[HrlyWg2Qae]]*13,0),0)</f>
        <v>0</v>
      </c>
      <c r="CC50" s="11">
        <f>IF(tblParticipants[[#This Row],[EarnWg3Qae]]=1,IFERROR(tblParticipants[[#This Row],[HoursPerWk3Qae]]*tblParticipants[[#This Row],[HrlyWg3Qae]]*13,0),0)</f>
        <v>0</v>
      </c>
      <c r="CD50" s="9">
        <f>IFERROR(IF(SUM(tblParticipants[[#This Row],[EarnWg1Qae]],tblParticipants[[#This Row],[EarnWg2Qae]],tblParticipants[[#This Row],[EarnWg3Qae]])=3,1,0),0)</f>
        <v>0</v>
      </c>
      <c r="CE50" s="12">
        <f>IF(tblParticipants[[#This Row],[EmplAll3Qae]]=1,tblParticipants[[#This Row],[Earnings2Qae]]+tblParticipants[[#This Row],[Earnings3Qae]],0)</f>
        <v>0</v>
      </c>
      <c r="CF50" s="407"/>
    </row>
    <row r="51" spans="1:84" x14ac:dyDescent="0.3">
      <c r="A51" s="19"/>
      <c r="B51" s="19"/>
      <c r="C51" s="20"/>
      <c r="D51" s="20"/>
      <c r="E51" s="26"/>
      <c r="F51" s="26"/>
      <c r="G51" s="26"/>
      <c r="H51" s="26"/>
      <c r="I51" s="26"/>
      <c r="J51" s="26"/>
      <c r="K51" s="26"/>
      <c r="L51" s="26"/>
      <c r="M51" s="20"/>
      <c r="N51" s="26"/>
      <c r="O51" s="22"/>
      <c r="P51" s="21"/>
      <c r="Q51" s="23"/>
      <c r="R51" s="21"/>
      <c r="S51" s="21"/>
      <c r="T51" s="21"/>
      <c r="U51" s="21"/>
      <c r="V51" s="21"/>
      <c r="W51" s="24"/>
      <c r="X51" s="20"/>
      <c r="Y51" s="20"/>
      <c r="Z51" s="21"/>
      <c r="AA51" s="21"/>
      <c r="AB51" s="21"/>
      <c r="AC51" s="21"/>
      <c r="AD51" s="21"/>
      <c r="AE51" s="21"/>
      <c r="AF51" s="21"/>
      <c r="AG51" s="21"/>
      <c r="AH51" s="21"/>
      <c r="AI51" s="25"/>
      <c r="AJ51" s="20"/>
      <c r="AK51" s="21"/>
      <c r="AL51" s="20"/>
      <c r="AM51" s="20"/>
      <c r="AN51" s="20"/>
      <c r="AO51" s="20"/>
      <c r="AP51" s="446"/>
      <c r="AQ51" s="20"/>
      <c r="AR51" s="20"/>
      <c r="AS51" s="20"/>
      <c r="AT51" s="20"/>
      <c r="AU51" s="26"/>
      <c r="AV51" s="98"/>
      <c r="AW51" s="98"/>
      <c r="AX51" s="98"/>
      <c r="AY51" s="98"/>
      <c r="AZ51" s="98"/>
      <c r="BA51" s="217"/>
      <c r="BB51" s="98"/>
      <c r="BC51" s="98"/>
      <c r="BD51" s="98"/>
      <c r="BE51" s="98"/>
      <c r="BF51" s="98"/>
      <c r="BG51" s="219"/>
      <c r="BH51" s="219"/>
      <c r="BI51" s="219"/>
      <c r="BJ51" s="26"/>
      <c r="BK51" s="21"/>
      <c r="BL51" s="21"/>
      <c r="BM51" s="22"/>
      <c r="BN51" s="21"/>
      <c r="BO51" s="21"/>
      <c r="BP51" s="22"/>
      <c r="BQ51" s="21"/>
      <c r="BR51" s="21"/>
      <c r="BS51" s="22"/>
      <c r="BT5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51" s="109" t="str">
        <f>IF(ISNUMBER(tblParticipants[[#This Row],[SvcStartDate]]),IF(AND(tblParticipants[[#This Row],[EnrollQtr]]=1,tblParticipants[[#This Row],[SvcStartDate]]&lt;DATE(conProgYear,7,1)),1,""),"")</f>
        <v/>
      </c>
      <c r="BV5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51" s="232" t="str">
        <f t="shared" ca="1" si="0"/>
        <v/>
      </c>
      <c r="BX51" s="9">
        <f>IF(SUM(IF(tblParticipants[[#This Row],[AmIndOrAkNtv]]=1,1,0),IF(tblParticipants[[#This Row],[Asian]]=1,1,0),IF(tblParticipants[[#This Row],[BlkOrAfAmer]]=1,1,0),IF(tblParticipants[[#This Row],[NtvHawOrPacIsl]]=1,1,0),IF(tblParticipants[[#This Row],[White]]=1,1,0))&gt;1,1,0)</f>
        <v>0</v>
      </c>
      <c r="BY5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5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5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51" s="11">
        <f>IF(tblParticipants[[#This Row],[EarnWg2Qae]]=1,IFERROR(tblParticipants[[#This Row],[HoursPerWk2Qae]]*tblParticipants[[#This Row],[HrlyWg2Qae]]*13,0),0)</f>
        <v>0</v>
      </c>
      <c r="CC51" s="11">
        <f>IF(tblParticipants[[#This Row],[EarnWg3Qae]]=1,IFERROR(tblParticipants[[#This Row],[HoursPerWk3Qae]]*tblParticipants[[#This Row],[HrlyWg3Qae]]*13,0),0)</f>
        <v>0</v>
      </c>
      <c r="CD51" s="9">
        <f>IFERROR(IF(SUM(tblParticipants[[#This Row],[EarnWg1Qae]],tblParticipants[[#This Row],[EarnWg2Qae]],tblParticipants[[#This Row],[EarnWg3Qae]])=3,1,0),0)</f>
        <v>0</v>
      </c>
      <c r="CE51" s="12">
        <f>IF(tblParticipants[[#This Row],[EmplAll3Qae]]=1,tblParticipants[[#This Row],[Earnings2Qae]]+tblParticipants[[#This Row],[Earnings3Qae]],0)</f>
        <v>0</v>
      </c>
      <c r="CF51" s="407"/>
    </row>
    <row r="52" spans="1:84" x14ac:dyDescent="0.3">
      <c r="A52" s="19"/>
      <c r="B52" s="19"/>
      <c r="C52" s="20"/>
      <c r="D52" s="20"/>
      <c r="E52" s="26"/>
      <c r="F52" s="26"/>
      <c r="G52" s="26"/>
      <c r="H52" s="26"/>
      <c r="I52" s="26"/>
      <c r="J52" s="26"/>
      <c r="K52" s="26"/>
      <c r="L52" s="26"/>
      <c r="M52" s="20"/>
      <c r="N52" s="26"/>
      <c r="O52" s="22"/>
      <c r="P52" s="21"/>
      <c r="Q52" s="23"/>
      <c r="R52" s="21"/>
      <c r="S52" s="21"/>
      <c r="T52" s="21"/>
      <c r="U52" s="21"/>
      <c r="V52" s="21"/>
      <c r="W52" s="24"/>
      <c r="X52" s="20"/>
      <c r="Y52" s="20"/>
      <c r="Z52" s="21"/>
      <c r="AA52" s="21"/>
      <c r="AB52" s="21"/>
      <c r="AC52" s="21"/>
      <c r="AD52" s="21"/>
      <c r="AE52" s="21"/>
      <c r="AF52" s="21"/>
      <c r="AG52" s="21"/>
      <c r="AH52" s="21"/>
      <c r="AI52" s="25"/>
      <c r="AJ52" s="20"/>
      <c r="AK52" s="21"/>
      <c r="AL52" s="20"/>
      <c r="AM52" s="20"/>
      <c r="AN52" s="20"/>
      <c r="AO52" s="20"/>
      <c r="AP52" s="446"/>
      <c r="AQ52" s="20"/>
      <c r="AR52" s="20"/>
      <c r="AS52" s="20"/>
      <c r="AT52" s="20"/>
      <c r="AU52" s="26"/>
      <c r="AV52" s="98"/>
      <c r="AW52" s="98"/>
      <c r="AX52" s="98"/>
      <c r="AY52" s="98"/>
      <c r="AZ52" s="98"/>
      <c r="BA52" s="217"/>
      <c r="BB52" s="98"/>
      <c r="BC52" s="98"/>
      <c r="BD52" s="98"/>
      <c r="BE52" s="98"/>
      <c r="BF52" s="98"/>
      <c r="BG52" s="219"/>
      <c r="BH52" s="219"/>
      <c r="BI52" s="219"/>
      <c r="BJ52" s="26"/>
      <c r="BK52" s="21"/>
      <c r="BL52" s="21"/>
      <c r="BM52" s="22"/>
      <c r="BN52" s="21"/>
      <c r="BO52" s="21"/>
      <c r="BP52" s="22"/>
      <c r="BQ52" s="21"/>
      <c r="BR52" s="21"/>
      <c r="BS52" s="22"/>
      <c r="BT5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52" s="109" t="str">
        <f>IF(ISNUMBER(tblParticipants[[#This Row],[SvcStartDate]]),IF(AND(tblParticipants[[#This Row],[EnrollQtr]]=1,tblParticipants[[#This Row],[SvcStartDate]]&lt;DATE(conProgYear,7,1)),1,""),"")</f>
        <v/>
      </c>
      <c r="BV5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52" s="232" t="str">
        <f t="shared" ca="1" si="0"/>
        <v/>
      </c>
      <c r="BX52" s="9">
        <f>IF(SUM(IF(tblParticipants[[#This Row],[AmIndOrAkNtv]]=1,1,0),IF(tblParticipants[[#This Row],[Asian]]=1,1,0),IF(tblParticipants[[#This Row],[BlkOrAfAmer]]=1,1,0),IF(tblParticipants[[#This Row],[NtvHawOrPacIsl]]=1,1,0),IF(tblParticipants[[#This Row],[White]]=1,1,0))&gt;1,1,0)</f>
        <v>0</v>
      </c>
      <c r="BY5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5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5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52" s="11">
        <f>IF(tblParticipants[[#This Row],[EarnWg2Qae]]=1,IFERROR(tblParticipants[[#This Row],[HoursPerWk2Qae]]*tblParticipants[[#This Row],[HrlyWg2Qae]]*13,0),0)</f>
        <v>0</v>
      </c>
      <c r="CC52" s="11">
        <f>IF(tblParticipants[[#This Row],[EarnWg3Qae]]=1,IFERROR(tblParticipants[[#This Row],[HoursPerWk3Qae]]*tblParticipants[[#This Row],[HrlyWg3Qae]]*13,0),0)</f>
        <v>0</v>
      </c>
      <c r="CD52" s="9">
        <f>IFERROR(IF(SUM(tblParticipants[[#This Row],[EarnWg1Qae]],tblParticipants[[#This Row],[EarnWg2Qae]],tblParticipants[[#This Row],[EarnWg3Qae]])=3,1,0),0)</f>
        <v>0</v>
      </c>
      <c r="CE52" s="12">
        <f>IF(tblParticipants[[#This Row],[EmplAll3Qae]]=1,tblParticipants[[#This Row],[Earnings2Qae]]+tblParticipants[[#This Row],[Earnings3Qae]],0)</f>
        <v>0</v>
      </c>
      <c r="CF52" s="407"/>
    </row>
    <row r="53" spans="1:84" x14ac:dyDescent="0.3">
      <c r="A53" s="19"/>
      <c r="B53" s="19"/>
      <c r="C53" s="20"/>
      <c r="D53" s="20"/>
      <c r="E53" s="26"/>
      <c r="F53" s="26"/>
      <c r="G53" s="26"/>
      <c r="H53" s="26"/>
      <c r="I53" s="26"/>
      <c r="J53" s="26"/>
      <c r="K53" s="26"/>
      <c r="L53" s="26"/>
      <c r="M53" s="20"/>
      <c r="N53" s="26"/>
      <c r="O53" s="22"/>
      <c r="P53" s="21"/>
      <c r="Q53" s="23"/>
      <c r="R53" s="21"/>
      <c r="S53" s="21"/>
      <c r="T53" s="21"/>
      <c r="U53" s="21"/>
      <c r="V53" s="21"/>
      <c r="W53" s="24"/>
      <c r="X53" s="20"/>
      <c r="Y53" s="20"/>
      <c r="Z53" s="21"/>
      <c r="AA53" s="21"/>
      <c r="AB53" s="21"/>
      <c r="AC53" s="21"/>
      <c r="AD53" s="21"/>
      <c r="AE53" s="21"/>
      <c r="AF53" s="21"/>
      <c r="AG53" s="21"/>
      <c r="AH53" s="21"/>
      <c r="AI53" s="25"/>
      <c r="AJ53" s="20"/>
      <c r="AK53" s="21"/>
      <c r="AL53" s="20"/>
      <c r="AM53" s="20"/>
      <c r="AN53" s="20"/>
      <c r="AO53" s="20"/>
      <c r="AP53" s="446"/>
      <c r="AQ53" s="20"/>
      <c r="AR53" s="20"/>
      <c r="AS53" s="20"/>
      <c r="AT53" s="20"/>
      <c r="AU53" s="26"/>
      <c r="AV53" s="98"/>
      <c r="AW53" s="98"/>
      <c r="AX53" s="98"/>
      <c r="AY53" s="98"/>
      <c r="AZ53" s="98"/>
      <c r="BA53" s="217"/>
      <c r="BB53" s="98"/>
      <c r="BC53" s="98"/>
      <c r="BD53" s="98"/>
      <c r="BE53" s="98"/>
      <c r="BF53" s="98"/>
      <c r="BG53" s="219"/>
      <c r="BH53" s="219"/>
      <c r="BI53" s="219"/>
      <c r="BJ53" s="26"/>
      <c r="BK53" s="21"/>
      <c r="BL53" s="21"/>
      <c r="BM53" s="22"/>
      <c r="BN53" s="21"/>
      <c r="BO53" s="21"/>
      <c r="BP53" s="22"/>
      <c r="BQ53" s="21"/>
      <c r="BR53" s="21"/>
      <c r="BS53" s="22"/>
      <c r="BT5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53" s="109" t="str">
        <f>IF(ISNUMBER(tblParticipants[[#This Row],[SvcStartDate]]),IF(AND(tblParticipants[[#This Row],[EnrollQtr]]=1,tblParticipants[[#This Row],[SvcStartDate]]&lt;DATE(conProgYear,7,1)),1,""),"")</f>
        <v/>
      </c>
      <c r="BV5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53" s="232" t="str">
        <f t="shared" ca="1" si="0"/>
        <v/>
      </c>
      <c r="BX53" s="9">
        <f>IF(SUM(IF(tblParticipants[[#This Row],[AmIndOrAkNtv]]=1,1,0),IF(tblParticipants[[#This Row],[Asian]]=1,1,0),IF(tblParticipants[[#This Row],[BlkOrAfAmer]]=1,1,0),IF(tblParticipants[[#This Row],[NtvHawOrPacIsl]]=1,1,0),IF(tblParticipants[[#This Row],[White]]=1,1,0))&gt;1,1,0)</f>
        <v>0</v>
      </c>
      <c r="BY5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5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5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53" s="11">
        <f>IF(tblParticipants[[#This Row],[EarnWg2Qae]]=1,IFERROR(tblParticipants[[#This Row],[HoursPerWk2Qae]]*tblParticipants[[#This Row],[HrlyWg2Qae]]*13,0),0)</f>
        <v>0</v>
      </c>
      <c r="CC53" s="11">
        <f>IF(tblParticipants[[#This Row],[EarnWg3Qae]]=1,IFERROR(tblParticipants[[#This Row],[HoursPerWk3Qae]]*tblParticipants[[#This Row],[HrlyWg3Qae]]*13,0),0)</f>
        <v>0</v>
      </c>
      <c r="CD53" s="9">
        <f>IFERROR(IF(SUM(tblParticipants[[#This Row],[EarnWg1Qae]],tblParticipants[[#This Row],[EarnWg2Qae]],tblParticipants[[#This Row],[EarnWg3Qae]])=3,1,0),0)</f>
        <v>0</v>
      </c>
      <c r="CE53" s="12">
        <f>IF(tblParticipants[[#This Row],[EmplAll3Qae]]=1,tblParticipants[[#This Row],[Earnings2Qae]]+tblParticipants[[#This Row],[Earnings3Qae]],0)</f>
        <v>0</v>
      </c>
      <c r="CF53" s="407"/>
    </row>
    <row r="54" spans="1:84" x14ac:dyDescent="0.3">
      <c r="A54" s="19"/>
      <c r="B54" s="19"/>
      <c r="C54" s="20"/>
      <c r="D54" s="20"/>
      <c r="E54" s="26"/>
      <c r="F54" s="26"/>
      <c r="G54" s="26"/>
      <c r="H54" s="26"/>
      <c r="I54" s="26"/>
      <c r="J54" s="26"/>
      <c r="K54" s="26"/>
      <c r="L54" s="26"/>
      <c r="M54" s="20"/>
      <c r="N54" s="26"/>
      <c r="O54" s="22"/>
      <c r="P54" s="21"/>
      <c r="Q54" s="23"/>
      <c r="R54" s="21"/>
      <c r="S54" s="21"/>
      <c r="T54" s="21"/>
      <c r="U54" s="21"/>
      <c r="V54" s="21"/>
      <c r="W54" s="24"/>
      <c r="X54" s="20"/>
      <c r="Y54" s="20"/>
      <c r="Z54" s="21"/>
      <c r="AA54" s="21"/>
      <c r="AB54" s="21"/>
      <c r="AC54" s="21"/>
      <c r="AD54" s="21"/>
      <c r="AE54" s="21"/>
      <c r="AF54" s="21"/>
      <c r="AG54" s="21"/>
      <c r="AH54" s="21"/>
      <c r="AI54" s="25"/>
      <c r="AJ54" s="20"/>
      <c r="AK54" s="21"/>
      <c r="AL54" s="20"/>
      <c r="AM54" s="20"/>
      <c r="AN54" s="20"/>
      <c r="AO54" s="20"/>
      <c r="AP54" s="446"/>
      <c r="AQ54" s="20"/>
      <c r="AR54" s="20"/>
      <c r="AS54" s="20"/>
      <c r="AT54" s="20"/>
      <c r="AU54" s="26"/>
      <c r="AV54" s="98"/>
      <c r="AW54" s="98"/>
      <c r="AX54" s="98"/>
      <c r="AY54" s="98"/>
      <c r="AZ54" s="98"/>
      <c r="BA54" s="217"/>
      <c r="BB54" s="98"/>
      <c r="BC54" s="98"/>
      <c r="BD54" s="98"/>
      <c r="BE54" s="98"/>
      <c r="BF54" s="98"/>
      <c r="BG54" s="219"/>
      <c r="BH54" s="219"/>
      <c r="BI54" s="219"/>
      <c r="BJ54" s="26"/>
      <c r="BK54" s="21"/>
      <c r="BL54" s="21"/>
      <c r="BM54" s="22"/>
      <c r="BN54" s="21"/>
      <c r="BO54" s="21"/>
      <c r="BP54" s="22"/>
      <c r="BQ54" s="21"/>
      <c r="BR54" s="21"/>
      <c r="BS54" s="22"/>
      <c r="BT5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54" s="109" t="str">
        <f>IF(ISNUMBER(tblParticipants[[#This Row],[SvcStartDate]]),IF(AND(tblParticipants[[#This Row],[EnrollQtr]]=1,tblParticipants[[#This Row],[SvcStartDate]]&lt;DATE(conProgYear,7,1)),1,""),"")</f>
        <v/>
      </c>
      <c r="BV5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54" s="232" t="str">
        <f t="shared" ca="1" si="0"/>
        <v/>
      </c>
      <c r="BX54" s="9">
        <f>IF(SUM(IF(tblParticipants[[#This Row],[AmIndOrAkNtv]]=1,1,0),IF(tblParticipants[[#This Row],[Asian]]=1,1,0),IF(tblParticipants[[#This Row],[BlkOrAfAmer]]=1,1,0),IF(tblParticipants[[#This Row],[NtvHawOrPacIsl]]=1,1,0),IF(tblParticipants[[#This Row],[White]]=1,1,0))&gt;1,1,0)</f>
        <v>0</v>
      </c>
      <c r="BY5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5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5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54" s="11">
        <f>IF(tblParticipants[[#This Row],[EarnWg2Qae]]=1,IFERROR(tblParticipants[[#This Row],[HoursPerWk2Qae]]*tblParticipants[[#This Row],[HrlyWg2Qae]]*13,0),0)</f>
        <v>0</v>
      </c>
      <c r="CC54" s="11">
        <f>IF(tblParticipants[[#This Row],[EarnWg3Qae]]=1,IFERROR(tblParticipants[[#This Row],[HoursPerWk3Qae]]*tblParticipants[[#This Row],[HrlyWg3Qae]]*13,0),0)</f>
        <v>0</v>
      </c>
      <c r="CD54" s="9">
        <f>IFERROR(IF(SUM(tblParticipants[[#This Row],[EarnWg1Qae]],tblParticipants[[#This Row],[EarnWg2Qae]],tblParticipants[[#This Row],[EarnWg3Qae]])=3,1,0),0)</f>
        <v>0</v>
      </c>
      <c r="CE54" s="12">
        <f>IF(tblParticipants[[#This Row],[EmplAll3Qae]]=1,tblParticipants[[#This Row],[Earnings2Qae]]+tblParticipants[[#This Row],[Earnings3Qae]],0)</f>
        <v>0</v>
      </c>
      <c r="CF54" s="407"/>
    </row>
    <row r="55" spans="1:84" x14ac:dyDescent="0.3">
      <c r="A55" s="19"/>
      <c r="B55" s="19"/>
      <c r="C55" s="20"/>
      <c r="D55" s="20"/>
      <c r="E55" s="26"/>
      <c r="F55" s="26"/>
      <c r="G55" s="26"/>
      <c r="H55" s="26"/>
      <c r="I55" s="26"/>
      <c r="J55" s="26"/>
      <c r="K55" s="26"/>
      <c r="L55" s="26"/>
      <c r="M55" s="20"/>
      <c r="N55" s="26"/>
      <c r="O55" s="22"/>
      <c r="P55" s="21"/>
      <c r="Q55" s="23"/>
      <c r="R55" s="21"/>
      <c r="S55" s="21"/>
      <c r="T55" s="21"/>
      <c r="U55" s="21"/>
      <c r="V55" s="21"/>
      <c r="W55" s="24"/>
      <c r="X55" s="20"/>
      <c r="Y55" s="20"/>
      <c r="Z55" s="21"/>
      <c r="AA55" s="21"/>
      <c r="AB55" s="21"/>
      <c r="AC55" s="21"/>
      <c r="AD55" s="21"/>
      <c r="AE55" s="21"/>
      <c r="AF55" s="21"/>
      <c r="AG55" s="21"/>
      <c r="AH55" s="21"/>
      <c r="AI55" s="25"/>
      <c r="AJ55" s="20"/>
      <c r="AK55" s="21"/>
      <c r="AL55" s="20"/>
      <c r="AM55" s="20"/>
      <c r="AN55" s="20"/>
      <c r="AO55" s="20"/>
      <c r="AP55" s="446"/>
      <c r="AQ55" s="20"/>
      <c r="AR55" s="20"/>
      <c r="AS55" s="20"/>
      <c r="AT55" s="20"/>
      <c r="AU55" s="26"/>
      <c r="AV55" s="98"/>
      <c r="AW55" s="98"/>
      <c r="AX55" s="98"/>
      <c r="AY55" s="98"/>
      <c r="AZ55" s="98"/>
      <c r="BA55" s="217"/>
      <c r="BB55" s="98"/>
      <c r="BC55" s="98"/>
      <c r="BD55" s="98"/>
      <c r="BE55" s="98"/>
      <c r="BF55" s="98"/>
      <c r="BG55" s="219"/>
      <c r="BH55" s="219"/>
      <c r="BI55" s="219"/>
      <c r="BJ55" s="26"/>
      <c r="BK55" s="21"/>
      <c r="BL55" s="21"/>
      <c r="BM55" s="22"/>
      <c r="BN55" s="21"/>
      <c r="BO55" s="21"/>
      <c r="BP55" s="22"/>
      <c r="BQ55" s="21"/>
      <c r="BR55" s="21"/>
      <c r="BS55" s="22"/>
      <c r="BT5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55" s="109" t="str">
        <f>IF(ISNUMBER(tblParticipants[[#This Row],[SvcStartDate]]),IF(AND(tblParticipants[[#This Row],[EnrollQtr]]=1,tblParticipants[[#This Row],[SvcStartDate]]&lt;DATE(conProgYear,7,1)),1,""),"")</f>
        <v/>
      </c>
      <c r="BV5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55" s="232" t="str">
        <f t="shared" ca="1" si="0"/>
        <v/>
      </c>
      <c r="BX55" s="9">
        <f>IF(SUM(IF(tblParticipants[[#This Row],[AmIndOrAkNtv]]=1,1,0),IF(tblParticipants[[#This Row],[Asian]]=1,1,0),IF(tblParticipants[[#This Row],[BlkOrAfAmer]]=1,1,0),IF(tblParticipants[[#This Row],[NtvHawOrPacIsl]]=1,1,0),IF(tblParticipants[[#This Row],[White]]=1,1,0))&gt;1,1,0)</f>
        <v>0</v>
      </c>
      <c r="BY5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5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5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55" s="11">
        <f>IF(tblParticipants[[#This Row],[EarnWg2Qae]]=1,IFERROR(tblParticipants[[#This Row],[HoursPerWk2Qae]]*tblParticipants[[#This Row],[HrlyWg2Qae]]*13,0),0)</f>
        <v>0</v>
      </c>
      <c r="CC55" s="11">
        <f>IF(tblParticipants[[#This Row],[EarnWg3Qae]]=1,IFERROR(tblParticipants[[#This Row],[HoursPerWk3Qae]]*tblParticipants[[#This Row],[HrlyWg3Qae]]*13,0),0)</f>
        <v>0</v>
      </c>
      <c r="CD55" s="9">
        <f>IFERROR(IF(SUM(tblParticipants[[#This Row],[EarnWg1Qae]],tblParticipants[[#This Row],[EarnWg2Qae]],tblParticipants[[#This Row],[EarnWg3Qae]])=3,1,0),0)</f>
        <v>0</v>
      </c>
      <c r="CE55" s="12">
        <f>IF(tblParticipants[[#This Row],[EmplAll3Qae]]=1,tblParticipants[[#This Row],[Earnings2Qae]]+tblParticipants[[#This Row],[Earnings3Qae]],0)</f>
        <v>0</v>
      </c>
      <c r="CF55" s="407"/>
    </row>
    <row r="56" spans="1:84" x14ac:dyDescent="0.3">
      <c r="A56" s="19"/>
      <c r="B56" s="19"/>
      <c r="C56" s="20"/>
      <c r="D56" s="20"/>
      <c r="E56" s="26"/>
      <c r="F56" s="26"/>
      <c r="G56" s="26"/>
      <c r="H56" s="26"/>
      <c r="I56" s="26"/>
      <c r="J56" s="26"/>
      <c r="K56" s="26"/>
      <c r="L56" s="26"/>
      <c r="M56" s="20"/>
      <c r="N56" s="26"/>
      <c r="O56" s="22"/>
      <c r="P56" s="21"/>
      <c r="Q56" s="23"/>
      <c r="R56" s="21"/>
      <c r="S56" s="21"/>
      <c r="T56" s="21"/>
      <c r="U56" s="21"/>
      <c r="V56" s="21"/>
      <c r="W56" s="24"/>
      <c r="X56" s="20"/>
      <c r="Y56" s="20"/>
      <c r="Z56" s="21"/>
      <c r="AA56" s="21"/>
      <c r="AB56" s="21"/>
      <c r="AC56" s="21"/>
      <c r="AD56" s="21"/>
      <c r="AE56" s="21"/>
      <c r="AF56" s="21"/>
      <c r="AG56" s="21"/>
      <c r="AH56" s="21"/>
      <c r="AI56" s="25"/>
      <c r="AJ56" s="20"/>
      <c r="AK56" s="21"/>
      <c r="AL56" s="20"/>
      <c r="AM56" s="20"/>
      <c r="AN56" s="20"/>
      <c r="AO56" s="20"/>
      <c r="AP56" s="446"/>
      <c r="AQ56" s="20"/>
      <c r="AR56" s="20"/>
      <c r="AS56" s="20"/>
      <c r="AT56" s="20"/>
      <c r="AU56" s="26"/>
      <c r="AV56" s="98"/>
      <c r="AW56" s="98"/>
      <c r="AX56" s="98"/>
      <c r="AY56" s="98"/>
      <c r="AZ56" s="98"/>
      <c r="BA56" s="217"/>
      <c r="BB56" s="98"/>
      <c r="BC56" s="98"/>
      <c r="BD56" s="98"/>
      <c r="BE56" s="98"/>
      <c r="BF56" s="98"/>
      <c r="BG56" s="219"/>
      <c r="BH56" s="219"/>
      <c r="BI56" s="219"/>
      <c r="BJ56" s="26"/>
      <c r="BK56" s="21"/>
      <c r="BL56" s="21"/>
      <c r="BM56" s="22"/>
      <c r="BN56" s="21"/>
      <c r="BO56" s="21"/>
      <c r="BP56" s="22"/>
      <c r="BQ56" s="21"/>
      <c r="BR56" s="21"/>
      <c r="BS56" s="22"/>
      <c r="BT5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56" s="109" t="str">
        <f>IF(ISNUMBER(tblParticipants[[#This Row],[SvcStartDate]]),IF(AND(tblParticipants[[#This Row],[EnrollQtr]]=1,tblParticipants[[#This Row],[SvcStartDate]]&lt;DATE(conProgYear,7,1)),1,""),"")</f>
        <v/>
      </c>
      <c r="BV5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56" s="232" t="str">
        <f t="shared" ca="1" si="0"/>
        <v/>
      </c>
      <c r="BX56" s="9">
        <f>IF(SUM(IF(tblParticipants[[#This Row],[AmIndOrAkNtv]]=1,1,0),IF(tblParticipants[[#This Row],[Asian]]=1,1,0),IF(tblParticipants[[#This Row],[BlkOrAfAmer]]=1,1,0),IF(tblParticipants[[#This Row],[NtvHawOrPacIsl]]=1,1,0),IF(tblParticipants[[#This Row],[White]]=1,1,0))&gt;1,1,0)</f>
        <v>0</v>
      </c>
      <c r="BY5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5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5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56" s="11">
        <f>IF(tblParticipants[[#This Row],[EarnWg2Qae]]=1,IFERROR(tblParticipants[[#This Row],[HoursPerWk2Qae]]*tblParticipants[[#This Row],[HrlyWg2Qae]]*13,0),0)</f>
        <v>0</v>
      </c>
      <c r="CC56" s="11">
        <f>IF(tblParticipants[[#This Row],[EarnWg3Qae]]=1,IFERROR(tblParticipants[[#This Row],[HoursPerWk3Qae]]*tblParticipants[[#This Row],[HrlyWg3Qae]]*13,0),0)</f>
        <v>0</v>
      </c>
      <c r="CD56" s="9">
        <f>IFERROR(IF(SUM(tblParticipants[[#This Row],[EarnWg1Qae]],tblParticipants[[#This Row],[EarnWg2Qae]],tblParticipants[[#This Row],[EarnWg3Qae]])=3,1,0),0)</f>
        <v>0</v>
      </c>
      <c r="CE56" s="12">
        <f>IF(tblParticipants[[#This Row],[EmplAll3Qae]]=1,tblParticipants[[#This Row],[Earnings2Qae]]+tblParticipants[[#This Row],[Earnings3Qae]],0)</f>
        <v>0</v>
      </c>
      <c r="CF56" s="407"/>
    </row>
    <row r="57" spans="1:84" x14ac:dyDescent="0.3">
      <c r="A57" s="19"/>
      <c r="B57" s="19"/>
      <c r="C57" s="20"/>
      <c r="D57" s="20"/>
      <c r="E57" s="26"/>
      <c r="F57" s="26"/>
      <c r="G57" s="26"/>
      <c r="H57" s="26"/>
      <c r="I57" s="26"/>
      <c r="J57" s="26"/>
      <c r="K57" s="26"/>
      <c r="L57" s="26"/>
      <c r="M57" s="20"/>
      <c r="N57" s="26"/>
      <c r="O57" s="22"/>
      <c r="P57" s="21"/>
      <c r="Q57" s="23"/>
      <c r="R57" s="21"/>
      <c r="S57" s="21"/>
      <c r="T57" s="21"/>
      <c r="U57" s="21"/>
      <c r="V57" s="21"/>
      <c r="W57" s="24"/>
      <c r="X57" s="20"/>
      <c r="Y57" s="20"/>
      <c r="Z57" s="21"/>
      <c r="AA57" s="21"/>
      <c r="AB57" s="21"/>
      <c r="AC57" s="21"/>
      <c r="AD57" s="21"/>
      <c r="AE57" s="21"/>
      <c r="AF57" s="21"/>
      <c r="AG57" s="21"/>
      <c r="AH57" s="21"/>
      <c r="AI57" s="25"/>
      <c r="AJ57" s="20"/>
      <c r="AK57" s="21"/>
      <c r="AL57" s="20"/>
      <c r="AM57" s="20"/>
      <c r="AN57" s="20"/>
      <c r="AO57" s="20"/>
      <c r="AP57" s="446"/>
      <c r="AQ57" s="20"/>
      <c r="AR57" s="20"/>
      <c r="AS57" s="20"/>
      <c r="AT57" s="20"/>
      <c r="AU57" s="26"/>
      <c r="AV57" s="98"/>
      <c r="AW57" s="98"/>
      <c r="AX57" s="98"/>
      <c r="AY57" s="98"/>
      <c r="AZ57" s="98"/>
      <c r="BA57" s="217"/>
      <c r="BB57" s="98"/>
      <c r="BC57" s="98"/>
      <c r="BD57" s="98"/>
      <c r="BE57" s="98"/>
      <c r="BF57" s="98"/>
      <c r="BG57" s="219"/>
      <c r="BH57" s="219"/>
      <c r="BI57" s="219"/>
      <c r="BJ57" s="26"/>
      <c r="BK57" s="21"/>
      <c r="BL57" s="21"/>
      <c r="BM57" s="22"/>
      <c r="BN57" s="21"/>
      <c r="BO57" s="21"/>
      <c r="BP57" s="22"/>
      <c r="BQ57" s="21"/>
      <c r="BR57" s="21"/>
      <c r="BS57" s="22"/>
      <c r="BT5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57" s="109" t="str">
        <f>IF(ISNUMBER(tblParticipants[[#This Row],[SvcStartDate]]),IF(AND(tblParticipants[[#This Row],[EnrollQtr]]=1,tblParticipants[[#This Row],[SvcStartDate]]&lt;DATE(conProgYear,7,1)),1,""),"")</f>
        <v/>
      </c>
      <c r="BV5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57" s="232" t="str">
        <f t="shared" ca="1" si="0"/>
        <v/>
      </c>
      <c r="BX57" s="9">
        <f>IF(SUM(IF(tblParticipants[[#This Row],[AmIndOrAkNtv]]=1,1,0),IF(tblParticipants[[#This Row],[Asian]]=1,1,0),IF(tblParticipants[[#This Row],[BlkOrAfAmer]]=1,1,0),IF(tblParticipants[[#This Row],[NtvHawOrPacIsl]]=1,1,0),IF(tblParticipants[[#This Row],[White]]=1,1,0))&gt;1,1,0)</f>
        <v>0</v>
      </c>
      <c r="BY5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5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5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57" s="11">
        <f>IF(tblParticipants[[#This Row],[EarnWg2Qae]]=1,IFERROR(tblParticipants[[#This Row],[HoursPerWk2Qae]]*tblParticipants[[#This Row],[HrlyWg2Qae]]*13,0),0)</f>
        <v>0</v>
      </c>
      <c r="CC57" s="11">
        <f>IF(tblParticipants[[#This Row],[EarnWg3Qae]]=1,IFERROR(tblParticipants[[#This Row],[HoursPerWk3Qae]]*tblParticipants[[#This Row],[HrlyWg3Qae]]*13,0),0)</f>
        <v>0</v>
      </c>
      <c r="CD57" s="9">
        <f>IFERROR(IF(SUM(tblParticipants[[#This Row],[EarnWg1Qae]],tblParticipants[[#This Row],[EarnWg2Qae]],tblParticipants[[#This Row],[EarnWg3Qae]])=3,1,0),0)</f>
        <v>0</v>
      </c>
      <c r="CE57" s="12">
        <f>IF(tblParticipants[[#This Row],[EmplAll3Qae]]=1,tblParticipants[[#This Row],[Earnings2Qae]]+tblParticipants[[#This Row],[Earnings3Qae]],0)</f>
        <v>0</v>
      </c>
      <c r="CF57" s="407"/>
    </row>
    <row r="58" spans="1:84" x14ac:dyDescent="0.3">
      <c r="A58" s="19"/>
      <c r="B58" s="19"/>
      <c r="C58" s="20"/>
      <c r="D58" s="20"/>
      <c r="E58" s="26"/>
      <c r="F58" s="26"/>
      <c r="G58" s="26"/>
      <c r="H58" s="26"/>
      <c r="I58" s="26"/>
      <c r="J58" s="26"/>
      <c r="K58" s="26"/>
      <c r="L58" s="26"/>
      <c r="M58" s="20"/>
      <c r="N58" s="26"/>
      <c r="O58" s="22"/>
      <c r="P58" s="21"/>
      <c r="Q58" s="23"/>
      <c r="R58" s="21"/>
      <c r="S58" s="21"/>
      <c r="T58" s="21"/>
      <c r="U58" s="21"/>
      <c r="V58" s="21"/>
      <c r="W58" s="24"/>
      <c r="X58" s="20"/>
      <c r="Y58" s="20"/>
      <c r="Z58" s="21"/>
      <c r="AA58" s="21"/>
      <c r="AB58" s="21"/>
      <c r="AC58" s="21"/>
      <c r="AD58" s="21"/>
      <c r="AE58" s="21"/>
      <c r="AF58" s="21"/>
      <c r="AG58" s="21"/>
      <c r="AH58" s="21"/>
      <c r="AI58" s="25"/>
      <c r="AJ58" s="20"/>
      <c r="AK58" s="21"/>
      <c r="AL58" s="20"/>
      <c r="AM58" s="20"/>
      <c r="AN58" s="20"/>
      <c r="AO58" s="20"/>
      <c r="AP58" s="446"/>
      <c r="AQ58" s="20"/>
      <c r="AR58" s="20"/>
      <c r="AS58" s="20"/>
      <c r="AT58" s="20"/>
      <c r="AU58" s="26"/>
      <c r="AV58" s="98"/>
      <c r="AW58" s="98"/>
      <c r="AX58" s="98"/>
      <c r="AY58" s="98"/>
      <c r="AZ58" s="98"/>
      <c r="BA58" s="217"/>
      <c r="BB58" s="98"/>
      <c r="BC58" s="98"/>
      <c r="BD58" s="98"/>
      <c r="BE58" s="98"/>
      <c r="BF58" s="98"/>
      <c r="BG58" s="219"/>
      <c r="BH58" s="219"/>
      <c r="BI58" s="219"/>
      <c r="BJ58" s="26"/>
      <c r="BK58" s="21"/>
      <c r="BL58" s="21"/>
      <c r="BM58" s="22"/>
      <c r="BN58" s="21"/>
      <c r="BO58" s="21"/>
      <c r="BP58" s="22"/>
      <c r="BQ58" s="21"/>
      <c r="BR58" s="21"/>
      <c r="BS58" s="22"/>
      <c r="BT5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58" s="109" t="str">
        <f>IF(ISNUMBER(tblParticipants[[#This Row],[SvcStartDate]]),IF(AND(tblParticipants[[#This Row],[EnrollQtr]]=1,tblParticipants[[#This Row],[SvcStartDate]]&lt;DATE(conProgYear,7,1)),1,""),"")</f>
        <v/>
      </c>
      <c r="BV5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58" s="232" t="str">
        <f t="shared" ca="1" si="0"/>
        <v/>
      </c>
      <c r="BX58" s="9">
        <f>IF(SUM(IF(tblParticipants[[#This Row],[AmIndOrAkNtv]]=1,1,0),IF(tblParticipants[[#This Row],[Asian]]=1,1,0),IF(tblParticipants[[#This Row],[BlkOrAfAmer]]=1,1,0),IF(tblParticipants[[#This Row],[NtvHawOrPacIsl]]=1,1,0),IF(tblParticipants[[#This Row],[White]]=1,1,0))&gt;1,1,0)</f>
        <v>0</v>
      </c>
      <c r="BY5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5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5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58" s="11">
        <f>IF(tblParticipants[[#This Row],[EarnWg2Qae]]=1,IFERROR(tblParticipants[[#This Row],[HoursPerWk2Qae]]*tblParticipants[[#This Row],[HrlyWg2Qae]]*13,0),0)</f>
        <v>0</v>
      </c>
      <c r="CC58" s="11">
        <f>IF(tblParticipants[[#This Row],[EarnWg3Qae]]=1,IFERROR(tblParticipants[[#This Row],[HoursPerWk3Qae]]*tblParticipants[[#This Row],[HrlyWg3Qae]]*13,0),0)</f>
        <v>0</v>
      </c>
      <c r="CD58" s="9">
        <f>IFERROR(IF(SUM(tblParticipants[[#This Row],[EarnWg1Qae]],tblParticipants[[#This Row],[EarnWg2Qae]],tblParticipants[[#This Row],[EarnWg3Qae]])=3,1,0),0)</f>
        <v>0</v>
      </c>
      <c r="CE58" s="12">
        <f>IF(tblParticipants[[#This Row],[EmplAll3Qae]]=1,tblParticipants[[#This Row],[Earnings2Qae]]+tblParticipants[[#This Row],[Earnings3Qae]],0)</f>
        <v>0</v>
      </c>
      <c r="CF58" s="407"/>
    </row>
    <row r="59" spans="1:84" x14ac:dyDescent="0.3">
      <c r="A59" s="19"/>
      <c r="B59" s="19"/>
      <c r="C59" s="20"/>
      <c r="D59" s="20"/>
      <c r="E59" s="26"/>
      <c r="F59" s="26"/>
      <c r="G59" s="26"/>
      <c r="H59" s="26"/>
      <c r="I59" s="26"/>
      <c r="J59" s="26"/>
      <c r="K59" s="26"/>
      <c r="L59" s="26"/>
      <c r="M59" s="20"/>
      <c r="N59" s="26"/>
      <c r="O59" s="22"/>
      <c r="P59" s="21"/>
      <c r="Q59" s="23"/>
      <c r="R59" s="21"/>
      <c r="S59" s="21"/>
      <c r="T59" s="21"/>
      <c r="U59" s="21"/>
      <c r="V59" s="21"/>
      <c r="W59" s="24"/>
      <c r="X59" s="20"/>
      <c r="Y59" s="20"/>
      <c r="Z59" s="21"/>
      <c r="AA59" s="21"/>
      <c r="AB59" s="21"/>
      <c r="AC59" s="21"/>
      <c r="AD59" s="21"/>
      <c r="AE59" s="21"/>
      <c r="AF59" s="21"/>
      <c r="AG59" s="21"/>
      <c r="AH59" s="21"/>
      <c r="AI59" s="25"/>
      <c r="AJ59" s="20"/>
      <c r="AK59" s="21"/>
      <c r="AL59" s="20"/>
      <c r="AM59" s="20"/>
      <c r="AN59" s="20"/>
      <c r="AO59" s="20"/>
      <c r="AP59" s="446"/>
      <c r="AQ59" s="20"/>
      <c r="AR59" s="20"/>
      <c r="AS59" s="20"/>
      <c r="AT59" s="20"/>
      <c r="AU59" s="26"/>
      <c r="AV59" s="98"/>
      <c r="AW59" s="98"/>
      <c r="AX59" s="98"/>
      <c r="AY59" s="98"/>
      <c r="AZ59" s="98"/>
      <c r="BA59" s="217"/>
      <c r="BB59" s="98"/>
      <c r="BC59" s="98"/>
      <c r="BD59" s="98"/>
      <c r="BE59" s="98"/>
      <c r="BF59" s="98"/>
      <c r="BG59" s="219"/>
      <c r="BH59" s="219"/>
      <c r="BI59" s="219"/>
      <c r="BJ59" s="26"/>
      <c r="BK59" s="21"/>
      <c r="BL59" s="21"/>
      <c r="BM59" s="22"/>
      <c r="BN59" s="21"/>
      <c r="BO59" s="21"/>
      <c r="BP59" s="22"/>
      <c r="BQ59" s="21"/>
      <c r="BR59" s="21"/>
      <c r="BS59" s="22"/>
      <c r="BT5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59" s="109" t="str">
        <f>IF(ISNUMBER(tblParticipants[[#This Row],[SvcStartDate]]),IF(AND(tblParticipants[[#This Row],[EnrollQtr]]=1,tblParticipants[[#This Row],[SvcStartDate]]&lt;DATE(conProgYear,7,1)),1,""),"")</f>
        <v/>
      </c>
      <c r="BV5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59" s="232" t="str">
        <f t="shared" ca="1" si="0"/>
        <v/>
      </c>
      <c r="BX59" s="9">
        <f>IF(SUM(IF(tblParticipants[[#This Row],[AmIndOrAkNtv]]=1,1,0),IF(tblParticipants[[#This Row],[Asian]]=1,1,0),IF(tblParticipants[[#This Row],[BlkOrAfAmer]]=1,1,0),IF(tblParticipants[[#This Row],[NtvHawOrPacIsl]]=1,1,0),IF(tblParticipants[[#This Row],[White]]=1,1,0))&gt;1,1,0)</f>
        <v>0</v>
      </c>
      <c r="BY5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5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5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59" s="11">
        <f>IF(tblParticipants[[#This Row],[EarnWg2Qae]]=1,IFERROR(tblParticipants[[#This Row],[HoursPerWk2Qae]]*tblParticipants[[#This Row],[HrlyWg2Qae]]*13,0),0)</f>
        <v>0</v>
      </c>
      <c r="CC59" s="11">
        <f>IF(tblParticipants[[#This Row],[EarnWg3Qae]]=1,IFERROR(tblParticipants[[#This Row],[HoursPerWk3Qae]]*tblParticipants[[#This Row],[HrlyWg3Qae]]*13,0),0)</f>
        <v>0</v>
      </c>
      <c r="CD59" s="9">
        <f>IFERROR(IF(SUM(tblParticipants[[#This Row],[EarnWg1Qae]],tblParticipants[[#This Row],[EarnWg2Qae]],tblParticipants[[#This Row],[EarnWg3Qae]])=3,1,0),0)</f>
        <v>0</v>
      </c>
      <c r="CE59" s="12">
        <f>IF(tblParticipants[[#This Row],[EmplAll3Qae]]=1,tblParticipants[[#This Row],[Earnings2Qae]]+tblParticipants[[#This Row],[Earnings3Qae]],0)</f>
        <v>0</v>
      </c>
      <c r="CF59" s="407"/>
    </row>
    <row r="60" spans="1:84" x14ac:dyDescent="0.3">
      <c r="A60" s="19"/>
      <c r="B60" s="19"/>
      <c r="C60" s="20"/>
      <c r="D60" s="20"/>
      <c r="E60" s="26"/>
      <c r="F60" s="26"/>
      <c r="G60" s="26"/>
      <c r="H60" s="26"/>
      <c r="I60" s="26"/>
      <c r="J60" s="26"/>
      <c r="K60" s="26"/>
      <c r="L60" s="26"/>
      <c r="M60" s="20"/>
      <c r="N60" s="26"/>
      <c r="O60" s="22"/>
      <c r="P60" s="21"/>
      <c r="Q60" s="23"/>
      <c r="R60" s="21"/>
      <c r="S60" s="21"/>
      <c r="T60" s="21"/>
      <c r="U60" s="21"/>
      <c r="V60" s="21"/>
      <c r="W60" s="24"/>
      <c r="X60" s="20"/>
      <c r="Y60" s="20"/>
      <c r="Z60" s="21"/>
      <c r="AA60" s="21"/>
      <c r="AB60" s="21"/>
      <c r="AC60" s="21"/>
      <c r="AD60" s="21"/>
      <c r="AE60" s="21"/>
      <c r="AF60" s="21"/>
      <c r="AG60" s="21"/>
      <c r="AH60" s="21"/>
      <c r="AI60" s="25"/>
      <c r="AJ60" s="20"/>
      <c r="AK60" s="21"/>
      <c r="AL60" s="20"/>
      <c r="AM60" s="20"/>
      <c r="AN60" s="20"/>
      <c r="AO60" s="20"/>
      <c r="AP60" s="446"/>
      <c r="AQ60" s="20"/>
      <c r="AR60" s="20"/>
      <c r="AS60" s="20"/>
      <c r="AT60" s="20"/>
      <c r="AU60" s="26"/>
      <c r="AV60" s="98"/>
      <c r="AW60" s="98"/>
      <c r="AX60" s="98"/>
      <c r="AY60" s="98"/>
      <c r="AZ60" s="98"/>
      <c r="BA60" s="217"/>
      <c r="BB60" s="98"/>
      <c r="BC60" s="98"/>
      <c r="BD60" s="98"/>
      <c r="BE60" s="98"/>
      <c r="BF60" s="98"/>
      <c r="BG60" s="219"/>
      <c r="BH60" s="219"/>
      <c r="BI60" s="219"/>
      <c r="BJ60" s="26"/>
      <c r="BK60" s="21"/>
      <c r="BL60" s="21"/>
      <c r="BM60" s="22"/>
      <c r="BN60" s="21"/>
      <c r="BO60" s="21"/>
      <c r="BP60" s="22"/>
      <c r="BQ60" s="21"/>
      <c r="BR60" s="21"/>
      <c r="BS60" s="22"/>
      <c r="BT6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60" s="109" t="str">
        <f>IF(ISNUMBER(tblParticipants[[#This Row],[SvcStartDate]]),IF(AND(tblParticipants[[#This Row],[EnrollQtr]]=1,tblParticipants[[#This Row],[SvcStartDate]]&lt;DATE(conProgYear,7,1)),1,""),"")</f>
        <v/>
      </c>
      <c r="BV6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60" s="232" t="str">
        <f t="shared" ca="1" si="0"/>
        <v/>
      </c>
      <c r="BX60" s="9">
        <f>IF(SUM(IF(tblParticipants[[#This Row],[AmIndOrAkNtv]]=1,1,0),IF(tblParticipants[[#This Row],[Asian]]=1,1,0),IF(tblParticipants[[#This Row],[BlkOrAfAmer]]=1,1,0),IF(tblParticipants[[#This Row],[NtvHawOrPacIsl]]=1,1,0),IF(tblParticipants[[#This Row],[White]]=1,1,0))&gt;1,1,0)</f>
        <v>0</v>
      </c>
      <c r="BY6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6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6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60" s="11">
        <f>IF(tblParticipants[[#This Row],[EarnWg2Qae]]=1,IFERROR(tblParticipants[[#This Row],[HoursPerWk2Qae]]*tblParticipants[[#This Row],[HrlyWg2Qae]]*13,0),0)</f>
        <v>0</v>
      </c>
      <c r="CC60" s="11">
        <f>IF(tblParticipants[[#This Row],[EarnWg3Qae]]=1,IFERROR(tblParticipants[[#This Row],[HoursPerWk3Qae]]*tblParticipants[[#This Row],[HrlyWg3Qae]]*13,0),0)</f>
        <v>0</v>
      </c>
      <c r="CD60" s="9">
        <f>IFERROR(IF(SUM(tblParticipants[[#This Row],[EarnWg1Qae]],tblParticipants[[#This Row],[EarnWg2Qae]],tblParticipants[[#This Row],[EarnWg3Qae]])=3,1,0),0)</f>
        <v>0</v>
      </c>
      <c r="CE60" s="12">
        <f>IF(tblParticipants[[#This Row],[EmplAll3Qae]]=1,tblParticipants[[#This Row],[Earnings2Qae]]+tblParticipants[[#This Row],[Earnings3Qae]],0)</f>
        <v>0</v>
      </c>
      <c r="CF60" s="407"/>
    </row>
    <row r="61" spans="1:84" x14ac:dyDescent="0.3">
      <c r="A61" s="19"/>
      <c r="B61" s="19"/>
      <c r="C61" s="20"/>
      <c r="D61" s="20"/>
      <c r="E61" s="26"/>
      <c r="F61" s="26"/>
      <c r="G61" s="26"/>
      <c r="H61" s="26"/>
      <c r="I61" s="26"/>
      <c r="J61" s="26"/>
      <c r="K61" s="26"/>
      <c r="L61" s="26"/>
      <c r="M61" s="20"/>
      <c r="N61" s="26"/>
      <c r="O61" s="22"/>
      <c r="P61" s="21"/>
      <c r="Q61" s="23"/>
      <c r="R61" s="21"/>
      <c r="S61" s="21"/>
      <c r="T61" s="21"/>
      <c r="U61" s="21"/>
      <c r="V61" s="21"/>
      <c r="W61" s="24"/>
      <c r="X61" s="20"/>
      <c r="Y61" s="20"/>
      <c r="Z61" s="21"/>
      <c r="AA61" s="21"/>
      <c r="AB61" s="21"/>
      <c r="AC61" s="21"/>
      <c r="AD61" s="21"/>
      <c r="AE61" s="21"/>
      <c r="AF61" s="21"/>
      <c r="AG61" s="21"/>
      <c r="AH61" s="21"/>
      <c r="AI61" s="25"/>
      <c r="AJ61" s="20"/>
      <c r="AK61" s="21"/>
      <c r="AL61" s="20"/>
      <c r="AM61" s="20"/>
      <c r="AN61" s="20"/>
      <c r="AO61" s="20"/>
      <c r="AP61" s="446"/>
      <c r="AQ61" s="20"/>
      <c r="AR61" s="20"/>
      <c r="AS61" s="20"/>
      <c r="AT61" s="20"/>
      <c r="AU61" s="26"/>
      <c r="AV61" s="98"/>
      <c r="AW61" s="98"/>
      <c r="AX61" s="98"/>
      <c r="AY61" s="98"/>
      <c r="AZ61" s="98"/>
      <c r="BA61" s="217"/>
      <c r="BB61" s="98"/>
      <c r="BC61" s="98"/>
      <c r="BD61" s="98"/>
      <c r="BE61" s="98"/>
      <c r="BF61" s="98"/>
      <c r="BG61" s="219"/>
      <c r="BH61" s="219"/>
      <c r="BI61" s="219"/>
      <c r="BJ61" s="26"/>
      <c r="BK61" s="21"/>
      <c r="BL61" s="21"/>
      <c r="BM61" s="22"/>
      <c r="BN61" s="21"/>
      <c r="BO61" s="21"/>
      <c r="BP61" s="22"/>
      <c r="BQ61" s="21"/>
      <c r="BR61" s="21"/>
      <c r="BS61" s="22"/>
      <c r="BT6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61" s="109" t="str">
        <f>IF(ISNUMBER(tblParticipants[[#This Row],[SvcStartDate]]),IF(AND(tblParticipants[[#This Row],[EnrollQtr]]=1,tblParticipants[[#This Row],[SvcStartDate]]&lt;DATE(conProgYear,7,1)),1,""),"")</f>
        <v/>
      </c>
      <c r="BV6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61" s="232" t="str">
        <f t="shared" ca="1" si="0"/>
        <v/>
      </c>
      <c r="BX61" s="9">
        <f>IF(SUM(IF(tblParticipants[[#This Row],[AmIndOrAkNtv]]=1,1,0),IF(tblParticipants[[#This Row],[Asian]]=1,1,0),IF(tblParticipants[[#This Row],[BlkOrAfAmer]]=1,1,0),IF(tblParticipants[[#This Row],[NtvHawOrPacIsl]]=1,1,0),IF(tblParticipants[[#This Row],[White]]=1,1,0))&gt;1,1,0)</f>
        <v>0</v>
      </c>
      <c r="BY6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6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6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61" s="11">
        <f>IF(tblParticipants[[#This Row],[EarnWg2Qae]]=1,IFERROR(tblParticipants[[#This Row],[HoursPerWk2Qae]]*tblParticipants[[#This Row],[HrlyWg2Qae]]*13,0),0)</f>
        <v>0</v>
      </c>
      <c r="CC61" s="11">
        <f>IF(tblParticipants[[#This Row],[EarnWg3Qae]]=1,IFERROR(tblParticipants[[#This Row],[HoursPerWk3Qae]]*tblParticipants[[#This Row],[HrlyWg3Qae]]*13,0),0)</f>
        <v>0</v>
      </c>
      <c r="CD61" s="9">
        <f>IFERROR(IF(SUM(tblParticipants[[#This Row],[EarnWg1Qae]],tblParticipants[[#This Row],[EarnWg2Qae]],tblParticipants[[#This Row],[EarnWg3Qae]])=3,1,0),0)</f>
        <v>0</v>
      </c>
      <c r="CE61" s="12">
        <f>IF(tblParticipants[[#This Row],[EmplAll3Qae]]=1,tblParticipants[[#This Row],[Earnings2Qae]]+tblParticipants[[#This Row],[Earnings3Qae]],0)</f>
        <v>0</v>
      </c>
      <c r="CF61" s="407"/>
    </row>
    <row r="62" spans="1:84" x14ac:dyDescent="0.3">
      <c r="A62" s="19"/>
      <c r="B62" s="107"/>
      <c r="C62" s="20"/>
      <c r="D62" s="20"/>
      <c r="E62" s="26"/>
      <c r="F62" s="26"/>
      <c r="G62" s="26"/>
      <c r="H62" s="26"/>
      <c r="I62" s="26"/>
      <c r="J62" s="26"/>
      <c r="K62" s="26"/>
      <c r="L62" s="26"/>
      <c r="M62" s="20"/>
      <c r="N62" s="26"/>
      <c r="O62" s="22"/>
      <c r="P62" s="21"/>
      <c r="Q62" s="23"/>
      <c r="R62" s="21"/>
      <c r="S62" s="21"/>
      <c r="T62" s="21"/>
      <c r="U62" s="21"/>
      <c r="V62" s="21"/>
      <c r="W62" s="24"/>
      <c r="X62" s="20"/>
      <c r="Y62" s="20"/>
      <c r="Z62" s="21"/>
      <c r="AA62" s="21"/>
      <c r="AB62" s="21"/>
      <c r="AC62" s="21"/>
      <c r="AD62" s="21"/>
      <c r="AE62" s="21"/>
      <c r="AF62" s="21"/>
      <c r="AG62" s="21"/>
      <c r="AH62" s="21"/>
      <c r="AI62" s="25"/>
      <c r="AJ62" s="20"/>
      <c r="AK62" s="21"/>
      <c r="AL62" s="20"/>
      <c r="AM62" s="20"/>
      <c r="AN62" s="20"/>
      <c r="AO62" s="20"/>
      <c r="AP62" s="446"/>
      <c r="AQ62" s="20"/>
      <c r="AR62" s="20"/>
      <c r="AS62" s="20"/>
      <c r="AT62" s="20"/>
      <c r="AU62" s="26"/>
      <c r="AV62" s="98"/>
      <c r="AW62" s="98"/>
      <c r="AX62" s="98"/>
      <c r="AY62" s="98"/>
      <c r="AZ62" s="98"/>
      <c r="BA62" s="217"/>
      <c r="BB62" s="98"/>
      <c r="BC62" s="98"/>
      <c r="BD62" s="98"/>
      <c r="BE62" s="98"/>
      <c r="BF62" s="98"/>
      <c r="BG62" s="219"/>
      <c r="BH62" s="219"/>
      <c r="BI62" s="219"/>
      <c r="BJ62" s="26"/>
      <c r="BK62" s="21"/>
      <c r="BL62" s="21"/>
      <c r="BM62" s="22"/>
      <c r="BN62" s="21"/>
      <c r="BO62" s="21"/>
      <c r="BP62" s="22"/>
      <c r="BQ62" s="21"/>
      <c r="BR62" s="21"/>
      <c r="BS62" s="22"/>
      <c r="BT6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62" s="109" t="str">
        <f>IF(ISNUMBER(tblParticipants[[#This Row],[SvcStartDate]]),IF(AND(tblParticipants[[#This Row],[EnrollQtr]]=1,tblParticipants[[#This Row],[SvcStartDate]]&lt;DATE(conProgYear,7,1)),1,""),"")</f>
        <v/>
      </c>
      <c r="BV6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62" s="232" t="str">
        <f t="shared" ca="1" si="0"/>
        <v/>
      </c>
      <c r="BX62" s="9">
        <f>IF(SUM(IF(tblParticipants[[#This Row],[AmIndOrAkNtv]]=1,1,0),IF(tblParticipants[[#This Row],[Asian]]=1,1,0),IF(tblParticipants[[#This Row],[BlkOrAfAmer]]=1,1,0),IF(tblParticipants[[#This Row],[NtvHawOrPacIsl]]=1,1,0),IF(tblParticipants[[#This Row],[White]]=1,1,0))&gt;1,1,0)</f>
        <v>0</v>
      </c>
      <c r="BY6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6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6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62" s="11">
        <f>IF(tblParticipants[[#This Row],[EarnWg2Qae]]=1,IFERROR(tblParticipants[[#This Row],[HoursPerWk2Qae]]*tblParticipants[[#This Row],[HrlyWg2Qae]]*13,0),0)</f>
        <v>0</v>
      </c>
      <c r="CC62" s="11">
        <f>IF(tblParticipants[[#This Row],[EarnWg3Qae]]=1,IFERROR(tblParticipants[[#This Row],[HoursPerWk3Qae]]*tblParticipants[[#This Row],[HrlyWg3Qae]]*13,0),0)</f>
        <v>0</v>
      </c>
      <c r="CD62" s="9">
        <f>IFERROR(IF(SUM(tblParticipants[[#This Row],[EarnWg1Qae]],tblParticipants[[#This Row],[EarnWg2Qae]],tblParticipants[[#This Row],[EarnWg3Qae]])=3,1,0),0)</f>
        <v>0</v>
      </c>
      <c r="CE62" s="12">
        <f>IF(tblParticipants[[#This Row],[EmplAll3Qae]]=1,tblParticipants[[#This Row],[Earnings2Qae]]+tblParticipants[[#This Row],[Earnings3Qae]],0)</f>
        <v>0</v>
      </c>
      <c r="CF62" s="407"/>
    </row>
    <row r="63" spans="1:84" x14ac:dyDescent="0.3">
      <c r="A63" s="19"/>
      <c r="B63" s="107"/>
      <c r="C63" s="20"/>
      <c r="D63" s="20"/>
      <c r="E63" s="26"/>
      <c r="F63" s="26"/>
      <c r="G63" s="26"/>
      <c r="H63" s="26"/>
      <c r="I63" s="26"/>
      <c r="J63" s="26"/>
      <c r="K63" s="26"/>
      <c r="L63" s="26"/>
      <c r="M63" s="20"/>
      <c r="N63" s="26"/>
      <c r="O63" s="22"/>
      <c r="P63" s="21"/>
      <c r="Q63" s="23"/>
      <c r="R63" s="21"/>
      <c r="S63" s="21"/>
      <c r="T63" s="21"/>
      <c r="U63" s="21"/>
      <c r="V63" s="21"/>
      <c r="W63" s="24"/>
      <c r="X63" s="20"/>
      <c r="Y63" s="20"/>
      <c r="Z63" s="21"/>
      <c r="AA63" s="21"/>
      <c r="AB63" s="21"/>
      <c r="AC63" s="21"/>
      <c r="AD63" s="21"/>
      <c r="AE63" s="21"/>
      <c r="AF63" s="21"/>
      <c r="AG63" s="21"/>
      <c r="AH63" s="21"/>
      <c r="AI63" s="25"/>
      <c r="AJ63" s="20"/>
      <c r="AK63" s="21"/>
      <c r="AL63" s="20"/>
      <c r="AM63" s="20"/>
      <c r="AN63" s="20"/>
      <c r="AO63" s="20"/>
      <c r="AP63" s="446"/>
      <c r="AQ63" s="20"/>
      <c r="AR63" s="20"/>
      <c r="AS63" s="20"/>
      <c r="AT63" s="20"/>
      <c r="AU63" s="26"/>
      <c r="AV63" s="98"/>
      <c r="AW63" s="98"/>
      <c r="AX63" s="98"/>
      <c r="AY63" s="98"/>
      <c r="AZ63" s="98"/>
      <c r="BA63" s="217"/>
      <c r="BB63" s="98"/>
      <c r="BC63" s="98"/>
      <c r="BD63" s="98"/>
      <c r="BE63" s="98"/>
      <c r="BF63" s="98"/>
      <c r="BG63" s="219"/>
      <c r="BH63" s="219"/>
      <c r="BI63" s="219"/>
      <c r="BJ63" s="26"/>
      <c r="BK63" s="21"/>
      <c r="BL63" s="21"/>
      <c r="BM63" s="22"/>
      <c r="BN63" s="21"/>
      <c r="BO63" s="21"/>
      <c r="BP63" s="22"/>
      <c r="BQ63" s="21"/>
      <c r="BR63" s="21"/>
      <c r="BS63" s="22"/>
      <c r="BT6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63" s="109" t="str">
        <f>IF(ISNUMBER(tblParticipants[[#This Row],[SvcStartDate]]),IF(AND(tblParticipants[[#This Row],[EnrollQtr]]=1,tblParticipants[[#This Row],[SvcStartDate]]&lt;DATE(conProgYear,7,1)),1,""),"")</f>
        <v/>
      </c>
      <c r="BV6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63" s="232" t="str">
        <f t="shared" ca="1" si="0"/>
        <v/>
      </c>
      <c r="BX63" s="9">
        <f>IF(SUM(IF(tblParticipants[[#This Row],[AmIndOrAkNtv]]=1,1,0),IF(tblParticipants[[#This Row],[Asian]]=1,1,0),IF(tblParticipants[[#This Row],[BlkOrAfAmer]]=1,1,0),IF(tblParticipants[[#This Row],[NtvHawOrPacIsl]]=1,1,0),IF(tblParticipants[[#This Row],[White]]=1,1,0))&gt;1,1,0)</f>
        <v>0</v>
      </c>
      <c r="BY6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6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6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63" s="11">
        <f>IF(tblParticipants[[#This Row],[EarnWg2Qae]]=1,IFERROR(tblParticipants[[#This Row],[HoursPerWk2Qae]]*tblParticipants[[#This Row],[HrlyWg2Qae]]*13,0),0)</f>
        <v>0</v>
      </c>
      <c r="CC63" s="11">
        <f>IF(tblParticipants[[#This Row],[EarnWg3Qae]]=1,IFERROR(tblParticipants[[#This Row],[HoursPerWk3Qae]]*tblParticipants[[#This Row],[HrlyWg3Qae]]*13,0),0)</f>
        <v>0</v>
      </c>
      <c r="CD63" s="9">
        <f>IFERROR(IF(SUM(tblParticipants[[#This Row],[EarnWg1Qae]],tblParticipants[[#This Row],[EarnWg2Qae]],tblParticipants[[#This Row],[EarnWg3Qae]])=3,1,0),0)</f>
        <v>0</v>
      </c>
      <c r="CE63" s="12">
        <f>IF(tblParticipants[[#This Row],[EmplAll3Qae]]=1,tblParticipants[[#This Row],[Earnings2Qae]]+tblParticipants[[#This Row],[Earnings3Qae]],0)</f>
        <v>0</v>
      </c>
      <c r="CF63" s="407"/>
    </row>
    <row r="64" spans="1:84" x14ac:dyDescent="0.3">
      <c r="A64" s="19"/>
      <c r="B64" s="19"/>
      <c r="C64" s="20"/>
      <c r="D64" s="20"/>
      <c r="E64" s="26"/>
      <c r="F64" s="26"/>
      <c r="G64" s="26"/>
      <c r="H64" s="26"/>
      <c r="I64" s="26"/>
      <c r="J64" s="26"/>
      <c r="K64" s="26"/>
      <c r="L64" s="26"/>
      <c r="M64" s="20"/>
      <c r="N64" s="26"/>
      <c r="O64" s="22"/>
      <c r="P64" s="21"/>
      <c r="Q64" s="23"/>
      <c r="R64" s="21"/>
      <c r="S64" s="21"/>
      <c r="T64" s="21"/>
      <c r="U64" s="21"/>
      <c r="V64" s="21"/>
      <c r="W64" s="24"/>
      <c r="X64" s="20"/>
      <c r="Y64" s="20"/>
      <c r="Z64" s="21"/>
      <c r="AA64" s="21"/>
      <c r="AB64" s="21"/>
      <c r="AC64" s="21"/>
      <c r="AD64" s="21"/>
      <c r="AE64" s="21"/>
      <c r="AF64" s="21"/>
      <c r="AG64" s="21"/>
      <c r="AH64" s="21"/>
      <c r="AI64" s="25"/>
      <c r="AJ64" s="20"/>
      <c r="AK64" s="21"/>
      <c r="AL64" s="20"/>
      <c r="AM64" s="20"/>
      <c r="AN64" s="20"/>
      <c r="AO64" s="20"/>
      <c r="AP64" s="446"/>
      <c r="AQ64" s="20"/>
      <c r="AR64" s="20"/>
      <c r="AS64" s="20"/>
      <c r="AT64" s="20"/>
      <c r="AU64" s="26"/>
      <c r="AV64" s="98"/>
      <c r="AW64" s="98"/>
      <c r="AX64" s="98"/>
      <c r="AY64" s="98"/>
      <c r="AZ64" s="98"/>
      <c r="BA64" s="217"/>
      <c r="BB64" s="98"/>
      <c r="BC64" s="98"/>
      <c r="BD64" s="98"/>
      <c r="BE64" s="98"/>
      <c r="BF64" s="98"/>
      <c r="BG64" s="219"/>
      <c r="BH64" s="219"/>
      <c r="BI64" s="219"/>
      <c r="BJ64" s="26"/>
      <c r="BK64" s="21"/>
      <c r="BL64" s="21"/>
      <c r="BM64" s="22"/>
      <c r="BN64" s="21"/>
      <c r="BO64" s="21"/>
      <c r="BP64" s="22"/>
      <c r="BQ64" s="21"/>
      <c r="BR64" s="21"/>
      <c r="BS64" s="22"/>
      <c r="BT6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64" s="109" t="str">
        <f>IF(ISNUMBER(tblParticipants[[#This Row],[SvcStartDate]]),IF(AND(tblParticipants[[#This Row],[EnrollQtr]]=1,tblParticipants[[#This Row],[SvcStartDate]]&lt;DATE(conProgYear,7,1)),1,""),"")</f>
        <v/>
      </c>
      <c r="BV6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64" s="232" t="str">
        <f t="shared" ca="1" si="0"/>
        <v/>
      </c>
      <c r="BX64" s="9">
        <f>IF(SUM(IF(tblParticipants[[#This Row],[AmIndOrAkNtv]]=1,1,0),IF(tblParticipants[[#This Row],[Asian]]=1,1,0),IF(tblParticipants[[#This Row],[BlkOrAfAmer]]=1,1,0),IF(tblParticipants[[#This Row],[NtvHawOrPacIsl]]=1,1,0),IF(tblParticipants[[#This Row],[White]]=1,1,0))&gt;1,1,0)</f>
        <v>0</v>
      </c>
      <c r="BY6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6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6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64" s="11">
        <f>IF(tblParticipants[[#This Row],[EarnWg2Qae]]=1,IFERROR(tblParticipants[[#This Row],[HoursPerWk2Qae]]*tblParticipants[[#This Row],[HrlyWg2Qae]]*13,0),0)</f>
        <v>0</v>
      </c>
      <c r="CC64" s="11">
        <f>IF(tblParticipants[[#This Row],[EarnWg3Qae]]=1,IFERROR(tblParticipants[[#This Row],[HoursPerWk3Qae]]*tblParticipants[[#This Row],[HrlyWg3Qae]]*13,0),0)</f>
        <v>0</v>
      </c>
      <c r="CD64" s="9">
        <f>IFERROR(IF(SUM(tblParticipants[[#This Row],[EarnWg1Qae]],tblParticipants[[#This Row],[EarnWg2Qae]],tblParticipants[[#This Row],[EarnWg3Qae]])=3,1,0),0)</f>
        <v>0</v>
      </c>
      <c r="CE64" s="12">
        <f>IF(tblParticipants[[#This Row],[EmplAll3Qae]]=1,tblParticipants[[#This Row],[Earnings2Qae]]+tblParticipants[[#This Row],[Earnings3Qae]],0)</f>
        <v>0</v>
      </c>
      <c r="CF64" s="407"/>
    </row>
    <row r="65" spans="1:84" x14ac:dyDescent="0.3">
      <c r="A65" s="19"/>
      <c r="B65" s="19"/>
      <c r="C65" s="20"/>
      <c r="D65" s="20"/>
      <c r="E65" s="26"/>
      <c r="F65" s="26"/>
      <c r="G65" s="26"/>
      <c r="H65" s="26"/>
      <c r="I65" s="26"/>
      <c r="J65" s="26"/>
      <c r="K65" s="26"/>
      <c r="L65" s="26"/>
      <c r="M65" s="20"/>
      <c r="N65" s="26"/>
      <c r="O65" s="22"/>
      <c r="P65" s="21"/>
      <c r="Q65" s="23"/>
      <c r="R65" s="21"/>
      <c r="S65" s="21"/>
      <c r="T65" s="21"/>
      <c r="U65" s="21"/>
      <c r="V65" s="21"/>
      <c r="W65" s="24"/>
      <c r="X65" s="20"/>
      <c r="Y65" s="20"/>
      <c r="Z65" s="21"/>
      <c r="AA65" s="21"/>
      <c r="AB65" s="21"/>
      <c r="AC65" s="21"/>
      <c r="AD65" s="21"/>
      <c r="AE65" s="21"/>
      <c r="AF65" s="21"/>
      <c r="AG65" s="21"/>
      <c r="AH65" s="21"/>
      <c r="AI65" s="25"/>
      <c r="AJ65" s="20"/>
      <c r="AK65" s="21"/>
      <c r="AL65" s="20"/>
      <c r="AM65" s="20"/>
      <c r="AN65" s="20"/>
      <c r="AO65" s="20"/>
      <c r="AP65" s="446"/>
      <c r="AQ65" s="20"/>
      <c r="AR65" s="20"/>
      <c r="AS65" s="20"/>
      <c r="AT65" s="20"/>
      <c r="AU65" s="26"/>
      <c r="AV65" s="98"/>
      <c r="AW65" s="98"/>
      <c r="AX65" s="98"/>
      <c r="AY65" s="98"/>
      <c r="AZ65" s="98"/>
      <c r="BA65" s="217"/>
      <c r="BB65" s="98"/>
      <c r="BC65" s="98"/>
      <c r="BD65" s="98"/>
      <c r="BE65" s="98"/>
      <c r="BF65" s="98"/>
      <c r="BG65" s="219"/>
      <c r="BH65" s="219"/>
      <c r="BI65" s="219"/>
      <c r="BJ65" s="26"/>
      <c r="BK65" s="21"/>
      <c r="BL65" s="21"/>
      <c r="BM65" s="22"/>
      <c r="BN65" s="21"/>
      <c r="BO65" s="21"/>
      <c r="BP65" s="22"/>
      <c r="BQ65" s="21"/>
      <c r="BR65" s="21"/>
      <c r="BS65" s="22"/>
      <c r="BT6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65" s="109" t="str">
        <f>IF(ISNUMBER(tblParticipants[[#This Row],[SvcStartDate]]),IF(AND(tblParticipants[[#This Row],[EnrollQtr]]=1,tblParticipants[[#This Row],[SvcStartDate]]&lt;DATE(conProgYear,7,1)),1,""),"")</f>
        <v/>
      </c>
      <c r="BV6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65" s="232" t="str">
        <f t="shared" ca="1" si="0"/>
        <v/>
      </c>
      <c r="BX65" s="9">
        <f>IF(SUM(IF(tblParticipants[[#This Row],[AmIndOrAkNtv]]=1,1,0),IF(tblParticipants[[#This Row],[Asian]]=1,1,0),IF(tblParticipants[[#This Row],[BlkOrAfAmer]]=1,1,0),IF(tblParticipants[[#This Row],[NtvHawOrPacIsl]]=1,1,0),IF(tblParticipants[[#This Row],[White]]=1,1,0))&gt;1,1,0)</f>
        <v>0</v>
      </c>
      <c r="BY6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6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6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65" s="11">
        <f>IF(tblParticipants[[#This Row],[EarnWg2Qae]]=1,IFERROR(tblParticipants[[#This Row],[HoursPerWk2Qae]]*tblParticipants[[#This Row],[HrlyWg2Qae]]*13,0),0)</f>
        <v>0</v>
      </c>
      <c r="CC65" s="11">
        <f>IF(tblParticipants[[#This Row],[EarnWg3Qae]]=1,IFERROR(tblParticipants[[#This Row],[HoursPerWk3Qae]]*tblParticipants[[#This Row],[HrlyWg3Qae]]*13,0),0)</f>
        <v>0</v>
      </c>
      <c r="CD65" s="9">
        <f>IFERROR(IF(SUM(tblParticipants[[#This Row],[EarnWg1Qae]],tblParticipants[[#This Row],[EarnWg2Qae]],tblParticipants[[#This Row],[EarnWg3Qae]])=3,1,0),0)</f>
        <v>0</v>
      </c>
      <c r="CE65" s="12">
        <f>IF(tblParticipants[[#This Row],[EmplAll3Qae]]=1,tblParticipants[[#This Row],[Earnings2Qae]]+tblParticipants[[#This Row],[Earnings3Qae]],0)</f>
        <v>0</v>
      </c>
      <c r="CF65" s="407"/>
    </row>
    <row r="66" spans="1:84" x14ac:dyDescent="0.3">
      <c r="A66" s="19"/>
      <c r="B66" s="107"/>
      <c r="C66" s="20"/>
      <c r="D66" s="20"/>
      <c r="E66" s="26"/>
      <c r="F66" s="26"/>
      <c r="G66" s="26"/>
      <c r="H66" s="26"/>
      <c r="I66" s="26"/>
      <c r="J66" s="26"/>
      <c r="K66" s="26"/>
      <c r="L66" s="26"/>
      <c r="M66" s="20"/>
      <c r="N66" s="26"/>
      <c r="O66" s="22"/>
      <c r="P66" s="21"/>
      <c r="Q66" s="23"/>
      <c r="R66" s="21"/>
      <c r="S66" s="21"/>
      <c r="T66" s="21"/>
      <c r="U66" s="21"/>
      <c r="V66" s="21"/>
      <c r="W66" s="24"/>
      <c r="X66" s="20"/>
      <c r="Y66" s="20"/>
      <c r="Z66" s="21"/>
      <c r="AA66" s="21"/>
      <c r="AB66" s="21"/>
      <c r="AC66" s="21"/>
      <c r="AD66" s="21"/>
      <c r="AE66" s="21"/>
      <c r="AF66" s="21"/>
      <c r="AG66" s="21"/>
      <c r="AH66" s="21"/>
      <c r="AI66" s="25"/>
      <c r="AJ66" s="20"/>
      <c r="AK66" s="21"/>
      <c r="AL66" s="20"/>
      <c r="AM66" s="20"/>
      <c r="AN66" s="20"/>
      <c r="AO66" s="20"/>
      <c r="AP66" s="446"/>
      <c r="AQ66" s="20"/>
      <c r="AR66" s="20"/>
      <c r="AS66" s="20"/>
      <c r="AT66" s="20"/>
      <c r="AU66" s="26"/>
      <c r="AV66" s="98"/>
      <c r="AW66" s="98"/>
      <c r="AX66" s="98"/>
      <c r="AY66" s="98"/>
      <c r="AZ66" s="98"/>
      <c r="BA66" s="217"/>
      <c r="BB66" s="98"/>
      <c r="BC66" s="98"/>
      <c r="BD66" s="98"/>
      <c r="BE66" s="98"/>
      <c r="BF66" s="98"/>
      <c r="BG66" s="219"/>
      <c r="BH66" s="219"/>
      <c r="BI66" s="219"/>
      <c r="BJ66" s="26"/>
      <c r="BK66" s="21"/>
      <c r="BL66" s="21"/>
      <c r="BM66" s="22"/>
      <c r="BN66" s="21"/>
      <c r="BO66" s="21"/>
      <c r="BP66" s="22"/>
      <c r="BQ66" s="21"/>
      <c r="BR66" s="21"/>
      <c r="BS66" s="22"/>
      <c r="BT6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66" s="109" t="str">
        <f>IF(ISNUMBER(tblParticipants[[#This Row],[SvcStartDate]]),IF(AND(tblParticipants[[#This Row],[EnrollQtr]]=1,tblParticipants[[#This Row],[SvcStartDate]]&lt;DATE(conProgYear,7,1)),1,""),"")</f>
        <v/>
      </c>
      <c r="BV6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66" s="232" t="str">
        <f t="shared" ca="1" si="0"/>
        <v/>
      </c>
      <c r="BX66" s="9">
        <f>IF(SUM(IF(tblParticipants[[#This Row],[AmIndOrAkNtv]]=1,1,0),IF(tblParticipants[[#This Row],[Asian]]=1,1,0),IF(tblParticipants[[#This Row],[BlkOrAfAmer]]=1,1,0),IF(tblParticipants[[#This Row],[NtvHawOrPacIsl]]=1,1,0),IF(tblParticipants[[#This Row],[White]]=1,1,0))&gt;1,1,0)</f>
        <v>0</v>
      </c>
      <c r="BY6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6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6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66" s="11">
        <f>IF(tblParticipants[[#This Row],[EarnWg2Qae]]=1,IFERROR(tblParticipants[[#This Row],[HoursPerWk2Qae]]*tblParticipants[[#This Row],[HrlyWg2Qae]]*13,0),0)</f>
        <v>0</v>
      </c>
      <c r="CC66" s="11">
        <f>IF(tblParticipants[[#This Row],[EarnWg3Qae]]=1,IFERROR(tblParticipants[[#This Row],[HoursPerWk3Qae]]*tblParticipants[[#This Row],[HrlyWg3Qae]]*13,0),0)</f>
        <v>0</v>
      </c>
      <c r="CD66" s="9">
        <f>IFERROR(IF(SUM(tblParticipants[[#This Row],[EarnWg1Qae]],tblParticipants[[#This Row],[EarnWg2Qae]],tblParticipants[[#This Row],[EarnWg3Qae]])=3,1,0),0)</f>
        <v>0</v>
      </c>
      <c r="CE66" s="12">
        <f>IF(tblParticipants[[#This Row],[EmplAll3Qae]]=1,tblParticipants[[#This Row],[Earnings2Qae]]+tblParticipants[[#This Row],[Earnings3Qae]],0)</f>
        <v>0</v>
      </c>
      <c r="CF66" s="407"/>
    </row>
    <row r="67" spans="1:84" x14ac:dyDescent="0.3">
      <c r="A67" s="19"/>
      <c r="B67" s="19"/>
      <c r="C67" s="20"/>
      <c r="D67" s="20"/>
      <c r="E67" s="26"/>
      <c r="F67" s="26"/>
      <c r="G67" s="26"/>
      <c r="H67" s="26"/>
      <c r="I67" s="26"/>
      <c r="J67" s="26"/>
      <c r="K67" s="26"/>
      <c r="L67" s="26"/>
      <c r="M67" s="20"/>
      <c r="N67" s="26"/>
      <c r="O67" s="22"/>
      <c r="P67" s="21"/>
      <c r="Q67" s="23"/>
      <c r="R67" s="21"/>
      <c r="S67" s="21"/>
      <c r="T67" s="21"/>
      <c r="U67" s="21"/>
      <c r="V67" s="21"/>
      <c r="W67" s="24"/>
      <c r="X67" s="20"/>
      <c r="Y67" s="20"/>
      <c r="Z67" s="21"/>
      <c r="AA67" s="21"/>
      <c r="AB67" s="21"/>
      <c r="AC67" s="21"/>
      <c r="AD67" s="21"/>
      <c r="AE67" s="21"/>
      <c r="AF67" s="21"/>
      <c r="AG67" s="21"/>
      <c r="AH67" s="21"/>
      <c r="AI67" s="25"/>
      <c r="AJ67" s="20"/>
      <c r="AK67" s="21"/>
      <c r="AL67" s="20"/>
      <c r="AM67" s="20"/>
      <c r="AN67" s="20"/>
      <c r="AO67" s="20"/>
      <c r="AP67" s="446"/>
      <c r="AQ67" s="20"/>
      <c r="AR67" s="20"/>
      <c r="AS67" s="20"/>
      <c r="AT67" s="20"/>
      <c r="AU67" s="26"/>
      <c r="AV67" s="98"/>
      <c r="AW67" s="98"/>
      <c r="AX67" s="98"/>
      <c r="AY67" s="98"/>
      <c r="AZ67" s="98"/>
      <c r="BA67" s="217"/>
      <c r="BB67" s="98"/>
      <c r="BC67" s="98"/>
      <c r="BD67" s="98"/>
      <c r="BE67" s="98"/>
      <c r="BF67" s="98"/>
      <c r="BG67" s="219"/>
      <c r="BH67" s="219"/>
      <c r="BI67" s="219"/>
      <c r="BJ67" s="26"/>
      <c r="BK67" s="21"/>
      <c r="BL67" s="21"/>
      <c r="BM67" s="22"/>
      <c r="BN67" s="21"/>
      <c r="BO67" s="21"/>
      <c r="BP67" s="22"/>
      <c r="BQ67" s="21"/>
      <c r="BR67" s="21"/>
      <c r="BS67" s="22"/>
      <c r="BT6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67" s="109" t="str">
        <f>IF(ISNUMBER(tblParticipants[[#This Row],[SvcStartDate]]),IF(AND(tblParticipants[[#This Row],[EnrollQtr]]=1,tblParticipants[[#This Row],[SvcStartDate]]&lt;DATE(conProgYear,7,1)),1,""),"")</f>
        <v/>
      </c>
      <c r="BV6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67" s="232" t="str">
        <f t="shared" ca="1" si="0"/>
        <v/>
      </c>
      <c r="BX67" s="9">
        <f>IF(SUM(IF(tblParticipants[[#This Row],[AmIndOrAkNtv]]=1,1,0),IF(tblParticipants[[#This Row],[Asian]]=1,1,0),IF(tblParticipants[[#This Row],[BlkOrAfAmer]]=1,1,0),IF(tblParticipants[[#This Row],[NtvHawOrPacIsl]]=1,1,0),IF(tblParticipants[[#This Row],[White]]=1,1,0))&gt;1,1,0)</f>
        <v>0</v>
      </c>
      <c r="BY6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6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6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67" s="11">
        <f>IF(tblParticipants[[#This Row],[EarnWg2Qae]]=1,IFERROR(tblParticipants[[#This Row],[HoursPerWk2Qae]]*tblParticipants[[#This Row],[HrlyWg2Qae]]*13,0),0)</f>
        <v>0</v>
      </c>
      <c r="CC67" s="11">
        <f>IF(tblParticipants[[#This Row],[EarnWg3Qae]]=1,IFERROR(tblParticipants[[#This Row],[HoursPerWk3Qae]]*tblParticipants[[#This Row],[HrlyWg3Qae]]*13,0),0)</f>
        <v>0</v>
      </c>
      <c r="CD67" s="9">
        <f>IFERROR(IF(SUM(tblParticipants[[#This Row],[EarnWg1Qae]],tblParticipants[[#This Row],[EarnWg2Qae]],tblParticipants[[#This Row],[EarnWg3Qae]])=3,1,0),0)</f>
        <v>0</v>
      </c>
      <c r="CE67" s="12">
        <f>IF(tblParticipants[[#This Row],[EmplAll3Qae]]=1,tblParticipants[[#This Row],[Earnings2Qae]]+tblParticipants[[#This Row],[Earnings3Qae]],0)</f>
        <v>0</v>
      </c>
      <c r="CF67" s="407"/>
    </row>
    <row r="68" spans="1:84" x14ac:dyDescent="0.3">
      <c r="A68" s="19"/>
      <c r="B68" s="107"/>
      <c r="C68" s="20"/>
      <c r="D68" s="20"/>
      <c r="E68" s="26"/>
      <c r="F68" s="26"/>
      <c r="G68" s="26"/>
      <c r="H68" s="26"/>
      <c r="I68" s="26"/>
      <c r="J68" s="26"/>
      <c r="K68" s="26"/>
      <c r="L68" s="26"/>
      <c r="M68" s="20"/>
      <c r="N68" s="26"/>
      <c r="O68" s="22"/>
      <c r="P68" s="21"/>
      <c r="Q68" s="23"/>
      <c r="R68" s="21"/>
      <c r="S68" s="21"/>
      <c r="T68" s="21"/>
      <c r="U68" s="21"/>
      <c r="V68" s="21"/>
      <c r="W68" s="24"/>
      <c r="X68" s="20"/>
      <c r="Y68" s="20"/>
      <c r="Z68" s="21"/>
      <c r="AA68" s="21"/>
      <c r="AB68" s="21"/>
      <c r="AC68" s="21"/>
      <c r="AD68" s="21"/>
      <c r="AE68" s="21"/>
      <c r="AF68" s="21"/>
      <c r="AG68" s="21"/>
      <c r="AH68" s="21"/>
      <c r="AI68" s="25"/>
      <c r="AJ68" s="20"/>
      <c r="AK68" s="21"/>
      <c r="AL68" s="20"/>
      <c r="AM68" s="20"/>
      <c r="AN68" s="20"/>
      <c r="AO68" s="20"/>
      <c r="AP68" s="446"/>
      <c r="AQ68" s="20"/>
      <c r="AR68" s="20"/>
      <c r="AS68" s="20"/>
      <c r="AT68" s="20"/>
      <c r="AU68" s="26"/>
      <c r="AV68" s="98"/>
      <c r="AW68" s="98"/>
      <c r="AX68" s="98"/>
      <c r="AY68" s="98"/>
      <c r="AZ68" s="98"/>
      <c r="BA68" s="217"/>
      <c r="BB68" s="98"/>
      <c r="BC68" s="98"/>
      <c r="BD68" s="98"/>
      <c r="BE68" s="98"/>
      <c r="BF68" s="98"/>
      <c r="BG68" s="219"/>
      <c r="BH68" s="219"/>
      <c r="BI68" s="219"/>
      <c r="BJ68" s="26"/>
      <c r="BK68" s="21"/>
      <c r="BL68" s="21"/>
      <c r="BM68" s="22"/>
      <c r="BN68" s="21"/>
      <c r="BO68" s="21"/>
      <c r="BP68" s="22"/>
      <c r="BQ68" s="21"/>
      <c r="BR68" s="21"/>
      <c r="BS68" s="22"/>
      <c r="BT6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68" s="109" t="str">
        <f>IF(ISNUMBER(tblParticipants[[#This Row],[SvcStartDate]]),IF(AND(tblParticipants[[#This Row],[EnrollQtr]]=1,tblParticipants[[#This Row],[SvcStartDate]]&lt;DATE(conProgYear,7,1)),1,""),"")</f>
        <v/>
      </c>
      <c r="BV6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68" s="232" t="str">
        <f t="shared" ca="1" si="0"/>
        <v/>
      </c>
      <c r="BX68" s="9">
        <f>IF(SUM(IF(tblParticipants[[#This Row],[AmIndOrAkNtv]]=1,1,0),IF(tblParticipants[[#This Row],[Asian]]=1,1,0),IF(tblParticipants[[#This Row],[BlkOrAfAmer]]=1,1,0),IF(tblParticipants[[#This Row],[NtvHawOrPacIsl]]=1,1,0),IF(tblParticipants[[#This Row],[White]]=1,1,0))&gt;1,1,0)</f>
        <v>0</v>
      </c>
      <c r="BY6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6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6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68" s="11">
        <f>IF(tblParticipants[[#This Row],[EarnWg2Qae]]=1,IFERROR(tblParticipants[[#This Row],[HoursPerWk2Qae]]*tblParticipants[[#This Row],[HrlyWg2Qae]]*13,0),0)</f>
        <v>0</v>
      </c>
      <c r="CC68" s="11">
        <f>IF(tblParticipants[[#This Row],[EarnWg3Qae]]=1,IFERROR(tblParticipants[[#This Row],[HoursPerWk3Qae]]*tblParticipants[[#This Row],[HrlyWg3Qae]]*13,0),0)</f>
        <v>0</v>
      </c>
      <c r="CD68" s="9">
        <f>IFERROR(IF(SUM(tblParticipants[[#This Row],[EarnWg1Qae]],tblParticipants[[#This Row],[EarnWg2Qae]],tblParticipants[[#This Row],[EarnWg3Qae]])=3,1,0),0)</f>
        <v>0</v>
      </c>
      <c r="CE68" s="12">
        <f>IF(tblParticipants[[#This Row],[EmplAll3Qae]]=1,tblParticipants[[#This Row],[Earnings2Qae]]+tblParticipants[[#This Row],[Earnings3Qae]],0)</f>
        <v>0</v>
      </c>
      <c r="CF68" s="407"/>
    </row>
    <row r="69" spans="1:84" x14ac:dyDescent="0.3">
      <c r="A69" s="19"/>
      <c r="B69" s="19"/>
      <c r="C69" s="20"/>
      <c r="D69" s="20"/>
      <c r="E69" s="26"/>
      <c r="F69" s="26"/>
      <c r="G69" s="26"/>
      <c r="H69" s="26"/>
      <c r="I69" s="26"/>
      <c r="J69" s="26"/>
      <c r="K69" s="26"/>
      <c r="L69" s="26"/>
      <c r="M69" s="20"/>
      <c r="N69" s="26"/>
      <c r="O69" s="22"/>
      <c r="P69" s="21"/>
      <c r="Q69" s="23"/>
      <c r="R69" s="21"/>
      <c r="S69" s="21"/>
      <c r="T69" s="21"/>
      <c r="U69" s="21"/>
      <c r="V69" s="21"/>
      <c r="W69" s="24"/>
      <c r="X69" s="20"/>
      <c r="Y69" s="20"/>
      <c r="Z69" s="21"/>
      <c r="AA69" s="21"/>
      <c r="AB69" s="21"/>
      <c r="AC69" s="21"/>
      <c r="AD69" s="21"/>
      <c r="AE69" s="21"/>
      <c r="AF69" s="21"/>
      <c r="AG69" s="21"/>
      <c r="AH69" s="21"/>
      <c r="AI69" s="25"/>
      <c r="AJ69" s="20"/>
      <c r="AK69" s="21"/>
      <c r="AL69" s="20"/>
      <c r="AM69" s="20"/>
      <c r="AN69" s="20"/>
      <c r="AO69" s="20"/>
      <c r="AP69" s="446"/>
      <c r="AQ69" s="20"/>
      <c r="AR69" s="20"/>
      <c r="AS69" s="20"/>
      <c r="AT69" s="20"/>
      <c r="AU69" s="26"/>
      <c r="AV69" s="98"/>
      <c r="AW69" s="98"/>
      <c r="AX69" s="98"/>
      <c r="AY69" s="98"/>
      <c r="AZ69" s="98"/>
      <c r="BA69" s="217"/>
      <c r="BB69" s="98"/>
      <c r="BC69" s="98"/>
      <c r="BD69" s="98"/>
      <c r="BE69" s="98"/>
      <c r="BF69" s="98"/>
      <c r="BG69" s="219"/>
      <c r="BH69" s="219"/>
      <c r="BI69" s="219"/>
      <c r="BJ69" s="26"/>
      <c r="BK69" s="21"/>
      <c r="BL69" s="21"/>
      <c r="BM69" s="22"/>
      <c r="BN69" s="21"/>
      <c r="BO69" s="21"/>
      <c r="BP69" s="22"/>
      <c r="BQ69" s="21"/>
      <c r="BR69" s="21"/>
      <c r="BS69" s="22"/>
      <c r="BT6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69" s="109" t="str">
        <f>IF(ISNUMBER(tblParticipants[[#This Row],[SvcStartDate]]),IF(AND(tblParticipants[[#This Row],[EnrollQtr]]=1,tblParticipants[[#This Row],[SvcStartDate]]&lt;DATE(conProgYear,7,1)),1,""),"")</f>
        <v/>
      </c>
      <c r="BV6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69" s="232" t="str">
        <f t="shared" ref="BW69:BW132" ca="1" si="1">IF(NOT(ISBLANK(INDIRECT("tblParticipants[@PlacedInEmp]"))),IF(INDIRECT("tblParticipants[@PlacedInEmp]")=1,IF(NOT(ISBLANK(INDIRECT("tblParticipants[@SvcEndDate]"))),IF(ISNUMBER(INDIRECT("tblParticipants[@SvcEndDate]")),IF(AND(INDIRECT("tblParticipants[@SvcEndDate]")&gt;=DATE(conProgYear,7,1),INDIRECT("tblParticipants[@SvcEndDate]")&lt;=DATE(conProgYear+1,6,30)),INDIRECT("tblParticipants[@ExitQtr]"),"ERR"),"ERR"),"ERR"),""),"")</f>
        <v/>
      </c>
      <c r="BX69" s="9">
        <f>IF(SUM(IF(tblParticipants[[#This Row],[AmIndOrAkNtv]]=1,1,0),IF(tblParticipants[[#This Row],[Asian]]=1,1,0),IF(tblParticipants[[#This Row],[BlkOrAfAmer]]=1,1,0),IF(tblParticipants[[#This Row],[NtvHawOrPacIsl]]=1,1,0),IF(tblParticipants[[#This Row],[White]]=1,1,0))&gt;1,1,0)</f>
        <v>0</v>
      </c>
      <c r="BY6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6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6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69" s="11">
        <f>IF(tblParticipants[[#This Row],[EarnWg2Qae]]=1,IFERROR(tblParticipants[[#This Row],[HoursPerWk2Qae]]*tblParticipants[[#This Row],[HrlyWg2Qae]]*13,0),0)</f>
        <v>0</v>
      </c>
      <c r="CC69" s="11">
        <f>IF(tblParticipants[[#This Row],[EarnWg3Qae]]=1,IFERROR(tblParticipants[[#This Row],[HoursPerWk3Qae]]*tblParticipants[[#This Row],[HrlyWg3Qae]]*13,0),0)</f>
        <v>0</v>
      </c>
      <c r="CD69" s="9">
        <f>IFERROR(IF(SUM(tblParticipants[[#This Row],[EarnWg1Qae]],tblParticipants[[#This Row],[EarnWg2Qae]],tblParticipants[[#This Row],[EarnWg3Qae]])=3,1,0),0)</f>
        <v>0</v>
      </c>
      <c r="CE69" s="12">
        <f>IF(tblParticipants[[#This Row],[EmplAll3Qae]]=1,tblParticipants[[#This Row],[Earnings2Qae]]+tblParticipants[[#This Row],[Earnings3Qae]],0)</f>
        <v>0</v>
      </c>
      <c r="CF69" s="407"/>
    </row>
    <row r="70" spans="1:84" x14ac:dyDescent="0.3">
      <c r="A70" s="19"/>
      <c r="B70" s="19"/>
      <c r="C70" s="20"/>
      <c r="D70" s="20"/>
      <c r="E70" s="26"/>
      <c r="F70" s="26"/>
      <c r="G70" s="26"/>
      <c r="H70" s="26"/>
      <c r="I70" s="26"/>
      <c r="J70" s="26"/>
      <c r="K70" s="26"/>
      <c r="L70" s="26"/>
      <c r="M70" s="20"/>
      <c r="N70" s="26"/>
      <c r="O70" s="22"/>
      <c r="P70" s="21"/>
      <c r="Q70" s="23"/>
      <c r="R70" s="21"/>
      <c r="S70" s="21"/>
      <c r="T70" s="21"/>
      <c r="U70" s="21"/>
      <c r="V70" s="21"/>
      <c r="W70" s="24"/>
      <c r="X70" s="20"/>
      <c r="Y70" s="20"/>
      <c r="Z70" s="21"/>
      <c r="AA70" s="21"/>
      <c r="AB70" s="21"/>
      <c r="AC70" s="21"/>
      <c r="AD70" s="21"/>
      <c r="AE70" s="21"/>
      <c r="AF70" s="21"/>
      <c r="AG70" s="21"/>
      <c r="AH70" s="21"/>
      <c r="AI70" s="25"/>
      <c r="AJ70" s="20"/>
      <c r="AK70" s="21"/>
      <c r="AL70" s="20"/>
      <c r="AM70" s="20"/>
      <c r="AN70" s="20"/>
      <c r="AO70" s="20"/>
      <c r="AP70" s="446"/>
      <c r="AQ70" s="20"/>
      <c r="AR70" s="20"/>
      <c r="AS70" s="20"/>
      <c r="AT70" s="20"/>
      <c r="AU70" s="26"/>
      <c r="AV70" s="98"/>
      <c r="AW70" s="98"/>
      <c r="AX70" s="98"/>
      <c r="AY70" s="98"/>
      <c r="AZ70" s="98"/>
      <c r="BA70" s="217"/>
      <c r="BB70" s="98"/>
      <c r="BC70" s="98"/>
      <c r="BD70" s="98"/>
      <c r="BE70" s="98"/>
      <c r="BF70" s="98"/>
      <c r="BG70" s="219"/>
      <c r="BH70" s="219"/>
      <c r="BI70" s="219"/>
      <c r="BJ70" s="26"/>
      <c r="BK70" s="21"/>
      <c r="BL70" s="21"/>
      <c r="BM70" s="22"/>
      <c r="BN70" s="21"/>
      <c r="BO70" s="21"/>
      <c r="BP70" s="22"/>
      <c r="BQ70" s="21"/>
      <c r="BR70" s="21"/>
      <c r="BS70" s="22"/>
      <c r="BT7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70" s="109" t="str">
        <f>IF(ISNUMBER(tblParticipants[[#This Row],[SvcStartDate]]),IF(AND(tblParticipants[[#This Row],[EnrollQtr]]=1,tblParticipants[[#This Row],[SvcStartDate]]&lt;DATE(conProgYear,7,1)),1,""),"")</f>
        <v/>
      </c>
      <c r="BV7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70" s="232" t="str">
        <f t="shared" ca="1" si="1"/>
        <v/>
      </c>
      <c r="BX70" s="9">
        <f>IF(SUM(IF(tblParticipants[[#This Row],[AmIndOrAkNtv]]=1,1,0),IF(tblParticipants[[#This Row],[Asian]]=1,1,0),IF(tblParticipants[[#This Row],[BlkOrAfAmer]]=1,1,0),IF(tblParticipants[[#This Row],[NtvHawOrPacIsl]]=1,1,0),IF(tblParticipants[[#This Row],[White]]=1,1,0))&gt;1,1,0)</f>
        <v>0</v>
      </c>
      <c r="BY7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7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7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70" s="11">
        <f>IF(tblParticipants[[#This Row],[EarnWg2Qae]]=1,IFERROR(tblParticipants[[#This Row],[HoursPerWk2Qae]]*tblParticipants[[#This Row],[HrlyWg2Qae]]*13,0),0)</f>
        <v>0</v>
      </c>
      <c r="CC70" s="11">
        <f>IF(tblParticipants[[#This Row],[EarnWg3Qae]]=1,IFERROR(tblParticipants[[#This Row],[HoursPerWk3Qae]]*tblParticipants[[#This Row],[HrlyWg3Qae]]*13,0),0)</f>
        <v>0</v>
      </c>
      <c r="CD70" s="9">
        <f>IFERROR(IF(SUM(tblParticipants[[#This Row],[EarnWg1Qae]],tblParticipants[[#This Row],[EarnWg2Qae]],tblParticipants[[#This Row],[EarnWg3Qae]])=3,1,0),0)</f>
        <v>0</v>
      </c>
      <c r="CE70" s="12">
        <f>IF(tblParticipants[[#This Row],[EmplAll3Qae]]=1,tblParticipants[[#This Row],[Earnings2Qae]]+tblParticipants[[#This Row],[Earnings3Qae]],0)</f>
        <v>0</v>
      </c>
      <c r="CF70" s="407"/>
    </row>
    <row r="71" spans="1:84" x14ac:dyDescent="0.3">
      <c r="A71" s="19"/>
      <c r="B71" s="19"/>
      <c r="C71" s="20"/>
      <c r="D71" s="20"/>
      <c r="E71" s="26"/>
      <c r="F71" s="26"/>
      <c r="G71" s="26"/>
      <c r="H71" s="26"/>
      <c r="I71" s="26"/>
      <c r="J71" s="26"/>
      <c r="K71" s="26"/>
      <c r="L71" s="26"/>
      <c r="M71" s="20"/>
      <c r="N71" s="26"/>
      <c r="O71" s="22"/>
      <c r="P71" s="21"/>
      <c r="Q71" s="23"/>
      <c r="R71" s="21"/>
      <c r="S71" s="21"/>
      <c r="T71" s="21"/>
      <c r="U71" s="21"/>
      <c r="V71" s="21"/>
      <c r="W71" s="24"/>
      <c r="X71" s="20"/>
      <c r="Y71" s="20"/>
      <c r="Z71" s="21"/>
      <c r="AA71" s="21"/>
      <c r="AB71" s="21"/>
      <c r="AC71" s="21"/>
      <c r="AD71" s="21"/>
      <c r="AE71" s="21"/>
      <c r="AF71" s="21"/>
      <c r="AG71" s="21"/>
      <c r="AH71" s="21"/>
      <c r="AI71" s="25"/>
      <c r="AJ71" s="20"/>
      <c r="AK71" s="21"/>
      <c r="AL71" s="20"/>
      <c r="AM71" s="20"/>
      <c r="AN71" s="20"/>
      <c r="AO71" s="20"/>
      <c r="AP71" s="446"/>
      <c r="AQ71" s="20"/>
      <c r="AR71" s="20"/>
      <c r="AS71" s="20"/>
      <c r="AT71" s="20"/>
      <c r="AU71" s="26"/>
      <c r="AV71" s="98"/>
      <c r="AW71" s="98"/>
      <c r="AX71" s="98"/>
      <c r="AY71" s="98"/>
      <c r="AZ71" s="98"/>
      <c r="BA71" s="217"/>
      <c r="BB71" s="98"/>
      <c r="BC71" s="98"/>
      <c r="BD71" s="98"/>
      <c r="BE71" s="98"/>
      <c r="BF71" s="98"/>
      <c r="BG71" s="219"/>
      <c r="BH71" s="219"/>
      <c r="BI71" s="219"/>
      <c r="BJ71" s="26"/>
      <c r="BK71" s="21"/>
      <c r="BL71" s="21"/>
      <c r="BM71" s="22"/>
      <c r="BN71" s="21"/>
      <c r="BO71" s="21"/>
      <c r="BP71" s="22"/>
      <c r="BQ71" s="21"/>
      <c r="BR71" s="21"/>
      <c r="BS71" s="22"/>
      <c r="BT7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71" s="109" t="str">
        <f>IF(ISNUMBER(tblParticipants[[#This Row],[SvcStartDate]]),IF(AND(tblParticipants[[#This Row],[EnrollQtr]]=1,tblParticipants[[#This Row],[SvcStartDate]]&lt;DATE(conProgYear,7,1)),1,""),"")</f>
        <v/>
      </c>
      <c r="BV7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71" s="232" t="str">
        <f t="shared" ca="1" si="1"/>
        <v/>
      </c>
      <c r="BX71" s="9">
        <f>IF(SUM(IF(tblParticipants[[#This Row],[AmIndOrAkNtv]]=1,1,0),IF(tblParticipants[[#This Row],[Asian]]=1,1,0),IF(tblParticipants[[#This Row],[BlkOrAfAmer]]=1,1,0),IF(tblParticipants[[#This Row],[NtvHawOrPacIsl]]=1,1,0),IF(tblParticipants[[#This Row],[White]]=1,1,0))&gt;1,1,0)</f>
        <v>0</v>
      </c>
      <c r="BY7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7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7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71" s="11">
        <f>IF(tblParticipants[[#This Row],[EarnWg2Qae]]=1,IFERROR(tblParticipants[[#This Row],[HoursPerWk2Qae]]*tblParticipants[[#This Row],[HrlyWg2Qae]]*13,0),0)</f>
        <v>0</v>
      </c>
      <c r="CC71" s="11">
        <f>IF(tblParticipants[[#This Row],[EarnWg3Qae]]=1,IFERROR(tblParticipants[[#This Row],[HoursPerWk3Qae]]*tblParticipants[[#This Row],[HrlyWg3Qae]]*13,0),0)</f>
        <v>0</v>
      </c>
      <c r="CD71" s="9">
        <f>IFERROR(IF(SUM(tblParticipants[[#This Row],[EarnWg1Qae]],tblParticipants[[#This Row],[EarnWg2Qae]],tblParticipants[[#This Row],[EarnWg3Qae]])=3,1,0),0)</f>
        <v>0</v>
      </c>
      <c r="CE71" s="12">
        <f>IF(tblParticipants[[#This Row],[EmplAll3Qae]]=1,tblParticipants[[#This Row],[Earnings2Qae]]+tblParticipants[[#This Row],[Earnings3Qae]],0)</f>
        <v>0</v>
      </c>
      <c r="CF71" s="407"/>
    </row>
    <row r="72" spans="1:84" x14ac:dyDescent="0.3">
      <c r="A72" s="19"/>
      <c r="B72" s="19"/>
      <c r="C72" s="20"/>
      <c r="D72" s="20"/>
      <c r="E72" s="26"/>
      <c r="F72" s="26"/>
      <c r="G72" s="26"/>
      <c r="H72" s="26"/>
      <c r="I72" s="26"/>
      <c r="J72" s="26"/>
      <c r="K72" s="26"/>
      <c r="L72" s="26"/>
      <c r="M72" s="20"/>
      <c r="N72" s="26"/>
      <c r="O72" s="22"/>
      <c r="P72" s="21"/>
      <c r="Q72" s="23"/>
      <c r="R72" s="21"/>
      <c r="S72" s="21"/>
      <c r="T72" s="21"/>
      <c r="U72" s="21"/>
      <c r="V72" s="21"/>
      <c r="W72" s="24"/>
      <c r="X72" s="20"/>
      <c r="Y72" s="20"/>
      <c r="Z72" s="21"/>
      <c r="AA72" s="21"/>
      <c r="AB72" s="21"/>
      <c r="AC72" s="21"/>
      <c r="AD72" s="21"/>
      <c r="AE72" s="21"/>
      <c r="AF72" s="21"/>
      <c r="AG72" s="21"/>
      <c r="AH72" s="21"/>
      <c r="AI72" s="25"/>
      <c r="AJ72" s="20"/>
      <c r="AK72" s="21"/>
      <c r="AL72" s="20"/>
      <c r="AM72" s="20"/>
      <c r="AN72" s="20"/>
      <c r="AO72" s="20"/>
      <c r="AP72" s="446"/>
      <c r="AQ72" s="20"/>
      <c r="AR72" s="20"/>
      <c r="AS72" s="20"/>
      <c r="AT72" s="20"/>
      <c r="AU72" s="26"/>
      <c r="AV72" s="98"/>
      <c r="AW72" s="98"/>
      <c r="AX72" s="98"/>
      <c r="AY72" s="98"/>
      <c r="AZ72" s="98"/>
      <c r="BA72" s="217"/>
      <c r="BB72" s="98"/>
      <c r="BC72" s="98"/>
      <c r="BD72" s="98"/>
      <c r="BE72" s="98"/>
      <c r="BF72" s="98"/>
      <c r="BG72" s="219"/>
      <c r="BH72" s="219"/>
      <c r="BI72" s="219"/>
      <c r="BJ72" s="26"/>
      <c r="BK72" s="21"/>
      <c r="BL72" s="21"/>
      <c r="BM72" s="22"/>
      <c r="BN72" s="21"/>
      <c r="BO72" s="21"/>
      <c r="BP72" s="22"/>
      <c r="BQ72" s="21"/>
      <c r="BR72" s="21"/>
      <c r="BS72" s="22"/>
      <c r="BT7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72" s="109" t="str">
        <f>IF(ISNUMBER(tblParticipants[[#This Row],[SvcStartDate]]),IF(AND(tblParticipants[[#This Row],[EnrollQtr]]=1,tblParticipants[[#This Row],[SvcStartDate]]&lt;DATE(conProgYear,7,1)),1,""),"")</f>
        <v/>
      </c>
      <c r="BV7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72" s="232" t="str">
        <f t="shared" ca="1" si="1"/>
        <v/>
      </c>
      <c r="BX72" s="9">
        <f>IF(SUM(IF(tblParticipants[[#This Row],[AmIndOrAkNtv]]=1,1,0),IF(tblParticipants[[#This Row],[Asian]]=1,1,0),IF(tblParticipants[[#This Row],[BlkOrAfAmer]]=1,1,0),IF(tblParticipants[[#This Row],[NtvHawOrPacIsl]]=1,1,0),IF(tblParticipants[[#This Row],[White]]=1,1,0))&gt;1,1,0)</f>
        <v>0</v>
      </c>
      <c r="BY7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7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7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72" s="11">
        <f>IF(tblParticipants[[#This Row],[EarnWg2Qae]]=1,IFERROR(tblParticipants[[#This Row],[HoursPerWk2Qae]]*tblParticipants[[#This Row],[HrlyWg2Qae]]*13,0),0)</f>
        <v>0</v>
      </c>
      <c r="CC72" s="11">
        <f>IF(tblParticipants[[#This Row],[EarnWg3Qae]]=1,IFERROR(tblParticipants[[#This Row],[HoursPerWk3Qae]]*tblParticipants[[#This Row],[HrlyWg3Qae]]*13,0),0)</f>
        <v>0</v>
      </c>
      <c r="CD72" s="9">
        <f>IFERROR(IF(SUM(tblParticipants[[#This Row],[EarnWg1Qae]],tblParticipants[[#This Row],[EarnWg2Qae]],tblParticipants[[#This Row],[EarnWg3Qae]])=3,1,0),0)</f>
        <v>0</v>
      </c>
      <c r="CE72" s="12">
        <f>IF(tblParticipants[[#This Row],[EmplAll3Qae]]=1,tblParticipants[[#This Row],[Earnings2Qae]]+tblParticipants[[#This Row],[Earnings3Qae]],0)</f>
        <v>0</v>
      </c>
      <c r="CF72" s="407"/>
    </row>
    <row r="73" spans="1:84" x14ac:dyDescent="0.3">
      <c r="A73" s="19"/>
      <c r="B73" s="19"/>
      <c r="C73" s="20"/>
      <c r="D73" s="20"/>
      <c r="E73" s="26"/>
      <c r="F73" s="26"/>
      <c r="G73" s="26"/>
      <c r="H73" s="26"/>
      <c r="I73" s="26"/>
      <c r="J73" s="26"/>
      <c r="K73" s="26"/>
      <c r="L73" s="26"/>
      <c r="M73" s="20"/>
      <c r="N73" s="26"/>
      <c r="O73" s="22"/>
      <c r="P73" s="21"/>
      <c r="Q73" s="23"/>
      <c r="R73" s="21"/>
      <c r="S73" s="21"/>
      <c r="T73" s="21"/>
      <c r="U73" s="21"/>
      <c r="V73" s="21"/>
      <c r="W73" s="24"/>
      <c r="X73" s="20"/>
      <c r="Y73" s="20"/>
      <c r="Z73" s="21"/>
      <c r="AA73" s="21"/>
      <c r="AB73" s="21"/>
      <c r="AC73" s="21"/>
      <c r="AD73" s="21"/>
      <c r="AE73" s="21"/>
      <c r="AF73" s="21"/>
      <c r="AG73" s="21"/>
      <c r="AH73" s="21"/>
      <c r="AI73" s="25"/>
      <c r="AJ73" s="20"/>
      <c r="AK73" s="21"/>
      <c r="AL73" s="20"/>
      <c r="AM73" s="20"/>
      <c r="AN73" s="20"/>
      <c r="AO73" s="20"/>
      <c r="AP73" s="446"/>
      <c r="AQ73" s="20"/>
      <c r="AR73" s="20"/>
      <c r="AS73" s="20"/>
      <c r="AT73" s="20"/>
      <c r="AU73" s="26"/>
      <c r="AV73" s="98"/>
      <c r="AW73" s="98"/>
      <c r="AX73" s="98"/>
      <c r="AY73" s="98"/>
      <c r="AZ73" s="98"/>
      <c r="BA73" s="217"/>
      <c r="BB73" s="98"/>
      <c r="BC73" s="98"/>
      <c r="BD73" s="98"/>
      <c r="BE73" s="98"/>
      <c r="BF73" s="98"/>
      <c r="BG73" s="219"/>
      <c r="BH73" s="219"/>
      <c r="BI73" s="219"/>
      <c r="BJ73" s="26"/>
      <c r="BK73" s="21"/>
      <c r="BL73" s="21"/>
      <c r="BM73" s="22"/>
      <c r="BN73" s="21"/>
      <c r="BO73" s="21"/>
      <c r="BP73" s="22"/>
      <c r="BQ73" s="21"/>
      <c r="BR73" s="21"/>
      <c r="BS73" s="22"/>
      <c r="BT7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73" s="109" t="str">
        <f>IF(ISNUMBER(tblParticipants[[#This Row],[SvcStartDate]]),IF(AND(tblParticipants[[#This Row],[EnrollQtr]]=1,tblParticipants[[#This Row],[SvcStartDate]]&lt;DATE(conProgYear,7,1)),1,""),"")</f>
        <v/>
      </c>
      <c r="BV7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73" s="232" t="str">
        <f t="shared" ca="1" si="1"/>
        <v/>
      </c>
      <c r="BX73" s="9">
        <f>IF(SUM(IF(tblParticipants[[#This Row],[AmIndOrAkNtv]]=1,1,0),IF(tblParticipants[[#This Row],[Asian]]=1,1,0),IF(tblParticipants[[#This Row],[BlkOrAfAmer]]=1,1,0),IF(tblParticipants[[#This Row],[NtvHawOrPacIsl]]=1,1,0),IF(tblParticipants[[#This Row],[White]]=1,1,0))&gt;1,1,0)</f>
        <v>0</v>
      </c>
      <c r="BY7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7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7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73" s="11">
        <f>IF(tblParticipants[[#This Row],[EarnWg2Qae]]=1,IFERROR(tblParticipants[[#This Row],[HoursPerWk2Qae]]*tblParticipants[[#This Row],[HrlyWg2Qae]]*13,0),0)</f>
        <v>0</v>
      </c>
      <c r="CC73" s="11">
        <f>IF(tblParticipants[[#This Row],[EarnWg3Qae]]=1,IFERROR(tblParticipants[[#This Row],[HoursPerWk3Qae]]*tblParticipants[[#This Row],[HrlyWg3Qae]]*13,0),0)</f>
        <v>0</v>
      </c>
      <c r="CD73" s="9">
        <f>IFERROR(IF(SUM(tblParticipants[[#This Row],[EarnWg1Qae]],tblParticipants[[#This Row],[EarnWg2Qae]],tblParticipants[[#This Row],[EarnWg3Qae]])=3,1,0),0)</f>
        <v>0</v>
      </c>
      <c r="CE73" s="12">
        <f>IF(tblParticipants[[#This Row],[EmplAll3Qae]]=1,tblParticipants[[#This Row],[Earnings2Qae]]+tblParticipants[[#This Row],[Earnings3Qae]],0)</f>
        <v>0</v>
      </c>
      <c r="CF73" s="407"/>
    </row>
    <row r="74" spans="1:84" x14ac:dyDescent="0.3">
      <c r="A74" s="19"/>
      <c r="B74" s="19"/>
      <c r="C74" s="20"/>
      <c r="D74" s="20"/>
      <c r="E74" s="26"/>
      <c r="F74" s="26"/>
      <c r="G74" s="26"/>
      <c r="H74" s="26"/>
      <c r="I74" s="26"/>
      <c r="J74" s="26"/>
      <c r="K74" s="26"/>
      <c r="L74" s="26"/>
      <c r="M74" s="20"/>
      <c r="N74" s="26"/>
      <c r="O74" s="22"/>
      <c r="P74" s="21"/>
      <c r="Q74" s="23"/>
      <c r="R74" s="21"/>
      <c r="S74" s="21"/>
      <c r="T74" s="21"/>
      <c r="U74" s="21"/>
      <c r="V74" s="21"/>
      <c r="W74" s="24"/>
      <c r="X74" s="20"/>
      <c r="Y74" s="20"/>
      <c r="Z74" s="21"/>
      <c r="AA74" s="21"/>
      <c r="AB74" s="21"/>
      <c r="AC74" s="21"/>
      <c r="AD74" s="21"/>
      <c r="AE74" s="21"/>
      <c r="AF74" s="21"/>
      <c r="AG74" s="21"/>
      <c r="AH74" s="21"/>
      <c r="AI74" s="25"/>
      <c r="AJ74" s="20"/>
      <c r="AK74" s="21"/>
      <c r="AL74" s="20"/>
      <c r="AM74" s="20"/>
      <c r="AN74" s="20"/>
      <c r="AO74" s="20"/>
      <c r="AP74" s="446"/>
      <c r="AQ74" s="20"/>
      <c r="AR74" s="20"/>
      <c r="AS74" s="20"/>
      <c r="AT74" s="20"/>
      <c r="AU74" s="26"/>
      <c r="AV74" s="98"/>
      <c r="AW74" s="98"/>
      <c r="AX74" s="98"/>
      <c r="AY74" s="98"/>
      <c r="AZ74" s="98"/>
      <c r="BA74" s="217"/>
      <c r="BB74" s="98"/>
      <c r="BC74" s="98"/>
      <c r="BD74" s="98"/>
      <c r="BE74" s="98"/>
      <c r="BF74" s="98"/>
      <c r="BG74" s="219"/>
      <c r="BH74" s="219"/>
      <c r="BI74" s="219"/>
      <c r="BJ74" s="26"/>
      <c r="BK74" s="21"/>
      <c r="BL74" s="21"/>
      <c r="BM74" s="22"/>
      <c r="BN74" s="21"/>
      <c r="BO74" s="21"/>
      <c r="BP74" s="22"/>
      <c r="BQ74" s="21"/>
      <c r="BR74" s="21"/>
      <c r="BS74" s="22"/>
      <c r="BT7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74" s="109" t="str">
        <f>IF(ISNUMBER(tblParticipants[[#This Row],[SvcStartDate]]),IF(AND(tblParticipants[[#This Row],[EnrollQtr]]=1,tblParticipants[[#This Row],[SvcStartDate]]&lt;DATE(conProgYear,7,1)),1,""),"")</f>
        <v/>
      </c>
      <c r="BV7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74" s="232" t="str">
        <f t="shared" ca="1" si="1"/>
        <v/>
      </c>
      <c r="BX74" s="9">
        <f>IF(SUM(IF(tblParticipants[[#This Row],[AmIndOrAkNtv]]=1,1,0),IF(tblParticipants[[#This Row],[Asian]]=1,1,0),IF(tblParticipants[[#This Row],[BlkOrAfAmer]]=1,1,0),IF(tblParticipants[[#This Row],[NtvHawOrPacIsl]]=1,1,0),IF(tblParticipants[[#This Row],[White]]=1,1,0))&gt;1,1,0)</f>
        <v>0</v>
      </c>
      <c r="BY7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7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7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74" s="11">
        <f>IF(tblParticipants[[#This Row],[EarnWg2Qae]]=1,IFERROR(tblParticipants[[#This Row],[HoursPerWk2Qae]]*tblParticipants[[#This Row],[HrlyWg2Qae]]*13,0),0)</f>
        <v>0</v>
      </c>
      <c r="CC74" s="11">
        <f>IF(tblParticipants[[#This Row],[EarnWg3Qae]]=1,IFERROR(tblParticipants[[#This Row],[HoursPerWk3Qae]]*tblParticipants[[#This Row],[HrlyWg3Qae]]*13,0),0)</f>
        <v>0</v>
      </c>
      <c r="CD74" s="9">
        <f>IFERROR(IF(SUM(tblParticipants[[#This Row],[EarnWg1Qae]],tblParticipants[[#This Row],[EarnWg2Qae]],tblParticipants[[#This Row],[EarnWg3Qae]])=3,1,0),0)</f>
        <v>0</v>
      </c>
      <c r="CE74" s="12">
        <f>IF(tblParticipants[[#This Row],[EmplAll3Qae]]=1,tblParticipants[[#This Row],[Earnings2Qae]]+tblParticipants[[#This Row],[Earnings3Qae]],0)</f>
        <v>0</v>
      </c>
      <c r="CF74" s="407"/>
    </row>
    <row r="75" spans="1:84" x14ac:dyDescent="0.3">
      <c r="A75" s="19"/>
      <c r="B75" s="19"/>
      <c r="C75" s="20"/>
      <c r="D75" s="20"/>
      <c r="E75" s="26"/>
      <c r="F75" s="26"/>
      <c r="G75" s="26"/>
      <c r="H75" s="26"/>
      <c r="I75" s="26"/>
      <c r="J75" s="26"/>
      <c r="K75" s="26"/>
      <c r="L75" s="26"/>
      <c r="M75" s="20"/>
      <c r="N75" s="26"/>
      <c r="O75" s="22"/>
      <c r="P75" s="21"/>
      <c r="Q75" s="23"/>
      <c r="R75" s="21"/>
      <c r="S75" s="21"/>
      <c r="T75" s="21"/>
      <c r="U75" s="21"/>
      <c r="V75" s="21"/>
      <c r="W75" s="24"/>
      <c r="X75" s="20"/>
      <c r="Y75" s="20"/>
      <c r="Z75" s="21"/>
      <c r="AA75" s="21"/>
      <c r="AB75" s="21"/>
      <c r="AC75" s="21"/>
      <c r="AD75" s="21"/>
      <c r="AE75" s="21"/>
      <c r="AF75" s="21"/>
      <c r="AG75" s="21"/>
      <c r="AH75" s="21"/>
      <c r="AI75" s="25"/>
      <c r="AJ75" s="20"/>
      <c r="AK75" s="21"/>
      <c r="AL75" s="20"/>
      <c r="AM75" s="20"/>
      <c r="AN75" s="20"/>
      <c r="AO75" s="20"/>
      <c r="AP75" s="446"/>
      <c r="AQ75" s="20"/>
      <c r="AR75" s="20"/>
      <c r="AS75" s="20"/>
      <c r="AT75" s="20"/>
      <c r="AU75" s="26"/>
      <c r="AV75" s="98"/>
      <c r="AW75" s="98"/>
      <c r="AX75" s="98"/>
      <c r="AY75" s="98"/>
      <c r="AZ75" s="98"/>
      <c r="BA75" s="217"/>
      <c r="BB75" s="98"/>
      <c r="BC75" s="98"/>
      <c r="BD75" s="98"/>
      <c r="BE75" s="98"/>
      <c r="BF75" s="98"/>
      <c r="BG75" s="219"/>
      <c r="BH75" s="219"/>
      <c r="BI75" s="219"/>
      <c r="BJ75" s="26"/>
      <c r="BK75" s="21"/>
      <c r="BL75" s="21"/>
      <c r="BM75" s="22"/>
      <c r="BN75" s="21"/>
      <c r="BO75" s="21"/>
      <c r="BP75" s="22"/>
      <c r="BQ75" s="21"/>
      <c r="BR75" s="21"/>
      <c r="BS75" s="22"/>
      <c r="BT7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75" s="109" t="str">
        <f>IF(ISNUMBER(tblParticipants[[#This Row],[SvcStartDate]]),IF(AND(tblParticipants[[#This Row],[EnrollQtr]]=1,tblParticipants[[#This Row],[SvcStartDate]]&lt;DATE(conProgYear,7,1)),1,""),"")</f>
        <v/>
      </c>
      <c r="BV7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75" s="232" t="str">
        <f t="shared" ca="1" si="1"/>
        <v/>
      </c>
      <c r="BX75" s="9">
        <f>IF(SUM(IF(tblParticipants[[#This Row],[AmIndOrAkNtv]]=1,1,0),IF(tblParticipants[[#This Row],[Asian]]=1,1,0),IF(tblParticipants[[#This Row],[BlkOrAfAmer]]=1,1,0),IF(tblParticipants[[#This Row],[NtvHawOrPacIsl]]=1,1,0),IF(tblParticipants[[#This Row],[White]]=1,1,0))&gt;1,1,0)</f>
        <v>0</v>
      </c>
      <c r="BY7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7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7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75" s="11">
        <f>IF(tblParticipants[[#This Row],[EarnWg2Qae]]=1,IFERROR(tblParticipants[[#This Row],[HoursPerWk2Qae]]*tblParticipants[[#This Row],[HrlyWg2Qae]]*13,0),0)</f>
        <v>0</v>
      </c>
      <c r="CC75" s="11">
        <f>IF(tblParticipants[[#This Row],[EarnWg3Qae]]=1,IFERROR(tblParticipants[[#This Row],[HoursPerWk3Qae]]*tblParticipants[[#This Row],[HrlyWg3Qae]]*13,0),0)</f>
        <v>0</v>
      </c>
      <c r="CD75" s="9">
        <f>IFERROR(IF(SUM(tblParticipants[[#This Row],[EarnWg1Qae]],tblParticipants[[#This Row],[EarnWg2Qae]],tblParticipants[[#This Row],[EarnWg3Qae]])=3,1,0),0)</f>
        <v>0</v>
      </c>
      <c r="CE75" s="12">
        <f>IF(tblParticipants[[#This Row],[EmplAll3Qae]]=1,tblParticipants[[#This Row],[Earnings2Qae]]+tblParticipants[[#This Row],[Earnings3Qae]],0)</f>
        <v>0</v>
      </c>
      <c r="CF75" s="407"/>
    </row>
    <row r="76" spans="1:84" x14ac:dyDescent="0.3">
      <c r="A76" s="19"/>
      <c r="B76" s="19"/>
      <c r="C76" s="20"/>
      <c r="D76" s="20"/>
      <c r="E76" s="26"/>
      <c r="F76" s="26"/>
      <c r="G76" s="26"/>
      <c r="H76" s="26"/>
      <c r="I76" s="26"/>
      <c r="J76" s="26"/>
      <c r="K76" s="26"/>
      <c r="L76" s="26"/>
      <c r="M76" s="20"/>
      <c r="N76" s="26"/>
      <c r="O76" s="22"/>
      <c r="P76" s="21"/>
      <c r="Q76" s="23"/>
      <c r="R76" s="21"/>
      <c r="S76" s="21"/>
      <c r="T76" s="21"/>
      <c r="U76" s="21"/>
      <c r="V76" s="21"/>
      <c r="W76" s="24"/>
      <c r="X76" s="20"/>
      <c r="Y76" s="20"/>
      <c r="Z76" s="21"/>
      <c r="AA76" s="21"/>
      <c r="AB76" s="21"/>
      <c r="AC76" s="21"/>
      <c r="AD76" s="21"/>
      <c r="AE76" s="21"/>
      <c r="AF76" s="21"/>
      <c r="AG76" s="21"/>
      <c r="AH76" s="21"/>
      <c r="AI76" s="25"/>
      <c r="AJ76" s="20"/>
      <c r="AK76" s="21"/>
      <c r="AL76" s="20"/>
      <c r="AM76" s="20"/>
      <c r="AN76" s="20"/>
      <c r="AO76" s="20"/>
      <c r="AP76" s="446"/>
      <c r="AQ76" s="20"/>
      <c r="AR76" s="20"/>
      <c r="AS76" s="20"/>
      <c r="AT76" s="20"/>
      <c r="AU76" s="26"/>
      <c r="AV76" s="98"/>
      <c r="AW76" s="98"/>
      <c r="AX76" s="98"/>
      <c r="AY76" s="98"/>
      <c r="AZ76" s="98"/>
      <c r="BA76" s="217"/>
      <c r="BB76" s="98"/>
      <c r="BC76" s="98"/>
      <c r="BD76" s="98"/>
      <c r="BE76" s="98"/>
      <c r="BF76" s="98"/>
      <c r="BG76" s="219"/>
      <c r="BH76" s="219"/>
      <c r="BI76" s="219"/>
      <c r="BJ76" s="26"/>
      <c r="BK76" s="21"/>
      <c r="BL76" s="21"/>
      <c r="BM76" s="22"/>
      <c r="BN76" s="21"/>
      <c r="BO76" s="21"/>
      <c r="BP76" s="22"/>
      <c r="BQ76" s="21"/>
      <c r="BR76" s="21"/>
      <c r="BS76" s="22"/>
      <c r="BT7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76" s="109" t="str">
        <f>IF(ISNUMBER(tblParticipants[[#This Row],[SvcStartDate]]),IF(AND(tblParticipants[[#This Row],[EnrollQtr]]=1,tblParticipants[[#This Row],[SvcStartDate]]&lt;DATE(conProgYear,7,1)),1,""),"")</f>
        <v/>
      </c>
      <c r="BV7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76" s="232" t="str">
        <f t="shared" ca="1" si="1"/>
        <v/>
      </c>
      <c r="BX76" s="9">
        <f>IF(SUM(IF(tblParticipants[[#This Row],[AmIndOrAkNtv]]=1,1,0),IF(tblParticipants[[#This Row],[Asian]]=1,1,0),IF(tblParticipants[[#This Row],[BlkOrAfAmer]]=1,1,0),IF(tblParticipants[[#This Row],[NtvHawOrPacIsl]]=1,1,0),IF(tblParticipants[[#This Row],[White]]=1,1,0))&gt;1,1,0)</f>
        <v>0</v>
      </c>
      <c r="BY7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7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7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76" s="11">
        <f>IF(tblParticipants[[#This Row],[EarnWg2Qae]]=1,IFERROR(tblParticipants[[#This Row],[HoursPerWk2Qae]]*tblParticipants[[#This Row],[HrlyWg2Qae]]*13,0),0)</f>
        <v>0</v>
      </c>
      <c r="CC76" s="11">
        <f>IF(tblParticipants[[#This Row],[EarnWg3Qae]]=1,IFERROR(tblParticipants[[#This Row],[HoursPerWk3Qae]]*tblParticipants[[#This Row],[HrlyWg3Qae]]*13,0),0)</f>
        <v>0</v>
      </c>
      <c r="CD76" s="9">
        <f>IFERROR(IF(SUM(tblParticipants[[#This Row],[EarnWg1Qae]],tblParticipants[[#This Row],[EarnWg2Qae]],tblParticipants[[#This Row],[EarnWg3Qae]])=3,1,0),0)</f>
        <v>0</v>
      </c>
      <c r="CE76" s="12">
        <f>IF(tblParticipants[[#This Row],[EmplAll3Qae]]=1,tblParticipants[[#This Row],[Earnings2Qae]]+tblParticipants[[#This Row],[Earnings3Qae]],0)</f>
        <v>0</v>
      </c>
      <c r="CF76" s="407"/>
    </row>
    <row r="77" spans="1:84" x14ac:dyDescent="0.3">
      <c r="A77" s="19"/>
      <c r="B77" s="19"/>
      <c r="C77" s="20"/>
      <c r="D77" s="20"/>
      <c r="E77" s="26"/>
      <c r="F77" s="26"/>
      <c r="G77" s="26"/>
      <c r="H77" s="26"/>
      <c r="I77" s="26"/>
      <c r="J77" s="26"/>
      <c r="K77" s="26"/>
      <c r="L77" s="26"/>
      <c r="M77" s="20"/>
      <c r="N77" s="26"/>
      <c r="O77" s="22"/>
      <c r="P77" s="21"/>
      <c r="Q77" s="23"/>
      <c r="R77" s="21"/>
      <c r="S77" s="21"/>
      <c r="T77" s="21"/>
      <c r="U77" s="21"/>
      <c r="V77" s="21"/>
      <c r="W77" s="24"/>
      <c r="X77" s="20"/>
      <c r="Y77" s="20"/>
      <c r="Z77" s="21"/>
      <c r="AA77" s="21"/>
      <c r="AB77" s="21"/>
      <c r="AC77" s="21"/>
      <c r="AD77" s="21"/>
      <c r="AE77" s="21"/>
      <c r="AF77" s="21"/>
      <c r="AG77" s="21"/>
      <c r="AH77" s="21"/>
      <c r="AI77" s="25"/>
      <c r="AJ77" s="20"/>
      <c r="AK77" s="21"/>
      <c r="AL77" s="20"/>
      <c r="AM77" s="20"/>
      <c r="AN77" s="20"/>
      <c r="AO77" s="20"/>
      <c r="AP77" s="446"/>
      <c r="AQ77" s="20"/>
      <c r="AR77" s="20"/>
      <c r="AS77" s="20"/>
      <c r="AT77" s="20"/>
      <c r="AU77" s="26"/>
      <c r="AV77" s="98"/>
      <c r="AW77" s="98"/>
      <c r="AX77" s="98"/>
      <c r="AY77" s="98"/>
      <c r="AZ77" s="98"/>
      <c r="BA77" s="217"/>
      <c r="BB77" s="98"/>
      <c r="BC77" s="98"/>
      <c r="BD77" s="98"/>
      <c r="BE77" s="98"/>
      <c r="BF77" s="98"/>
      <c r="BG77" s="219"/>
      <c r="BH77" s="219"/>
      <c r="BI77" s="219"/>
      <c r="BJ77" s="26"/>
      <c r="BK77" s="21"/>
      <c r="BL77" s="21"/>
      <c r="BM77" s="22"/>
      <c r="BN77" s="21"/>
      <c r="BO77" s="21"/>
      <c r="BP77" s="22"/>
      <c r="BQ77" s="21"/>
      <c r="BR77" s="21"/>
      <c r="BS77" s="22"/>
      <c r="BT7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77" s="109" t="str">
        <f>IF(ISNUMBER(tblParticipants[[#This Row],[SvcStartDate]]),IF(AND(tblParticipants[[#This Row],[EnrollQtr]]=1,tblParticipants[[#This Row],[SvcStartDate]]&lt;DATE(conProgYear,7,1)),1,""),"")</f>
        <v/>
      </c>
      <c r="BV7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77" s="232" t="str">
        <f t="shared" ca="1" si="1"/>
        <v/>
      </c>
      <c r="BX77" s="9">
        <f>IF(SUM(IF(tblParticipants[[#This Row],[AmIndOrAkNtv]]=1,1,0),IF(tblParticipants[[#This Row],[Asian]]=1,1,0),IF(tblParticipants[[#This Row],[BlkOrAfAmer]]=1,1,0),IF(tblParticipants[[#This Row],[NtvHawOrPacIsl]]=1,1,0),IF(tblParticipants[[#This Row],[White]]=1,1,0))&gt;1,1,0)</f>
        <v>0</v>
      </c>
      <c r="BY7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7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7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77" s="11">
        <f>IF(tblParticipants[[#This Row],[EarnWg2Qae]]=1,IFERROR(tblParticipants[[#This Row],[HoursPerWk2Qae]]*tblParticipants[[#This Row],[HrlyWg2Qae]]*13,0),0)</f>
        <v>0</v>
      </c>
      <c r="CC77" s="11">
        <f>IF(tblParticipants[[#This Row],[EarnWg3Qae]]=1,IFERROR(tblParticipants[[#This Row],[HoursPerWk3Qae]]*tblParticipants[[#This Row],[HrlyWg3Qae]]*13,0),0)</f>
        <v>0</v>
      </c>
      <c r="CD77" s="9">
        <f>IFERROR(IF(SUM(tblParticipants[[#This Row],[EarnWg1Qae]],tblParticipants[[#This Row],[EarnWg2Qae]],tblParticipants[[#This Row],[EarnWg3Qae]])=3,1,0),0)</f>
        <v>0</v>
      </c>
      <c r="CE77" s="12">
        <f>IF(tblParticipants[[#This Row],[EmplAll3Qae]]=1,tblParticipants[[#This Row],[Earnings2Qae]]+tblParticipants[[#This Row],[Earnings3Qae]],0)</f>
        <v>0</v>
      </c>
      <c r="CF77" s="407"/>
    </row>
    <row r="78" spans="1:84" x14ac:dyDescent="0.3">
      <c r="A78" s="19"/>
      <c r="B78" s="19"/>
      <c r="C78" s="20"/>
      <c r="D78" s="20"/>
      <c r="E78" s="26"/>
      <c r="F78" s="26"/>
      <c r="G78" s="26"/>
      <c r="H78" s="26"/>
      <c r="I78" s="26"/>
      <c r="J78" s="26"/>
      <c r="K78" s="26"/>
      <c r="L78" s="26"/>
      <c r="M78" s="20"/>
      <c r="N78" s="26"/>
      <c r="O78" s="22"/>
      <c r="P78" s="21"/>
      <c r="Q78" s="23"/>
      <c r="R78" s="21"/>
      <c r="S78" s="21"/>
      <c r="T78" s="21"/>
      <c r="U78" s="21"/>
      <c r="V78" s="21"/>
      <c r="W78" s="24"/>
      <c r="X78" s="20"/>
      <c r="Y78" s="20"/>
      <c r="Z78" s="21"/>
      <c r="AA78" s="21"/>
      <c r="AB78" s="21"/>
      <c r="AC78" s="21"/>
      <c r="AD78" s="21"/>
      <c r="AE78" s="21"/>
      <c r="AF78" s="21"/>
      <c r="AG78" s="21"/>
      <c r="AH78" s="21"/>
      <c r="AI78" s="25"/>
      <c r="AJ78" s="20"/>
      <c r="AK78" s="21"/>
      <c r="AL78" s="20"/>
      <c r="AM78" s="20"/>
      <c r="AN78" s="20"/>
      <c r="AO78" s="20"/>
      <c r="AP78" s="446"/>
      <c r="AQ78" s="20"/>
      <c r="AR78" s="20"/>
      <c r="AS78" s="20"/>
      <c r="AT78" s="20"/>
      <c r="AU78" s="26"/>
      <c r="AV78" s="98"/>
      <c r="AW78" s="98"/>
      <c r="AX78" s="98"/>
      <c r="AY78" s="98"/>
      <c r="AZ78" s="98"/>
      <c r="BA78" s="217"/>
      <c r="BB78" s="98"/>
      <c r="BC78" s="98"/>
      <c r="BD78" s="98"/>
      <c r="BE78" s="98"/>
      <c r="BF78" s="98"/>
      <c r="BG78" s="219"/>
      <c r="BH78" s="219"/>
      <c r="BI78" s="219"/>
      <c r="BJ78" s="26"/>
      <c r="BK78" s="21"/>
      <c r="BL78" s="21"/>
      <c r="BM78" s="22"/>
      <c r="BN78" s="21"/>
      <c r="BO78" s="21"/>
      <c r="BP78" s="22"/>
      <c r="BQ78" s="21"/>
      <c r="BR78" s="21"/>
      <c r="BS78" s="22"/>
      <c r="BT7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78" s="109" t="str">
        <f>IF(ISNUMBER(tblParticipants[[#This Row],[SvcStartDate]]),IF(AND(tblParticipants[[#This Row],[EnrollQtr]]=1,tblParticipants[[#This Row],[SvcStartDate]]&lt;DATE(conProgYear,7,1)),1,""),"")</f>
        <v/>
      </c>
      <c r="BV7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78" s="232" t="str">
        <f t="shared" ca="1" si="1"/>
        <v/>
      </c>
      <c r="BX78" s="9">
        <f>IF(SUM(IF(tblParticipants[[#This Row],[AmIndOrAkNtv]]=1,1,0),IF(tblParticipants[[#This Row],[Asian]]=1,1,0),IF(tblParticipants[[#This Row],[BlkOrAfAmer]]=1,1,0),IF(tblParticipants[[#This Row],[NtvHawOrPacIsl]]=1,1,0),IF(tblParticipants[[#This Row],[White]]=1,1,0))&gt;1,1,0)</f>
        <v>0</v>
      </c>
      <c r="BY7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7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7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78" s="11">
        <f>IF(tblParticipants[[#This Row],[EarnWg2Qae]]=1,IFERROR(tblParticipants[[#This Row],[HoursPerWk2Qae]]*tblParticipants[[#This Row],[HrlyWg2Qae]]*13,0),0)</f>
        <v>0</v>
      </c>
      <c r="CC78" s="11">
        <f>IF(tblParticipants[[#This Row],[EarnWg3Qae]]=1,IFERROR(tblParticipants[[#This Row],[HoursPerWk3Qae]]*tblParticipants[[#This Row],[HrlyWg3Qae]]*13,0),0)</f>
        <v>0</v>
      </c>
      <c r="CD78" s="9">
        <f>IFERROR(IF(SUM(tblParticipants[[#This Row],[EarnWg1Qae]],tblParticipants[[#This Row],[EarnWg2Qae]],tblParticipants[[#This Row],[EarnWg3Qae]])=3,1,0),0)</f>
        <v>0</v>
      </c>
      <c r="CE78" s="12">
        <f>IF(tblParticipants[[#This Row],[EmplAll3Qae]]=1,tblParticipants[[#This Row],[Earnings2Qae]]+tblParticipants[[#This Row],[Earnings3Qae]],0)</f>
        <v>0</v>
      </c>
      <c r="CF78" s="407"/>
    </row>
    <row r="79" spans="1:84" x14ac:dyDescent="0.3">
      <c r="A79" s="19"/>
      <c r="B79" s="19"/>
      <c r="C79" s="20"/>
      <c r="D79" s="20"/>
      <c r="E79" s="26"/>
      <c r="F79" s="26"/>
      <c r="G79" s="26"/>
      <c r="H79" s="26"/>
      <c r="I79" s="26"/>
      <c r="J79" s="26"/>
      <c r="K79" s="26"/>
      <c r="L79" s="26"/>
      <c r="M79" s="20"/>
      <c r="N79" s="26"/>
      <c r="O79" s="22"/>
      <c r="P79" s="21"/>
      <c r="Q79" s="23"/>
      <c r="R79" s="21"/>
      <c r="S79" s="21"/>
      <c r="T79" s="21"/>
      <c r="U79" s="21"/>
      <c r="V79" s="21"/>
      <c r="W79" s="24"/>
      <c r="X79" s="20"/>
      <c r="Y79" s="20"/>
      <c r="Z79" s="21"/>
      <c r="AA79" s="21"/>
      <c r="AB79" s="21"/>
      <c r="AC79" s="21"/>
      <c r="AD79" s="21"/>
      <c r="AE79" s="21"/>
      <c r="AF79" s="21"/>
      <c r="AG79" s="21"/>
      <c r="AH79" s="21"/>
      <c r="AI79" s="25"/>
      <c r="AJ79" s="20"/>
      <c r="AK79" s="21"/>
      <c r="AL79" s="20"/>
      <c r="AM79" s="20"/>
      <c r="AN79" s="20"/>
      <c r="AO79" s="20"/>
      <c r="AP79" s="446"/>
      <c r="AQ79" s="20"/>
      <c r="AR79" s="20"/>
      <c r="AS79" s="20"/>
      <c r="AT79" s="20"/>
      <c r="AU79" s="26"/>
      <c r="AV79" s="98"/>
      <c r="AW79" s="98"/>
      <c r="AX79" s="98"/>
      <c r="AY79" s="98"/>
      <c r="AZ79" s="98"/>
      <c r="BA79" s="217"/>
      <c r="BB79" s="98"/>
      <c r="BC79" s="98"/>
      <c r="BD79" s="98"/>
      <c r="BE79" s="98"/>
      <c r="BF79" s="98"/>
      <c r="BG79" s="219"/>
      <c r="BH79" s="219"/>
      <c r="BI79" s="219"/>
      <c r="BJ79" s="26"/>
      <c r="BK79" s="21"/>
      <c r="BL79" s="21"/>
      <c r="BM79" s="22"/>
      <c r="BN79" s="21"/>
      <c r="BO79" s="21"/>
      <c r="BP79" s="22"/>
      <c r="BQ79" s="21"/>
      <c r="BR79" s="21"/>
      <c r="BS79" s="22"/>
      <c r="BT7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79" s="109" t="str">
        <f>IF(ISNUMBER(tblParticipants[[#This Row],[SvcStartDate]]),IF(AND(tblParticipants[[#This Row],[EnrollQtr]]=1,tblParticipants[[#This Row],[SvcStartDate]]&lt;DATE(conProgYear,7,1)),1,""),"")</f>
        <v/>
      </c>
      <c r="BV7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79" s="232" t="str">
        <f t="shared" ca="1" si="1"/>
        <v/>
      </c>
      <c r="BX79" s="9">
        <f>IF(SUM(IF(tblParticipants[[#This Row],[AmIndOrAkNtv]]=1,1,0),IF(tblParticipants[[#This Row],[Asian]]=1,1,0),IF(tblParticipants[[#This Row],[BlkOrAfAmer]]=1,1,0),IF(tblParticipants[[#This Row],[NtvHawOrPacIsl]]=1,1,0),IF(tblParticipants[[#This Row],[White]]=1,1,0))&gt;1,1,0)</f>
        <v>0</v>
      </c>
      <c r="BY7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7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7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79" s="11">
        <f>IF(tblParticipants[[#This Row],[EarnWg2Qae]]=1,IFERROR(tblParticipants[[#This Row],[HoursPerWk2Qae]]*tblParticipants[[#This Row],[HrlyWg2Qae]]*13,0),0)</f>
        <v>0</v>
      </c>
      <c r="CC79" s="11">
        <f>IF(tblParticipants[[#This Row],[EarnWg3Qae]]=1,IFERROR(tblParticipants[[#This Row],[HoursPerWk3Qae]]*tblParticipants[[#This Row],[HrlyWg3Qae]]*13,0),0)</f>
        <v>0</v>
      </c>
      <c r="CD79" s="9">
        <f>IFERROR(IF(SUM(tblParticipants[[#This Row],[EarnWg1Qae]],tblParticipants[[#This Row],[EarnWg2Qae]],tblParticipants[[#This Row],[EarnWg3Qae]])=3,1,0),0)</f>
        <v>0</v>
      </c>
      <c r="CE79" s="12">
        <f>IF(tblParticipants[[#This Row],[EmplAll3Qae]]=1,tblParticipants[[#This Row],[Earnings2Qae]]+tblParticipants[[#This Row],[Earnings3Qae]],0)</f>
        <v>0</v>
      </c>
      <c r="CF79" s="407"/>
    </row>
    <row r="80" spans="1:84" x14ac:dyDescent="0.3">
      <c r="A80" s="19"/>
      <c r="B80" s="19"/>
      <c r="C80" s="20"/>
      <c r="D80" s="20"/>
      <c r="E80" s="26"/>
      <c r="F80" s="26"/>
      <c r="G80" s="26"/>
      <c r="H80" s="26"/>
      <c r="I80" s="26"/>
      <c r="J80" s="26"/>
      <c r="K80" s="26"/>
      <c r="L80" s="26"/>
      <c r="M80" s="20"/>
      <c r="N80" s="26"/>
      <c r="O80" s="22"/>
      <c r="P80" s="21"/>
      <c r="Q80" s="23"/>
      <c r="R80" s="21"/>
      <c r="S80" s="21"/>
      <c r="T80" s="21"/>
      <c r="U80" s="21"/>
      <c r="V80" s="21"/>
      <c r="W80" s="24"/>
      <c r="X80" s="20"/>
      <c r="Y80" s="20"/>
      <c r="Z80" s="21"/>
      <c r="AA80" s="21"/>
      <c r="AB80" s="21"/>
      <c r="AC80" s="21"/>
      <c r="AD80" s="21"/>
      <c r="AE80" s="21"/>
      <c r="AF80" s="21"/>
      <c r="AG80" s="21"/>
      <c r="AH80" s="21"/>
      <c r="AI80" s="25"/>
      <c r="AJ80" s="20"/>
      <c r="AK80" s="21"/>
      <c r="AL80" s="20"/>
      <c r="AM80" s="20"/>
      <c r="AN80" s="20"/>
      <c r="AO80" s="20"/>
      <c r="AP80" s="446"/>
      <c r="AQ80" s="20"/>
      <c r="AR80" s="20"/>
      <c r="AS80" s="20"/>
      <c r="AT80" s="20"/>
      <c r="AU80" s="26"/>
      <c r="AV80" s="98"/>
      <c r="AW80" s="98"/>
      <c r="AX80" s="98"/>
      <c r="AY80" s="98"/>
      <c r="AZ80" s="98"/>
      <c r="BA80" s="217"/>
      <c r="BB80" s="98"/>
      <c r="BC80" s="98"/>
      <c r="BD80" s="98"/>
      <c r="BE80" s="98"/>
      <c r="BF80" s="98"/>
      <c r="BG80" s="219"/>
      <c r="BH80" s="219"/>
      <c r="BI80" s="219"/>
      <c r="BJ80" s="26"/>
      <c r="BK80" s="21"/>
      <c r="BL80" s="21"/>
      <c r="BM80" s="22"/>
      <c r="BN80" s="21"/>
      <c r="BO80" s="21"/>
      <c r="BP80" s="22"/>
      <c r="BQ80" s="21"/>
      <c r="BR80" s="21"/>
      <c r="BS80" s="22"/>
      <c r="BT8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80" s="109" t="str">
        <f>IF(ISNUMBER(tblParticipants[[#This Row],[SvcStartDate]]),IF(AND(tblParticipants[[#This Row],[EnrollQtr]]=1,tblParticipants[[#This Row],[SvcStartDate]]&lt;DATE(conProgYear,7,1)),1,""),"")</f>
        <v/>
      </c>
      <c r="BV8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80" s="232" t="str">
        <f t="shared" ca="1" si="1"/>
        <v/>
      </c>
      <c r="BX80" s="9">
        <f>IF(SUM(IF(tblParticipants[[#This Row],[AmIndOrAkNtv]]=1,1,0),IF(tblParticipants[[#This Row],[Asian]]=1,1,0),IF(tblParticipants[[#This Row],[BlkOrAfAmer]]=1,1,0),IF(tblParticipants[[#This Row],[NtvHawOrPacIsl]]=1,1,0),IF(tblParticipants[[#This Row],[White]]=1,1,0))&gt;1,1,0)</f>
        <v>0</v>
      </c>
      <c r="BY8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8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8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80" s="11">
        <f>IF(tblParticipants[[#This Row],[EarnWg2Qae]]=1,IFERROR(tblParticipants[[#This Row],[HoursPerWk2Qae]]*tblParticipants[[#This Row],[HrlyWg2Qae]]*13,0),0)</f>
        <v>0</v>
      </c>
      <c r="CC80" s="11">
        <f>IF(tblParticipants[[#This Row],[EarnWg3Qae]]=1,IFERROR(tblParticipants[[#This Row],[HoursPerWk3Qae]]*tblParticipants[[#This Row],[HrlyWg3Qae]]*13,0),0)</f>
        <v>0</v>
      </c>
      <c r="CD80" s="9">
        <f>IFERROR(IF(SUM(tblParticipants[[#This Row],[EarnWg1Qae]],tblParticipants[[#This Row],[EarnWg2Qae]],tblParticipants[[#This Row],[EarnWg3Qae]])=3,1,0),0)</f>
        <v>0</v>
      </c>
      <c r="CE80" s="12">
        <f>IF(tblParticipants[[#This Row],[EmplAll3Qae]]=1,tblParticipants[[#This Row],[Earnings2Qae]]+tblParticipants[[#This Row],[Earnings3Qae]],0)</f>
        <v>0</v>
      </c>
      <c r="CF80" s="407"/>
    </row>
    <row r="81" spans="1:84" x14ac:dyDescent="0.3">
      <c r="A81" s="19"/>
      <c r="B81" s="19"/>
      <c r="C81" s="20"/>
      <c r="D81" s="20"/>
      <c r="E81" s="26"/>
      <c r="F81" s="26"/>
      <c r="G81" s="26"/>
      <c r="H81" s="26"/>
      <c r="I81" s="26"/>
      <c r="J81" s="26"/>
      <c r="K81" s="26"/>
      <c r="L81" s="26"/>
      <c r="M81" s="20"/>
      <c r="N81" s="26"/>
      <c r="O81" s="22"/>
      <c r="P81" s="21"/>
      <c r="Q81" s="23"/>
      <c r="R81" s="21"/>
      <c r="S81" s="21"/>
      <c r="T81" s="21"/>
      <c r="U81" s="21"/>
      <c r="V81" s="21"/>
      <c r="W81" s="24"/>
      <c r="X81" s="20"/>
      <c r="Y81" s="20"/>
      <c r="Z81" s="21"/>
      <c r="AA81" s="21"/>
      <c r="AB81" s="21"/>
      <c r="AC81" s="21"/>
      <c r="AD81" s="21"/>
      <c r="AE81" s="21"/>
      <c r="AF81" s="21"/>
      <c r="AG81" s="21"/>
      <c r="AH81" s="21"/>
      <c r="AI81" s="25"/>
      <c r="AJ81" s="20"/>
      <c r="AK81" s="21"/>
      <c r="AL81" s="20"/>
      <c r="AM81" s="20"/>
      <c r="AN81" s="20"/>
      <c r="AO81" s="20"/>
      <c r="AP81" s="446"/>
      <c r="AQ81" s="20"/>
      <c r="AR81" s="20"/>
      <c r="AS81" s="20"/>
      <c r="AT81" s="20"/>
      <c r="AU81" s="26"/>
      <c r="AV81" s="98"/>
      <c r="AW81" s="98"/>
      <c r="AX81" s="98"/>
      <c r="AY81" s="98"/>
      <c r="AZ81" s="98"/>
      <c r="BA81" s="217"/>
      <c r="BB81" s="98"/>
      <c r="BC81" s="98"/>
      <c r="BD81" s="98"/>
      <c r="BE81" s="98"/>
      <c r="BF81" s="98"/>
      <c r="BG81" s="219"/>
      <c r="BH81" s="219"/>
      <c r="BI81" s="219"/>
      <c r="BJ81" s="26"/>
      <c r="BK81" s="21"/>
      <c r="BL81" s="21"/>
      <c r="BM81" s="22"/>
      <c r="BN81" s="21"/>
      <c r="BO81" s="21"/>
      <c r="BP81" s="22"/>
      <c r="BQ81" s="21"/>
      <c r="BR81" s="21"/>
      <c r="BS81" s="22"/>
      <c r="BT8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81" s="109" t="str">
        <f>IF(ISNUMBER(tblParticipants[[#This Row],[SvcStartDate]]),IF(AND(tblParticipants[[#This Row],[EnrollQtr]]=1,tblParticipants[[#This Row],[SvcStartDate]]&lt;DATE(conProgYear,7,1)),1,""),"")</f>
        <v/>
      </c>
      <c r="BV8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81" s="232" t="str">
        <f t="shared" ca="1" si="1"/>
        <v/>
      </c>
      <c r="BX81" s="9">
        <f>IF(SUM(IF(tblParticipants[[#This Row],[AmIndOrAkNtv]]=1,1,0),IF(tblParticipants[[#This Row],[Asian]]=1,1,0),IF(tblParticipants[[#This Row],[BlkOrAfAmer]]=1,1,0),IF(tblParticipants[[#This Row],[NtvHawOrPacIsl]]=1,1,0),IF(tblParticipants[[#This Row],[White]]=1,1,0))&gt;1,1,0)</f>
        <v>0</v>
      </c>
      <c r="BY8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8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8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81" s="11">
        <f>IF(tblParticipants[[#This Row],[EarnWg2Qae]]=1,IFERROR(tblParticipants[[#This Row],[HoursPerWk2Qae]]*tblParticipants[[#This Row],[HrlyWg2Qae]]*13,0),0)</f>
        <v>0</v>
      </c>
      <c r="CC81" s="11">
        <f>IF(tblParticipants[[#This Row],[EarnWg3Qae]]=1,IFERROR(tblParticipants[[#This Row],[HoursPerWk3Qae]]*tblParticipants[[#This Row],[HrlyWg3Qae]]*13,0),0)</f>
        <v>0</v>
      </c>
      <c r="CD81" s="9">
        <f>IFERROR(IF(SUM(tblParticipants[[#This Row],[EarnWg1Qae]],tblParticipants[[#This Row],[EarnWg2Qae]],tblParticipants[[#This Row],[EarnWg3Qae]])=3,1,0),0)</f>
        <v>0</v>
      </c>
      <c r="CE81" s="12">
        <f>IF(tblParticipants[[#This Row],[EmplAll3Qae]]=1,tblParticipants[[#This Row],[Earnings2Qae]]+tblParticipants[[#This Row],[Earnings3Qae]],0)</f>
        <v>0</v>
      </c>
      <c r="CF81" s="407"/>
    </row>
    <row r="82" spans="1:84" x14ac:dyDescent="0.3">
      <c r="A82" s="19"/>
      <c r="B82" s="19"/>
      <c r="C82" s="20"/>
      <c r="D82" s="20"/>
      <c r="E82" s="26"/>
      <c r="F82" s="26"/>
      <c r="G82" s="26"/>
      <c r="H82" s="26"/>
      <c r="I82" s="26"/>
      <c r="J82" s="26"/>
      <c r="K82" s="26"/>
      <c r="L82" s="26"/>
      <c r="M82" s="20"/>
      <c r="N82" s="26"/>
      <c r="O82" s="22"/>
      <c r="P82" s="21"/>
      <c r="Q82" s="23"/>
      <c r="R82" s="21"/>
      <c r="S82" s="21"/>
      <c r="T82" s="21"/>
      <c r="U82" s="21"/>
      <c r="V82" s="21"/>
      <c r="W82" s="24"/>
      <c r="X82" s="20"/>
      <c r="Y82" s="20"/>
      <c r="Z82" s="21"/>
      <c r="AA82" s="21"/>
      <c r="AB82" s="21"/>
      <c r="AC82" s="21"/>
      <c r="AD82" s="21"/>
      <c r="AE82" s="21"/>
      <c r="AF82" s="21"/>
      <c r="AG82" s="21"/>
      <c r="AH82" s="21"/>
      <c r="AI82" s="25"/>
      <c r="AJ82" s="20"/>
      <c r="AK82" s="21"/>
      <c r="AL82" s="20"/>
      <c r="AM82" s="20"/>
      <c r="AN82" s="20"/>
      <c r="AO82" s="20"/>
      <c r="AP82" s="446"/>
      <c r="AQ82" s="20"/>
      <c r="AR82" s="20"/>
      <c r="AS82" s="20"/>
      <c r="AT82" s="20"/>
      <c r="AU82" s="26"/>
      <c r="AV82" s="98"/>
      <c r="AW82" s="98"/>
      <c r="AX82" s="98"/>
      <c r="AY82" s="98"/>
      <c r="AZ82" s="98"/>
      <c r="BA82" s="217"/>
      <c r="BB82" s="98"/>
      <c r="BC82" s="98"/>
      <c r="BD82" s="98"/>
      <c r="BE82" s="98"/>
      <c r="BF82" s="98"/>
      <c r="BG82" s="219"/>
      <c r="BH82" s="219"/>
      <c r="BI82" s="219"/>
      <c r="BJ82" s="26"/>
      <c r="BK82" s="21"/>
      <c r="BL82" s="21"/>
      <c r="BM82" s="22"/>
      <c r="BN82" s="21"/>
      <c r="BO82" s="21"/>
      <c r="BP82" s="22"/>
      <c r="BQ82" s="21"/>
      <c r="BR82" s="21"/>
      <c r="BS82" s="22"/>
      <c r="BT8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82" s="109" t="str">
        <f>IF(ISNUMBER(tblParticipants[[#This Row],[SvcStartDate]]),IF(AND(tblParticipants[[#This Row],[EnrollQtr]]=1,tblParticipants[[#This Row],[SvcStartDate]]&lt;DATE(conProgYear,7,1)),1,""),"")</f>
        <v/>
      </c>
      <c r="BV8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82" s="232" t="str">
        <f t="shared" ca="1" si="1"/>
        <v/>
      </c>
      <c r="BX82" s="9">
        <f>IF(SUM(IF(tblParticipants[[#This Row],[AmIndOrAkNtv]]=1,1,0),IF(tblParticipants[[#This Row],[Asian]]=1,1,0),IF(tblParticipants[[#This Row],[BlkOrAfAmer]]=1,1,0),IF(tblParticipants[[#This Row],[NtvHawOrPacIsl]]=1,1,0),IF(tblParticipants[[#This Row],[White]]=1,1,0))&gt;1,1,0)</f>
        <v>0</v>
      </c>
      <c r="BY8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8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8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82" s="11">
        <f>IF(tblParticipants[[#This Row],[EarnWg2Qae]]=1,IFERROR(tblParticipants[[#This Row],[HoursPerWk2Qae]]*tblParticipants[[#This Row],[HrlyWg2Qae]]*13,0),0)</f>
        <v>0</v>
      </c>
      <c r="CC82" s="11">
        <f>IF(tblParticipants[[#This Row],[EarnWg3Qae]]=1,IFERROR(tblParticipants[[#This Row],[HoursPerWk3Qae]]*tblParticipants[[#This Row],[HrlyWg3Qae]]*13,0),0)</f>
        <v>0</v>
      </c>
      <c r="CD82" s="9">
        <f>IFERROR(IF(SUM(tblParticipants[[#This Row],[EarnWg1Qae]],tblParticipants[[#This Row],[EarnWg2Qae]],tblParticipants[[#This Row],[EarnWg3Qae]])=3,1,0),0)</f>
        <v>0</v>
      </c>
      <c r="CE82" s="12">
        <f>IF(tblParticipants[[#This Row],[EmplAll3Qae]]=1,tblParticipants[[#This Row],[Earnings2Qae]]+tblParticipants[[#This Row],[Earnings3Qae]],0)</f>
        <v>0</v>
      </c>
      <c r="CF82" s="407"/>
    </row>
    <row r="83" spans="1:84" x14ac:dyDescent="0.3">
      <c r="A83" s="19"/>
      <c r="B83" s="19"/>
      <c r="C83" s="20"/>
      <c r="D83" s="20"/>
      <c r="E83" s="26"/>
      <c r="F83" s="26"/>
      <c r="G83" s="26"/>
      <c r="H83" s="26"/>
      <c r="I83" s="26"/>
      <c r="J83" s="26"/>
      <c r="K83" s="26"/>
      <c r="L83" s="26"/>
      <c r="M83" s="20"/>
      <c r="N83" s="26"/>
      <c r="O83" s="22"/>
      <c r="P83" s="21"/>
      <c r="Q83" s="23"/>
      <c r="R83" s="21"/>
      <c r="S83" s="21"/>
      <c r="T83" s="21"/>
      <c r="U83" s="21"/>
      <c r="V83" s="21"/>
      <c r="W83" s="24"/>
      <c r="X83" s="20"/>
      <c r="Y83" s="20"/>
      <c r="Z83" s="21"/>
      <c r="AA83" s="21"/>
      <c r="AB83" s="21"/>
      <c r="AC83" s="21"/>
      <c r="AD83" s="21"/>
      <c r="AE83" s="21"/>
      <c r="AF83" s="21"/>
      <c r="AG83" s="21"/>
      <c r="AH83" s="21"/>
      <c r="AI83" s="25"/>
      <c r="AJ83" s="20"/>
      <c r="AK83" s="21"/>
      <c r="AL83" s="20"/>
      <c r="AM83" s="20"/>
      <c r="AN83" s="20"/>
      <c r="AO83" s="20"/>
      <c r="AP83" s="446"/>
      <c r="AQ83" s="20"/>
      <c r="AR83" s="20"/>
      <c r="AS83" s="20"/>
      <c r="AT83" s="20"/>
      <c r="AU83" s="26"/>
      <c r="AV83" s="98"/>
      <c r="AW83" s="98"/>
      <c r="AX83" s="98"/>
      <c r="AY83" s="98"/>
      <c r="AZ83" s="98"/>
      <c r="BA83" s="217"/>
      <c r="BB83" s="98"/>
      <c r="BC83" s="98"/>
      <c r="BD83" s="98"/>
      <c r="BE83" s="98"/>
      <c r="BF83" s="98"/>
      <c r="BG83" s="219"/>
      <c r="BH83" s="219"/>
      <c r="BI83" s="219"/>
      <c r="BJ83" s="26"/>
      <c r="BK83" s="21"/>
      <c r="BL83" s="21"/>
      <c r="BM83" s="22"/>
      <c r="BN83" s="21"/>
      <c r="BO83" s="21"/>
      <c r="BP83" s="22"/>
      <c r="BQ83" s="21"/>
      <c r="BR83" s="21"/>
      <c r="BS83" s="22"/>
      <c r="BT8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83" s="109" t="str">
        <f>IF(ISNUMBER(tblParticipants[[#This Row],[SvcStartDate]]),IF(AND(tblParticipants[[#This Row],[EnrollQtr]]=1,tblParticipants[[#This Row],[SvcStartDate]]&lt;DATE(conProgYear,7,1)),1,""),"")</f>
        <v/>
      </c>
      <c r="BV8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83" s="232" t="str">
        <f t="shared" ca="1" si="1"/>
        <v/>
      </c>
      <c r="BX83" s="9">
        <f>IF(SUM(IF(tblParticipants[[#This Row],[AmIndOrAkNtv]]=1,1,0),IF(tblParticipants[[#This Row],[Asian]]=1,1,0),IF(tblParticipants[[#This Row],[BlkOrAfAmer]]=1,1,0),IF(tblParticipants[[#This Row],[NtvHawOrPacIsl]]=1,1,0),IF(tblParticipants[[#This Row],[White]]=1,1,0))&gt;1,1,0)</f>
        <v>0</v>
      </c>
      <c r="BY8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8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8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83" s="11">
        <f>IF(tblParticipants[[#This Row],[EarnWg2Qae]]=1,IFERROR(tblParticipants[[#This Row],[HoursPerWk2Qae]]*tblParticipants[[#This Row],[HrlyWg2Qae]]*13,0),0)</f>
        <v>0</v>
      </c>
      <c r="CC83" s="11">
        <f>IF(tblParticipants[[#This Row],[EarnWg3Qae]]=1,IFERROR(tblParticipants[[#This Row],[HoursPerWk3Qae]]*tblParticipants[[#This Row],[HrlyWg3Qae]]*13,0),0)</f>
        <v>0</v>
      </c>
      <c r="CD83" s="9">
        <f>IFERROR(IF(SUM(tblParticipants[[#This Row],[EarnWg1Qae]],tblParticipants[[#This Row],[EarnWg2Qae]],tblParticipants[[#This Row],[EarnWg3Qae]])=3,1,0),0)</f>
        <v>0</v>
      </c>
      <c r="CE83" s="12">
        <f>IF(tblParticipants[[#This Row],[EmplAll3Qae]]=1,tblParticipants[[#This Row],[Earnings2Qae]]+tblParticipants[[#This Row],[Earnings3Qae]],0)</f>
        <v>0</v>
      </c>
      <c r="CF83" s="407"/>
    </row>
    <row r="84" spans="1:84" x14ac:dyDescent="0.3">
      <c r="A84" s="19"/>
      <c r="B84" s="19"/>
      <c r="C84" s="20"/>
      <c r="D84" s="20"/>
      <c r="E84" s="26"/>
      <c r="F84" s="26"/>
      <c r="G84" s="26"/>
      <c r="H84" s="26"/>
      <c r="I84" s="26"/>
      <c r="J84" s="26"/>
      <c r="K84" s="26"/>
      <c r="L84" s="26"/>
      <c r="M84" s="20"/>
      <c r="N84" s="26"/>
      <c r="O84" s="22"/>
      <c r="P84" s="21"/>
      <c r="Q84" s="23"/>
      <c r="R84" s="21"/>
      <c r="S84" s="21"/>
      <c r="T84" s="21"/>
      <c r="U84" s="21"/>
      <c r="V84" s="21"/>
      <c r="W84" s="24"/>
      <c r="X84" s="20"/>
      <c r="Y84" s="20"/>
      <c r="Z84" s="21"/>
      <c r="AA84" s="21"/>
      <c r="AB84" s="21"/>
      <c r="AC84" s="21"/>
      <c r="AD84" s="21"/>
      <c r="AE84" s="21"/>
      <c r="AF84" s="21"/>
      <c r="AG84" s="21"/>
      <c r="AH84" s="21"/>
      <c r="AI84" s="25"/>
      <c r="AJ84" s="20"/>
      <c r="AK84" s="21"/>
      <c r="AL84" s="20"/>
      <c r="AM84" s="20"/>
      <c r="AN84" s="20"/>
      <c r="AO84" s="20"/>
      <c r="AP84" s="446"/>
      <c r="AQ84" s="20"/>
      <c r="AR84" s="20"/>
      <c r="AS84" s="20"/>
      <c r="AT84" s="20"/>
      <c r="AU84" s="26"/>
      <c r="AV84" s="98"/>
      <c r="AW84" s="98"/>
      <c r="AX84" s="98"/>
      <c r="AY84" s="98"/>
      <c r="AZ84" s="98"/>
      <c r="BA84" s="217"/>
      <c r="BB84" s="98"/>
      <c r="BC84" s="98"/>
      <c r="BD84" s="98"/>
      <c r="BE84" s="98"/>
      <c r="BF84" s="98"/>
      <c r="BG84" s="219"/>
      <c r="BH84" s="219"/>
      <c r="BI84" s="219"/>
      <c r="BJ84" s="26"/>
      <c r="BK84" s="21"/>
      <c r="BL84" s="21"/>
      <c r="BM84" s="22"/>
      <c r="BN84" s="21"/>
      <c r="BO84" s="21"/>
      <c r="BP84" s="22"/>
      <c r="BQ84" s="21"/>
      <c r="BR84" s="21"/>
      <c r="BS84" s="22"/>
      <c r="BT8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84" s="109" t="str">
        <f>IF(ISNUMBER(tblParticipants[[#This Row],[SvcStartDate]]),IF(AND(tblParticipants[[#This Row],[EnrollQtr]]=1,tblParticipants[[#This Row],[SvcStartDate]]&lt;DATE(conProgYear,7,1)),1,""),"")</f>
        <v/>
      </c>
      <c r="BV8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84" s="232" t="str">
        <f t="shared" ca="1" si="1"/>
        <v/>
      </c>
      <c r="BX84" s="9">
        <f>IF(SUM(IF(tblParticipants[[#This Row],[AmIndOrAkNtv]]=1,1,0),IF(tblParticipants[[#This Row],[Asian]]=1,1,0),IF(tblParticipants[[#This Row],[BlkOrAfAmer]]=1,1,0),IF(tblParticipants[[#This Row],[NtvHawOrPacIsl]]=1,1,0),IF(tblParticipants[[#This Row],[White]]=1,1,0))&gt;1,1,0)</f>
        <v>0</v>
      </c>
      <c r="BY8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8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8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84" s="11">
        <f>IF(tblParticipants[[#This Row],[EarnWg2Qae]]=1,IFERROR(tblParticipants[[#This Row],[HoursPerWk2Qae]]*tblParticipants[[#This Row],[HrlyWg2Qae]]*13,0),0)</f>
        <v>0</v>
      </c>
      <c r="CC84" s="11">
        <f>IF(tblParticipants[[#This Row],[EarnWg3Qae]]=1,IFERROR(tblParticipants[[#This Row],[HoursPerWk3Qae]]*tblParticipants[[#This Row],[HrlyWg3Qae]]*13,0),0)</f>
        <v>0</v>
      </c>
      <c r="CD84" s="9">
        <f>IFERROR(IF(SUM(tblParticipants[[#This Row],[EarnWg1Qae]],tblParticipants[[#This Row],[EarnWg2Qae]],tblParticipants[[#This Row],[EarnWg3Qae]])=3,1,0),0)</f>
        <v>0</v>
      </c>
      <c r="CE84" s="12">
        <f>IF(tblParticipants[[#This Row],[EmplAll3Qae]]=1,tblParticipants[[#This Row],[Earnings2Qae]]+tblParticipants[[#This Row],[Earnings3Qae]],0)</f>
        <v>0</v>
      </c>
      <c r="CF84" s="407"/>
    </row>
    <row r="85" spans="1:84" x14ac:dyDescent="0.3">
      <c r="A85" s="19"/>
      <c r="B85" s="19"/>
      <c r="C85" s="20"/>
      <c r="D85" s="20"/>
      <c r="E85" s="26"/>
      <c r="F85" s="26"/>
      <c r="G85" s="26"/>
      <c r="H85" s="26"/>
      <c r="I85" s="26"/>
      <c r="J85" s="26"/>
      <c r="K85" s="26"/>
      <c r="L85" s="26"/>
      <c r="M85" s="20"/>
      <c r="N85" s="26"/>
      <c r="O85" s="22"/>
      <c r="P85" s="21"/>
      <c r="Q85" s="23"/>
      <c r="R85" s="21"/>
      <c r="S85" s="21"/>
      <c r="T85" s="21"/>
      <c r="U85" s="21"/>
      <c r="V85" s="21"/>
      <c r="W85" s="24"/>
      <c r="X85" s="20"/>
      <c r="Y85" s="20"/>
      <c r="Z85" s="21"/>
      <c r="AA85" s="21"/>
      <c r="AB85" s="21"/>
      <c r="AC85" s="21"/>
      <c r="AD85" s="21"/>
      <c r="AE85" s="21"/>
      <c r="AF85" s="21"/>
      <c r="AG85" s="21"/>
      <c r="AH85" s="21"/>
      <c r="AI85" s="25"/>
      <c r="AJ85" s="20"/>
      <c r="AK85" s="21"/>
      <c r="AL85" s="20"/>
      <c r="AM85" s="20"/>
      <c r="AN85" s="20"/>
      <c r="AO85" s="20"/>
      <c r="AP85" s="446"/>
      <c r="AQ85" s="20"/>
      <c r="AR85" s="20"/>
      <c r="AS85" s="20"/>
      <c r="AT85" s="20"/>
      <c r="AU85" s="26"/>
      <c r="AV85" s="98"/>
      <c r="AW85" s="98"/>
      <c r="AX85" s="98"/>
      <c r="AY85" s="98"/>
      <c r="AZ85" s="98"/>
      <c r="BA85" s="217"/>
      <c r="BB85" s="98"/>
      <c r="BC85" s="98"/>
      <c r="BD85" s="98"/>
      <c r="BE85" s="98"/>
      <c r="BF85" s="98"/>
      <c r="BG85" s="219"/>
      <c r="BH85" s="219"/>
      <c r="BI85" s="219"/>
      <c r="BJ85" s="26"/>
      <c r="BK85" s="21"/>
      <c r="BL85" s="21"/>
      <c r="BM85" s="22"/>
      <c r="BN85" s="21"/>
      <c r="BO85" s="21"/>
      <c r="BP85" s="22"/>
      <c r="BQ85" s="21"/>
      <c r="BR85" s="21"/>
      <c r="BS85" s="22"/>
      <c r="BT8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85" s="109" t="str">
        <f>IF(ISNUMBER(tblParticipants[[#This Row],[SvcStartDate]]),IF(AND(tblParticipants[[#This Row],[EnrollQtr]]=1,tblParticipants[[#This Row],[SvcStartDate]]&lt;DATE(conProgYear,7,1)),1,""),"")</f>
        <v/>
      </c>
      <c r="BV8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85" s="232" t="str">
        <f t="shared" ca="1" si="1"/>
        <v/>
      </c>
      <c r="BX85" s="9">
        <f>IF(SUM(IF(tblParticipants[[#This Row],[AmIndOrAkNtv]]=1,1,0),IF(tblParticipants[[#This Row],[Asian]]=1,1,0),IF(tblParticipants[[#This Row],[BlkOrAfAmer]]=1,1,0),IF(tblParticipants[[#This Row],[NtvHawOrPacIsl]]=1,1,0),IF(tblParticipants[[#This Row],[White]]=1,1,0))&gt;1,1,0)</f>
        <v>0</v>
      </c>
      <c r="BY8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8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8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85" s="11">
        <f>IF(tblParticipants[[#This Row],[EarnWg2Qae]]=1,IFERROR(tblParticipants[[#This Row],[HoursPerWk2Qae]]*tblParticipants[[#This Row],[HrlyWg2Qae]]*13,0),0)</f>
        <v>0</v>
      </c>
      <c r="CC85" s="11">
        <f>IF(tblParticipants[[#This Row],[EarnWg3Qae]]=1,IFERROR(tblParticipants[[#This Row],[HoursPerWk3Qae]]*tblParticipants[[#This Row],[HrlyWg3Qae]]*13,0),0)</f>
        <v>0</v>
      </c>
      <c r="CD85" s="9">
        <f>IFERROR(IF(SUM(tblParticipants[[#This Row],[EarnWg1Qae]],tblParticipants[[#This Row],[EarnWg2Qae]],tblParticipants[[#This Row],[EarnWg3Qae]])=3,1,0),0)</f>
        <v>0</v>
      </c>
      <c r="CE85" s="12">
        <f>IF(tblParticipants[[#This Row],[EmplAll3Qae]]=1,tblParticipants[[#This Row],[Earnings2Qae]]+tblParticipants[[#This Row],[Earnings3Qae]],0)</f>
        <v>0</v>
      </c>
      <c r="CF85" s="407"/>
    </row>
    <row r="86" spans="1:84" x14ac:dyDescent="0.3">
      <c r="A86" s="19"/>
      <c r="B86" s="19"/>
      <c r="C86" s="20"/>
      <c r="D86" s="20"/>
      <c r="E86" s="26"/>
      <c r="F86" s="26"/>
      <c r="G86" s="26"/>
      <c r="H86" s="26"/>
      <c r="I86" s="26"/>
      <c r="J86" s="26"/>
      <c r="K86" s="26"/>
      <c r="L86" s="26"/>
      <c r="M86" s="20"/>
      <c r="N86" s="26"/>
      <c r="O86" s="22"/>
      <c r="P86" s="21"/>
      <c r="Q86" s="23"/>
      <c r="R86" s="21"/>
      <c r="S86" s="21"/>
      <c r="T86" s="21"/>
      <c r="U86" s="21"/>
      <c r="V86" s="21"/>
      <c r="W86" s="24"/>
      <c r="X86" s="20"/>
      <c r="Y86" s="20"/>
      <c r="Z86" s="21"/>
      <c r="AA86" s="21"/>
      <c r="AB86" s="21"/>
      <c r="AC86" s="21"/>
      <c r="AD86" s="21"/>
      <c r="AE86" s="21"/>
      <c r="AF86" s="21"/>
      <c r="AG86" s="21"/>
      <c r="AH86" s="21"/>
      <c r="AI86" s="25"/>
      <c r="AJ86" s="20"/>
      <c r="AK86" s="21"/>
      <c r="AL86" s="20"/>
      <c r="AM86" s="20"/>
      <c r="AN86" s="20"/>
      <c r="AO86" s="20"/>
      <c r="AP86" s="446"/>
      <c r="AQ86" s="20"/>
      <c r="AR86" s="20"/>
      <c r="AS86" s="20"/>
      <c r="AT86" s="20"/>
      <c r="AU86" s="26"/>
      <c r="AV86" s="98"/>
      <c r="AW86" s="98"/>
      <c r="AX86" s="98"/>
      <c r="AY86" s="98"/>
      <c r="AZ86" s="98"/>
      <c r="BA86" s="217"/>
      <c r="BB86" s="98"/>
      <c r="BC86" s="98"/>
      <c r="BD86" s="98"/>
      <c r="BE86" s="98"/>
      <c r="BF86" s="98"/>
      <c r="BG86" s="219"/>
      <c r="BH86" s="219"/>
      <c r="BI86" s="219"/>
      <c r="BJ86" s="26"/>
      <c r="BK86" s="21"/>
      <c r="BL86" s="21"/>
      <c r="BM86" s="22"/>
      <c r="BN86" s="21"/>
      <c r="BO86" s="21"/>
      <c r="BP86" s="22"/>
      <c r="BQ86" s="21"/>
      <c r="BR86" s="21"/>
      <c r="BS86" s="22"/>
      <c r="BT8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86" s="109" t="str">
        <f>IF(ISNUMBER(tblParticipants[[#This Row],[SvcStartDate]]),IF(AND(tblParticipants[[#This Row],[EnrollQtr]]=1,tblParticipants[[#This Row],[SvcStartDate]]&lt;DATE(conProgYear,7,1)),1,""),"")</f>
        <v/>
      </c>
      <c r="BV8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86" s="232" t="str">
        <f t="shared" ca="1" si="1"/>
        <v/>
      </c>
      <c r="BX86" s="9">
        <f>IF(SUM(IF(tblParticipants[[#This Row],[AmIndOrAkNtv]]=1,1,0),IF(tblParticipants[[#This Row],[Asian]]=1,1,0),IF(tblParticipants[[#This Row],[BlkOrAfAmer]]=1,1,0),IF(tblParticipants[[#This Row],[NtvHawOrPacIsl]]=1,1,0),IF(tblParticipants[[#This Row],[White]]=1,1,0))&gt;1,1,0)</f>
        <v>0</v>
      </c>
      <c r="BY8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8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8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86" s="11">
        <f>IF(tblParticipants[[#This Row],[EarnWg2Qae]]=1,IFERROR(tblParticipants[[#This Row],[HoursPerWk2Qae]]*tblParticipants[[#This Row],[HrlyWg2Qae]]*13,0),0)</f>
        <v>0</v>
      </c>
      <c r="CC86" s="11">
        <f>IF(tblParticipants[[#This Row],[EarnWg3Qae]]=1,IFERROR(tblParticipants[[#This Row],[HoursPerWk3Qae]]*tblParticipants[[#This Row],[HrlyWg3Qae]]*13,0),0)</f>
        <v>0</v>
      </c>
      <c r="CD86" s="9">
        <f>IFERROR(IF(SUM(tblParticipants[[#This Row],[EarnWg1Qae]],tblParticipants[[#This Row],[EarnWg2Qae]],tblParticipants[[#This Row],[EarnWg3Qae]])=3,1,0),0)</f>
        <v>0</v>
      </c>
      <c r="CE86" s="12">
        <f>IF(tblParticipants[[#This Row],[EmplAll3Qae]]=1,tblParticipants[[#This Row],[Earnings2Qae]]+tblParticipants[[#This Row],[Earnings3Qae]],0)</f>
        <v>0</v>
      </c>
      <c r="CF86" s="407"/>
    </row>
    <row r="87" spans="1:84" x14ac:dyDescent="0.3">
      <c r="A87" s="19"/>
      <c r="B87" s="19"/>
      <c r="C87" s="20"/>
      <c r="D87" s="20"/>
      <c r="E87" s="26"/>
      <c r="F87" s="26"/>
      <c r="G87" s="26"/>
      <c r="H87" s="26"/>
      <c r="I87" s="26"/>
      <c r="J87" s="26"/>
      <c r="K87" s="26"/>
      <c r="L87" s="26"/>
      <c r="M87" s="20"/>
      <c r="N87" s="26"/>
      <c r="O87" s="22"/>
      <c r="P87" s="21"/>
      <c r="Q87" s="23"/>
      <c r="R87" s="21"/>
      <c r="S87" s="21"/>
      <c r="T87" s="21"/>
      <c r="U87" s="21"/>
      <c r="V87" s="21"/>
      <c r="W87" s="24"/>
      <c r="X87" s="20"/>
      <c r="Y87" s="20"/>
      <c r="Z87" s="21"/>
      <c r="AA87" s="21"/>
      <c r="AB87" s="21"/>
      <c r="AC87" s="21"/>
      <c r="AD87" s="21"/>
      <c r="AE87" s="21"/>
      <c r="AF87" s="21"/>
      <c r="AG87" s="21"/>
      <c r="AH87" s="21"/>
      <c r="AI87" s="25"/>
      <c r="AJ87" s="20"/>
      <c r="AK87" s="21"/>
      <c r="AL87" s="20"/>
      <c r="AM87" s="20"/>
      <c r="AN87" s="20"/>
      <c r="AO87" s="20"/>
      <c r="AP87" s="446"/>
      <c r="AQ87" s="20"/>
      <c r="AR87" s="20"/>
      <c r="AS87" s="20"/>
      <c r="AT87" s="20"/>
      <c r="AU87" s="26"/>
      <c r="AV87" s="98"/>
      <c r="AW87" s="98"/>
      <c r="AX87" s="98"/>
      <c r="AY87" s="98"/>
      <c r="AZ87" s="98"/>
      <c r="BA87" s="217"/>
      <c r="BB87" s="98"/>
      <c r="BC87" s="98"/>
      <c r="BD87" s="98"/>
      <c r="BE87" s="98"/>
      <c r="BF87" s="98"/>
      <c r="BG87" s="219"/>
      <c r="BH87" s="219"/>
      <c r="BI87" s="219"/>
      <c r="BJ87" s="26"/>
      <c r="BK87" s="21"/>
      <c r="BL87" s="21"/>
      <c r="BM87" s="22"/>
      <c r="BN87" s="21"/>
      <c r="BO87" s="21"/>
      <c r="BP87" s="22"/>
      <c r="BQ87" s="21"/>
      <c r="BR87" s="21"/>
      <c r="BS87" s="22"/>
      <c r="BT8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87" s="109" t="str">
        <f>IF(ISNUMBER(tblParticipants[[#This Row],[SvcStartDate]]),IF(AND(tblParticipants[[#This Row],[EnrollQtr]]=1,tblParticipants[[#This Row],[SvcStartDate]]&lt;DATE(conProgYear,7,1)),1,""),"")</f>
        <v/>
      </c>
      <c r="BV8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87" s="232" t="str">
        <f t="shared" ca="1" si="1"/>
        <v/>
      </c>
      <c r="BX87" s="9">
        <f>IF(SUM(IF(tblParticipants[[#This Row],[AmIndOrAkNtv]]=1,1,0),IF(tblParticipants[[#This Row],[Asian]]=1,1,0),IF(tblParticipants[[#This Row],[BlkOrAfAmer]]=1,1,0),IF(tblParticipants[[#This Row],[NtvHawOrPacIsl]]=1,1,0),IF(tblParticipants[[#This Row],[White]]=1,1,0))&gt;1,1,0)</f>
        <v>0</v>
      </c>
      <c r="BY8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8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8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87" s="11">
        <f>IF(tblParticipants[[#This Row],[EarnWg2Qae]]=1,IFERROR(tblParticipants[[#This Row],[HoursPerWk2Qae]]*tblParticipants[[#This Row],[HrlyWg2Qae]]*13,0),0)</f>
        <v>0</v>
      </c>
      <c r="CC87" s="11">
        <f>IF(tblParticipants[[#This Row],[EarnWg3Qae]]=1,IFERROR(tblParticipants[[#This Row],[HoursPerWk3Qae]]*tblParticipants[[#This Row],[HrlyWg3Qae]]*13,0),0)</f>
        <v>0</v>
      </c>
      <c r="CD87" s="9">
        <f>IFERROR(IF(SUM(tblParticipants[[#This Row],[EarnWg1Qae]],tblParticipants[[#This Row],[EarnWg2Qae]],tblParticipants[[#This Row],[EarnWg3Qae]])=3,1,0),0)</f>
        <v>0</v>
      </c>
      <c r="CE87" s="12">
        <f>IF(tblParticipants[[#This Row],[EmplAll3Qae]]=1,tblParticipants[[#This Row],[Earnings2Qae]]+tblParticipants[[#This Row],[Earnings3Qae]],0)</f>
        <v>0</v>
      </c>
      <c r="CF87" s="407"/>
    </row>
    <row r="88" spans="1:84" x14ac:dyDescent="0.3">
      <c r="A88" s="19"/>
      <c r="B88" s="19"/>
      <c r="C88" s="20"/>
      <c r="D88" s="20"/>
      <c r="E88" s="26"/>
      <c r="F88" s="26"/>
      <c r="G88" s="26"/>
      <c r="H88" s="26"/>
      <c r="I88" s="26"/>
      <c r="J88" s="26"/>
      <c r="K88" s="26"/>
      <c r="L88" s="26"/>
      <c r="M88" s="20"/>
      <c r="N88" s="26"/>
      <c r="O88" s="22"/>
      <c r="P88" s="21"/>
      <c r="Q88" s="23"/>
      <c r="R88" s="21"/>
      <c r="S88" s="21"/>
      <c r="T88" s="21"/>
      <c r="U88" s="21"/>
      <c r="V88" s="21"/>
      <c r="W88" s="24"/>
      <c r="X88" s="20"/>
      <c r="Y88" s="20"/>
      <c r="Z88" s="21"/>
      <c r="AA88" s="21"/>
      <c r="AB88" s="21"/>
      <c r="AC88" s="21"/>
      <c r="AD88" s="21"/>
      <c r="AE88" s="21"/>
      <c r="AF88" s="21"/>
      <c r="AG88" s="21"/>
      <c r="AH88" s="21"/>
      <c r="AI88" s="25"/>
      <c r="AJ88" s="20"/>
      <c r="AK88" s="21"/>
      <c r="AL88" s="20"/>
      <c r="AM88" s="20"/>
      <c r="AN88" s="20"/>
      <c r="AO88" s="20"/>
      <c r="AP88" s="446"/>
      <c r="AQ88" s="20"/>
      <c r="AR88" s="20"/>
      <c r="AS88" s="20"/>
      <c r="AT88" s="20"/>
      <c r="AU88" s="26"/>
      <c r="AV88" s="98"/>
      <c r="AW88" s="98"/>
      <c r="AX88" s="98"/>
      <c r="AY88" s="98"/>
      <c r="AZ88" s="98"/>
      <c r="BA88" s="217"/>
      <c r="BB88" s="98"/>
      <c r="BC88" s="98"/>
      <c r="BD88" s="98"/>
      <c r="BE88" s="98"/>
      <c r="BF88" s="98"/>
      <c r="BG88" s="219"/>
      <c r="BH88" s="219"/>
      <c r="BI88" s="219"/>
      <c r="BJ88" s="26"/>
      <c r="BK88" s="21"/>
      <c r="BL88" s="21"/>
      <c r="BM88" s="22"/>
      <c r="BN88" s="21"/>
      <c r="BO88" s="21"/>
      <c r="BP88" s="22"/>
      <c r="BQ88" s="21"/>
      <c r="BR88" s="21"/>
      <c r="BS88" s="22"/>
      <c r="BT8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88" s="109" t="str">
        <f>IF(ISNUMBER(tblParticipants[[#This Row],[SvcStartDate]]),IF(AND(tblParticipants[[#This Row],[EnrollQtr]]=1,tblParticipants[[#This Row],[SvcStartDate]]&lt;DATE(conProgYear,7,1)),1,""),"")</f>
        <v/>
      </c>
      <c r="BV8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88" s="232" t="str">
        <f t="shared" ca="1" si="1"/>
        <v/>
      </c>
      <c r="BX88" s="9">
        <f>IF(SUM(IF(tblParticipants[[#This Row],[AmIndOrAkNtv]]=1,1,0),IF(tblParticipants[[#This Row],[Asian]]=1,1,0),IF(tblParticipants[[#This Row],[BlkOrAfAmer]]=1,1,0),IF(tblParticipants[[#This Row],[NtvHawOrPacIsl]]=1,1,0),IF(tblParticipants[[#This Row],[White]]=1,1,0))&gt;1,1,0)</f>
        <v>0</v>
      </c>
      <c r="BY8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8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8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88" s="11">
        <f>IF(tblParticipants[[#This Row],[EarnWg2Qae]]=1,IFERROR(tblParticipants[[#This Row],[HoursPerWk2Qae]]*tblParticipants[[#This Row],[HrlyWg2Qae]]*13,0),0)</f>
        <v>0</v>
      </c>
      <c r="CC88" s="11">
        <f>IF(tblParticipants[[#This Row],[EarnWg3Qae]]=1,IFERROR(tblParticipants[[#This Row],[HoursPerWk3Qae]]*tblParticipants[[#This Row],[HrlyWg3Qae]]*13,0),0)</f>
        <v>0</v>
      </c>
      <c r="CD88" s="9">
        <f>IFERROR(IF(SUM(tblParticipants[[#This Row],[EarnWg1Qae]],tblParticipants[[#This Row],[EarnWg2Qae]],tblParticipants[[#This Row],[EarnWg3Qae]])=3,1,0),0)</f>
        <v>0</v>
      </c>
      <c r="CE88" s="12">
        <f>IF(tblParticipants[[#This Row],[EmplAll3Qae]]=1,tblParticipants[[#This Row],[Earnings2Qae]]+tblParticipants[[#This Row],[Earnings3Qae]],0)</f>
        <v>0</v>
      </c>
      <c r="CF88" s="407"/>
    </row>
    <row r="89" spans="1:84" x14ac:dyDescent="0.3">
      <c r="A89" s="19"/>
      <c r="B89" s="19"/>
      <c r="C89" s="20"/>
      <c r="D89" s="20"/>
      <c r="E89" s="26"/>
      <c r="F89" s="26"/>
      <c r="G89" s="26"/>
      <c r="H89" s="26"/>
      <c r="I89" s="26"/>
      <c r="J89" s="26"/>
      <c r="K89" s="26"/>
      <c r="L89" s="26"/>
      <c r="M89" s="20"/>
      <c r="N89" s="26"/>
      <c r="O89" s="22"/>
      <c r="P89" s="21"/>
      <c r="Q89" s="23"/>
      <c r="R89" s="21"/>
      <c r="S89" s="21"/>
      <c r="T89" s="21"/>
      <c r="U89" s="21"/>
      <c r="V89" s="21"/>
      <c r="W89" s="24"/>
      <c r="X89" s="20"/>
      <c r="Y89" s="20"/>
      <c r="Z89" s="21"/>
      <c r="AA89" s="21"/>
      <c r="AB89" s="21"/>
      <c r="AC89" s="21"/>
      <c r="AD89" s="21"/>
      <c r="AE89" s="21"/>
      <c r="AF89" s="21"/>
      <c r="AG89" s="21"/>
      <c r="AH89" s="21"/>
      <c r="AI89" s="25"/>
      <c r="AJ89" s="20"/>
      <c r="AK89" s="21"/>
      <c r="AL89" s="20"/>
      <c r="AM89" s="20"/>
      <c r="AN89" s="20"/>
      <c r="AO89" s="20"/>
      <c r="AP89" s="446"/>
      <c r="AQ89" s="20"/>
      <c r="AR89" s="20"/>
      <c r="AS89" s="20"/>
      <c r="AT89" s="20"/>
      <c r="AU89" s="26"/>
      <c r="AV89" s="98"/>
      <c r="AW89" s="98"/>
      <c r="AX89" s="98"/>
      <c r="AY89" s="98"/>
      <c r="AZ89" s="98"/>
      <c r="BA89" s="217"/>
      <c r="BB89" s="98"/>
      <c r="BC89" s="98"/>
      <c r="BD89" s="98"/>
      <c r="BE89" s="98"/>
      <c r="BF89" s="98"/>
      <c r="BG89" s="219"/>
      <c r="BH89" s="219"/>
      <c r="BI89" s="219"/>
      <c r="BJ89" s="26"/>
      <c r="BK89" s="21"/>
      <c r="BL89" s="21"/>
      <c r="BM89" s="22"/>
      <c r="BN89" s="21"/>
      <c r="BO89" s="21"/>
      <c r="BP89" s="22"/>
      <c r="BQ89" s="21"/>
      <c r="BR89" s="21"/>
      <c r="BS89" s="22"/>
      <c r="BT8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89" s="109" t="str">
        <f>IF(ISNUMBER(tblParticipants[[#This Row],[SvcStartDate]]),IF(AND(tblParticipants[[#This Row],[EnrollQtr]]=1,tblParticipants[[#This Row],[SvcStartDate]]&lt;DATE(conProgYear,7,1)),1,""),"")</f>
        <v/>
      </c>
      <c r="BV8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89" s="232" t="str">
        <f t="shared" ca="1" si="1"/>
        <v/>
      </c>
      <c r="BX89" s="9">
        <f>IF(SUM(IF(tblParticipants[[#This Row],[AmIndOrAkNtv]]=1,1,0),IF(tblParticipants[[#This Row],[Asian]]=1,1,0),IF(tblParticipants[[#This Row],[BlkOrAfAmer]]=1,1,0),IF(tblParticipants[[#This Row],[NtvHawOrPacIsl]]=1,1,0),IF(tblParticipants[[#This Row],[White]]=1,1,0))&gt;1,1,0)</f>
        <v>0</v>
      </c>
      <c r="BY8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8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8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89" s="11">
        <f>IF(tblParticipants[[#This Row],[EarnWg2Qae]]=1,IFERROR(tblParticipants[[#This Row],[HoursPerWk2Qae]]*tblParticipants[[#This Row],[HrlyWg2Qae]]*13,0),0)</f>
        <v>0</v>
      </c>
      <c r="CC89" s="11">
        <f>IF(tblParticipants[[#This Row],[EarnWg3Qae]]=1,IFERROR(tblParticipants[[#This Row],[HoursPerWk3Qae]]*tblParticipants[[#This Row],[HrlyWg3Qae]]*13,0),0)</f>
        <v>0</v>
      </c>
      <c r="CD89" s="9">
        <f>IFERROR(IF(SUM(tblParticipants[[#This Row],[EarnWg1Qae]],tblParticipants[[#This Row],[EarnWg2Qae]],tblParticipants[[#This Row],[EarnWg3Qae]])=3,1,0),0)</f>
        <v>0</v>
      </c>
      <c r="CE89" s="12">
        <f>IF(tblParticipants[[#This Row],[EmplAll3Qae]]=1,tblParticipants[[#This Row],[Earnings2Qae]]+tblParticipants[[#This Row],[Earnings3Qae]],0)</f>
        <v>0</v>
      </c>
      <c r="CF89" s="407"/>
    </row>
    <row r="90" spans="1:84" x14ac:dyDescent="0.3">
      <c r="A90" s="19"/>
      <c r="B90" s="19"/>
      <c r="C90" s="20"/>
      <c r="D90" s="20"/>
      <c r="E90" s="26"/>
      <c r="F90" s="26"/>
      <c r="G90" s="26"/>
      <c r="H90" s="26"/>
      <c r="I90" s="26"/>
      <c r="J90" s="26"/>
      <c r="K90" s="26"/>
      <c r="L90" s="26"/>
      <c r="M90" s="20"/>
      <c r="N90" s="26"/>
      <c r="O90" s="22"/>
      <c r="P90" s="21"/>
      <c r="Q90" s="23"/>
      <c r="R90" s="21"/>
      <c r="S90" s="21"/>
      <c r="T90" s="21"/>
      <c r="U90" s="21"/>
      <c r="V90" s="21"/>
      <c r="W90" s="24"/>
      <c r="X90" s="20"/>
      <c r="Y90" s="20"/>
      <c r="Z90" s="21"/>
      <c r="AA90" s="21"/>
      <c r="AB90" s="21"/>
      <c r="AC90" s="21"/>
      <c r="AD90" s="21"/>
      <c r="AE90" s="21"/>
      <c r="AF90" s="21"/>
      <c r="AG90" s="21"/>
      <c r="AH90" s="21"/>
      <c r="AI90" s="25"/>
      <c r="AJ90" s="20"/>
      <c r="AK90" s="21"/>
      <c r="AL90" s="20"/>
      <c r="AM90" s="20"/>
      <c r="AN90" s="20"/>
      <c r="AO90" s="20"/>
      <c r="AP90" s="446"/>
      <c r="AQ90" s="20"/>
      <c r="AR90" s="20"/>
      <c r="AS90" s="20"/>
      <c r="AT90" s="20"/>
      <c r="AU90" s="26"/>
      <c r="AV90" s="98"/>
      <c r="AW90" s="98"/>
      <c r="AX90" s="98"/>
      <c r="AY90" s="98"/>
      <c r="AZ90" s="98"/>
      <c r="BA90" s="217"/>
      <c r="BB90" s="98"/>
      <c r="BC90" s="98"/>
      <c r="BD90" s="98"/>
      <c r="BE90" s="98"/>
      <c r="BF90" s="98"/>
      <c r="BG90" s="219"/>
      <c r="BH90" s="219"/>
      <c r="BI90" s="219"/>
      <c r="BJ90" s="26"/>
      <c r="BK90" s="21"/>
      <c r="BL90" s="21"/>
      <c r="BM90" s="22"/>
      <c r="BN90" s="21"/>
      <c r="BO90" s="21"/>
      <c r="BP90" s="22"/>
      <c r="BQ90" s="21"/>
      <c r="BR90" s="21"/>
      <c r="BS90" s="22"/>
      <c r="BT9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90" s="109" t="str">
        <f>IF(ISNUMBER(tblParticipants[[#This Row],[SvcStartDate]]),IF(AND(tblParticipants[[#This Row],[EnrollQtr]]=1,tblParticipants[[#This Row],[SvcStartDate]]&lt;DATE(conProgYear,7,1)),1,""),"")</f>
        <v/>
      </c>
      <c r="BV9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90" s="232" t="str">
        <f t="shared" ca="1" si="1"/>
        <v/>
      </c>
      <c r="BX90" s="9">
        <f>IF(SUM(IF(tblParticipants[[#This Row],[AmIndOrAkNtv]]=1,1,0),IF(tblParticipants[[#This Row],[Asian]]=1,1,0),IF(tblParticipants[[#This Row],[BlkOrAfAmer]]=1,1,0),IF(tblParticipants[[#This Row],[NtvHawOrPacIsl]]=1,1,0),IF(tblParticipants[[#This Row],[White]]=1,1,0))&gt;1,1,0)</f>
        <v>0</v>
      </c>
      <c r="BY9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9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9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90" s="11">
        <f>IF(tblParticipants[[#This Row],[EarnWg2Qae]]=1,IFERROR(tblParticipants[[#This Row],[HoursPerWk2Qae]]*tblParticipants[[#This Row],[HrlyWg2Qae]]*13,0),0)</f>
        <v>0</v>
      </c>
      <c r="CC90" s="11">
        <f>IF(tblParticipants[[#This Row],[EarnWg3Qae]]=1,IFERROR(tblParticipants[[#This Row],[HoursPerWk3Qae]]*tblParticipants[[#This Row],[HrlyWg3Qae]]*13,0),0)</f>
        <v>0</v>
      </c>
      <c r="CD90" s="9">
        <f>IFERROR(IF(SUM(tblParticipants[[#This Row],[EarnWg1Qae]],tblParticipants[[#This Row],[EarnWg2Qae]],tblParticipants[[#This Row],[EarnWg3Qae]])=3,1,0),0)</f>
        <v>0</v>
      </c>
      <c r="CE90" s="12">
        <f>IF(tblParticipants[[#This Row],[EmplAll3Qae]]=1,tblParticipants[[#This Row],[Earnings2Qae]]+tblParticipants[[#This Row],[Earnings3Qae]],0)</f>
        <v>0</v>
      </c>
      <c r="CF90" s="407"/>
    </row>
    <row r="91" spans="1:84" x14ac:dyDescent="0.3">
      <c r="A91" s="19"/>
      <c r="B91" s="19"/>
      <c r="C91" s="20"/>
      <c r="D91" s="20"/>
      <c r="E91" s="26"/>
      <c r="F91" s="26"/>
      <c r="G91" s="26"/>
      <c r="H91" s="26"/>
      <c r="I91" s="26"/>
      <c r="J91" s="26"/>
      <c r="K91" s="26"/>
      <c r="L91" s="26"/>
      <c r="M91" s="20"/>
      <c r="N91" s="26"/>
      <c r="O91" s="22"/>
      <c r="P91" s="21"/>
      <c r="Q91" s="23"/>
      <c r="R91" s="21"/>
      <c r="S91" s="21"/>
      <c r="T91" s="21"/>
      <c r="U91" s="21"/>
      <c r="V91" s="21"/>
      <c r="W91" s="24"/>
      <c r="X91" s="20"/>
      <c r="Y91" s="20"/>
      <c r="Z91" s="21"/>
      <c r="AA91" s="21"/>
      <c r="AB91" s="21"/>
      <c r="AC91" s="21"/>
      <c r="AD91" s="21"/>
      <c r="AE91" s="21"/>
      <c r="AF91" s="21"/>
      <c r="AG91" s="21"/>
      <c r="AH91" s="21"/>
      <c r="AI91" s="25"/>
      <c r="AJ91" s="20"/>
      <c r="AK91" s="21"/>
      <c r="AL91" s="20"/>
      <c r="AM91" s="20"/>
      <c r="AN91" s="20"/>
      <c r="AO91" s="20"/>
      <c r="AP91" s="446"/>
      <c r="AQ91" s="20"/>
      <c r="AR91" s="20"/>
      <c r="AS91" s="20"/>
      <c r="AT91" s="20"/>
      <c r="AU91" s="26"/>
      <c r="AV91" s="98"/>
      <c r="AW91" s="98"/>
      <c r="AX91" s="98"/>
      <c r="AY91" s="98"/>
      <c r="AZ91" s="98"/>
      <c r="BA91" s="217"/>
      <c r="BB91" s="98"/>
      <c r="BC91" s="98"/>
      <c r="BD91" s="98"/>
      <c r="BE91" s="98"/>
      <c r="BF91" s="98"/>
      <c r="BG91" s="219"/>
      <c r="BH91" s="219"/>
      <c r="BI91" s="219"/>
      <c r="BJ91" s="26"/>
      <c r="BK91" s="21"/>
      <c r="BL91" s="21"/>
      <c r="BM91" s="22"/>
      <c r="BN91" s="21"/>
      <c r="BO91" s="21"/>
      <c r="BP91" s="22"/>
      <c r="BQ91" s="21"/>
      <c r="BR91" s="21"/>
      <c r="BS91" s="22"/>
      <c r="BT9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91" s="109" t="str">
        <f>IF(ISNUMBER(tblParticipants[[#This Row],[SvcStartDate]]),IF(AND(tblParticipants[[#This Row],[EnrollQtr]]=1,tblParticipants[[#This Row],[SvcStartDate]]&lt;DATE(conProgYear,7,1)),1,""),"")</f>
        <v/>
      </c>
      <c r="BV9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91" s="232" t="str">
        <f t="shared" ca="1" si="1"/>
        <v/>
      </c>
      <c r="BX91" s="9">
        <f>IF(SUM(IF(tblParticipants[[#This Row],[AmIndOrAkNtv]]=1,1,0),IF(tblParticipants[[#This Row],[Asian]]=1,1,0),IF(tblParticipants[[#This Row],[BlkOrAfAmer]]=1,1,0),IF(tblParticipants[[#This Row],[NtvHawOrPacIsl]]=1,1,0),IF(tblParticipants[[#This Row],[White]]=1,1,0))&gt;1,1,0)</f>
        <v>0</v>
      </c>
      <c r="BY9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9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9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91" s="11">
        <f>IF(tblParticipants[[#This Row],[EarnWg2Qae]]=1,IFERROR(tblParticipants[[#This Row],[HoursPerWk2Qae]]*tblParticipants[[#This Row],[HrlyWg2Qae]]*13,0),0)</f>
        <v>0</v>
      </c>
      <c r="CC91" s="11">
        <f>IF(tblParticipants[[#This Row],[EarnWg3Qae]]=1,IFERROR(tblParticipants[[#This Row],[HoursPerWk3Qae]]*tblParticipants[[#This Row],[HrlyWg3Qae]]*13,0),0)</f>
        <v>0</v>
      </c>
      <c r="CD91" s="9">
        <f>IFERROR(IF(SUM(tblParticipants[[#This Row],[EarnWg1Qae]],tblParticipants[[#This Row],[EarnWg2Qae]],tblParticipants[[#This Row],[EarnWg3Qae]])=3,1,0),0)</f>
        <v>0</v>
      </c>
      <c r="CE91" s="12">
        <f>IF(tblParticipants[[#This Row],[EmplAll3Qae]]=1,tblParticipants[[#This Row],[Earnings2Qae]]+tblParticipants[[#This Row],[Earnings3Qae]],0)</f>
        <v>0</v>
      </c>
      <c r="CF91" s="407"/>
    </row>
    <row r="92" spans="1:84" x14ac:dyDescent="0.3">
      <c r="A92" s="19"/>
      <c r="B92" s="19"/>
      <c r="C92" s="20"/>
      <c r="D92" s="20"/>
      <c r="E92" s="26"/>
      <c r="F92" s="26"/>
      <c r="G92" s="26"/>
      <c r="H92" s="26"/>
      <c r="I92" s="26"/>
      <c r="J92" s="26"/>
      <c r="K92" s="26"/>
      <c r="L92" s="26"/>
      <c r="M92" s="20"/>
      <c r="N92" s="26"/>
      <c r="O92" s="22"/>
      <c r="P92" s="21"/>
      <c r="Q92" s="23"/>
      <c r="R92" s="21"/>
      <c r="S92" s="21"/>
      <c r="T92" s="21"/>
      <c r="U92" s="21"/>
      <c r="V92" s="21"/>
      <c r="W92" s="24"/>
      <c r="X92" s="20"/>
      <c r="Y92" s="20"/>
      <c r="Z92" s="21"/>
      <c r="AA92" s="21"/>
      <c r="AB92" s="21"/>
      <c r="AC92" s="21"/>
      <c r="AD92" s="21"/>
      <c r="AE92" s="21"/>
      <c r="AF92" s="21"/>
      <c r="AG92" s="21"/>
      <c r="AH92" s="21"/>
      <c r="AI92" s="25"/>
      <c r="AJ92" s="20"/>
      <c r="AK92" s="21"/>
      <c r="AL92" s="20"/>
      <c r="AM92" s="20"/>
      <c r="AN92" s="20"/>
      <c r="AO92" s="20"/>
      <c r="AP92" s="446"/>
      <c r="AQ92" s="20"/>
      <c r="AR92" s="20"/>
      <c r="AS92" s="20"/>
      <c r="AT92" s="20"/>
      <c r="AU92" s="26"/>
      <c r="AV92" s="98"/>
      <c r="AW92" s="98"/>
      <c r="AX92" s="98"/>
      <c r="AY92" s="98"/>
      <c r="AZ92" s="98"/>
      <c r="BA92" s="217"/>
      <c r="BB92" s="98"/>
      <c r="BC92" s="98"/>
      <c r="BD92" s="98"/>
      <c r="BE92" s="98"/>
      <c r="BF92" s="98"/>
      <c r="BG92" s="219"/>
      <c r="BH92" s="219"/>
      <c r="BI92" s="219"/>
      <c r="BJ92" s="26"/>
      <c r="BK92" s="21"/>
      <c r="BL92" s="21"/>
      <c r="BM92" s="22"/>
      <c r="BN92" s="21"/>
      <c r="BO92" s="21"/>
      <c r="BP92" s="22"/>
      <c r="BQ92" s="21"/>
      <c r="BR92" s="21"/>
      <c r="BS92" s="22"/>
      <c r="BT9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92" s="109" t="str">
        <f>IF(ISNUMBER(tblParticipants[[#This Row],[SvcStartDate]]),IF(AND(tblParticipants[[#This Row],[EnrollQtr]]=1,tblParticipants[[#This Row],[SvcStartDate]]&lt;DATE(conProgYear,7,1)),1,""),"")</f>
        <v/>
      </c>
      <c r="BV9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92" s="232" t="str">
        <f t="shared" ca="1" si="1"/>
        <v/>
      </c>
      <c r="BX92" s="9">
        <f>IF(SUM(IF(tblParticipants[[#This Row],[AmIndOrAkNtv]]=1,1,0),IF(tblParticipants[[#This Row],[Asian]]=1,1,0),IF(tblParticipants[[#This Row],[BlkOrAfAmer]]=1,1,0),IF(tblParticipants[[#This Row],[NtvHawOrPacIsl]]=1,1,0),IF(tblParticipants[[#This Row],[White]]=1,1,0))&gt;1,1,0)</f>
        <v>0</v>
      </c>
      <c r="BY9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9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9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92" s="11">
        <f>IF(tblParticipants[[#This Row],[EarnWg2Qae]]=1,IFERROR(tblParticipants[[#This Row],[HoursPerWk2Qae]]*tblParticipants[[#This Row],[HrlyWg2Qae]]*13,0),0)</f>
        <v>0</v>
      </c>
      <c r="CC92" s="11">
        <f>IF(tblParticipants[[#This Row],[EarnWg3Qae]]=1,IFERROR(tblParticipants[[#This Row],[HoursPerWk3Qae]]*tblParticipants[[#This Row],[HrlyWg3Qae]]*13,0),0)</f>
        <v>0</v>
      </c>
      <c r="CD92" s="9">
        <f>IFERROR(IF(SUM(tblParticipants[[#This Row],[EarnWg1Qae]],tblParticipants[[#This Row],[EarnWg2Qae]],tblParticipants[[#This Row],[EarnWg3Qae]])=3,1,0),0)</f>
        <v>0</v>
      </c>
      <c r="CE92" s="12">
        <f>IF(tblParticipants[[#This Row],[EmplAll3Qae]]=1,tblParticipants[[#This Row],[Earnings2Qae]]+tblParticipants[[#This Row],[Earnings3Qae]],0)</f>
        <v>0</v>
      </c>
      <c r="CF92" s="407"/>
    </row>
    <row r="93" spans="1:84" x14ac:dyDescent="0.3">
      <c r="A93" s="19"/>
      <c r="B93" s="19"/>
      <c r="C93" s="20"/>
      <c r="D93" s="20"/>
      <c r="E93" s="26"/>
      <c r="F93" s="26"/>
      <c r="G93" s="26"/>
      <c r="H93" s="26"/>
      <c r="I93" s="26"/>
      <c r="J93" s="26"/>
      <c r="K93" s="26"/>
      <c r="L93" s="26"/>
      <c r="M93" s="20"/>
      <c r="N93" s="26"/>
      <c r="O93" s="22"/>
      <c r="P93" s="21"/>
      <c r="Q93" s="23"/>
      <c r="R93" s="21"/>
      <c r="S93" s="21"/>
      <c r="T93" s="21"/>
      <c r="U93" s="21"/>
      <c r="V93" s="21"/>
      <c r="W93" s="24"/>
      <c r="X93" s="20"/>
      <c r="Y93" s="20"/>
      <c r="Z93" s="21"/>
      <c r="AA93" s="21"/>
      <c r="AB93" s="21"/>
      <c r="AC93" s="21"/>
      <c r="AD93" s="21"/>
      <c r="AE93" s="21"/>
      <c r="AF93" s="21"/>
      <c r="AG93" s="21"/>
      <c r="AH93" s="21"/>
      <c r="AI93" s="25"/>
      <c r="AJ93" s="20"/>
      <c r="AK93" s="21"/>
      <c r="AL93" s="20"/>
      <c r="AM93" s="20"/>
      <c r="AN93" s="20"/>
      <c r="AO93" s="20"/>
      <c r="AP93" s="446"/>
      <c r="AQ93" s="20"/>
      <c r="AR93" s="20"/>
      <c r="AS93" s="20"/>
      <c r="AT93" s="20"/>
      <c r="AU93" s="26"/>
      <c r="AV93" s="98"/>
      <c r="AW93" s="98"/>
      <c r="AX93" s="98"/>
      <c r="AY93" s="98"/>
      <c r="AZ93" s="98"/>
      <c r="BA93" s="217"/>
      <c r="BB93" s="98"/>
      <c r="BC93" s="98"/>
      <c r="BD93" s="98"/>
      <c r="BE93" s="98"/>
      <c r="BF93" s="98"/>
      <c r="BG93" s="219"/>
      <c r="BH93" s="219"/>
      <c r="BI93" s="219"/>
      <c r="BJ93" s="26"/>
      <c r="BK93" s="21"/>
      <c r="BL93" s="21"/>
      <c r="BM93" s="22"/>
      <c r="BN93" s="21"/>
      <c r="BO93" s="21"/>
      <c r="BP93" s="22"/>
      <c r="BQ93" s="21"/>
      <c r="BR93" s="21"/>
      <c r="BS93" s="22"/>
      <c r="BT9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93" s="109" t="str">
        <f>IF(ISNUMBER(tblParticipants[[#This Row],[SvcStartDate]]),IF(AND(tblParticipants[[#This Row],[EnrollQtr]]=1,tblParticipants[[#This Row],[SvcStartDate]]&lt;DATE(conProgYear,7,1)),1,""),"")</f>
        <v/>
      </c>
      <c r="BV9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93" s="232" t="str">
        <f t="shared" ca="1" si="1"/>
        <v/>
      </c>
      <c r="BX93" s="9">
        <f>IF(SUM(IF(tblParticipants[[#This Row],[AmIndOrAkNtv]]=1,1,0),IF(tblParticipants[[#This Row],[Asian]]=1,1,0),IF(tblParticipants[[#This Row],[BlkOrAfAmer]]=1,1,0),IF(tblParticipants[[#This Row],[NtvHawOrPacIsl]]=1,1,0),IF(tblParticipants[[#This Row],[White]]=1,1,0))&gt;1,1,0)</f>
        <v>0</v>
      </c>
      <c r="BY9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9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9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93" s="11">
        <f>IF(tblParticipants[[#This Row],[EarnWg2Qae]]=1,IFERROR(tblParticipants[[#This Row],[HoursPerWk2Qae]]*tblParticipants[[#This Row],[HrlyWg2Qae]]*13,0),0)</f>
        <v>0</v>
      </c>
      <c r="CC93" s="11">
        <f>IF(tblParticipants[[#This Row],[EarnWg3Qae]]=1,IFERROR(tblParticipants[[#This Row],[HoursPerWk3Qae]]*tblParticipants[[#This Row],[HrlyWg3Qae]]*13,0),0)</f>
        <v>0</v>
      </c>
      <c r="CD93" s="9">
        <f>IFERROR(IF(SUM(tblParticipants[[#This Row],[EarnWg1Qae]],tblParticipants[[#This Row],[EarnWg2Qae]],tblParticipants[[#This Row],[EarnWg3Qae]])=3,1,0),0)</f>
        <v>0</v>
      </c>
      <c r="CE93" s="12">
        <f>IF(tblParticipants[[#This Row],[EmplAll3Qae]]=1,tblParticipants[[#This Row],[Earnings2Qae]]+tblParticipants[[#This Row],[Earnings3Qae]],0)</f>
        <v>0</v>
      </c>
      <c r="CF93" s="407"/>
    </row>
    <row r="94" spans="1:84" x14ac:dyDescent="0.3">
      <c r="A94" s="19"/>
      <c r="B94" s="19"/>
      <c r="C94" s="20"/>
      <c r="D94" s="20"/>
      <c r="E94" s="26"/>
      <c r="F94" s="26"/>
      <c r="G94" s="26"/>
      <c r="H94" s="26"/>
      <c r="I94" s="26"/>
      <c r="J94" s="26"/>
      <c r="K94" s="26"/>
      <c r="L94" s="26"/>
      <c r="M94" s="20"/>
      <c r="N94" s="26"/>
      <c r="O94" s="22"/>
      <c r="P94" s="21"/>
      <c r="Q94" s="23"/>
      <c r="R94" s="21"/>
      <c r="S94" s="21"/>
      <c r="T94" s="21"/>
      <c r="U94" s="21"/>
      <c r="V94" s="21"/>
      <c r="W94" s="24"/>
      <c r="X94" s="20"/>
      <c r="Y94" s="20"/>
      <c r="Z94" s="21"/>
      <c r="AA94" s="21"/>
      <c r="AB94" s="21"/>
      <c r="AC94" s="21"/>
      <c r="AD94" s="21"/>
      <c r="AE94" s="21"/>
      <c r="AF94" s="21"/>
      <c r="AG94" s="21"/>
      <c r="AH94" s="21"/>
      <c r="AI94" s="25"/>
      <c r="AJ94" s="20"/>
      <c r="AK94" s="21"/>
      <c r="AL94" s="20"/>
      <c r="AM94" s="20"/>
      <c r="AN94" s="20"/>
      <c r="AO94" s="20"/>
      <c r="AP94" s="446"/>
      <c r="AQ94" s="20"/>
      <c r="AR94" s="20"/>
      <c r="AS94" s="20"/>
      <c r="AT94" s="20"/>
      <c r="AU94" s="26"/>
      <c r="AV94" s="98"/>
      <c r="AW94" s="98"/>
      <c r="AX94" s="98"/>
      <c r="AY94" s="98"/>
      <c r="AZ94" s="98"/>
      <c r="BA94" s="217"/>
      <c r="BB94" s="98"/>
      <c r="BC94" s="98"/>
      <c r="BD94" s="98"/>
      <c r="BE94" s="98"/>
      <c r="BF94" s="98"/>
      <c r="BG94" s="219"/>
      <c r="BH94" s="219"/>
      <c r="BI94" s="219"/>
      <c r="BJ94" s="26"/>
      <c r="BK94" s="21"/>
      <c r="BL94" s="21"/>
      <c r="BM94" s="22"/>
      <c r="BN94" s="21"/>
      <c r="BO94" s="21"/>
      <c r="BP94" s="22"/>
      <c r="BQ94" s="21"/>
      <c r="BR94" s="21"/>
      <c r="BS94" s="22"/>
      <c r="BT9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94" s="109" t="str">
        <f>IF(ISNUMBER(tblParticipants[[#This Row],[SvcStartDate]]),IF(AND(tblParticipants[[#This Row],[EnrollQtr]]=1,tblParticipants[[#This Row],[SvcStartDate]]&lt;DATE(conProgYear,7,1)),1,""),"")</f>
        <v/>
      </c>
      <c r="BV9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94" s="232" t="str">
        <f t="shared" ca="1" si="1"/>
        <v/>
      </c>
      <c r="BX94" s="9">
        <f>IF(SUM(IF(tblParticipants[[#This Row],[AmIndOrAkNtv]]=1,1,0),IF(tblParticipants[[#This Row],[Asian]]=1,1,0),IF(tblParticipants[[#This Row],[BlkOrAfAmer]]=1,1,0),IF(tblParticipants[[#This Row],[NtvHawOrPacIsl]]=1,1,0),IF(tblParticipants[[#This Row],[White]]=1,1,0))&gt;1,1,0)</f>
        <v>0</v>
      </c>
      <c r="BY9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9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9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94" s="11">
        <f>IF(tblParticipants[[#This Row],[EarnWg2Qae]]=1,IFERROR(tblParticipants[[#This Row],[HoursPerWk2Qae]]*tblParticipants[[#This Row],[HrlyWg2Qae]]*13,0),0)</f>
        <v>0</v>
      </c>
      <c r="CC94" s="11">
        <f>IF(tblParticipants[[#This Row],[EarnWg3Qae]]=1,IFERROR(tblParticipants[[#This Row],[HoursPerWk3Qae]]*tblParticipants[[#This Row],[HrlyWg3Qae]]*13,0),0)</f>
        <v>0</v>
      </c>
      <c r="CD94" s="9">
        <f>IFERROR(IF(SUM(tblParticipants[[#This Row],[EarnWg1Qae]],tblParticipants[[#This Row],[EarnWg2Qae]],tblParticipants[[#This Row],[EarnWg3Qae]])=3,1,0),0)</f>
        <v>0</v>
      </c>
      <c r="CE94" s="12">
        <f>IF(tblParticipants[[#This Row],[EmplAll3Qae]]=1,tblParticipants[[#This Row],[Earnings2Qae]]+tblParticipants[[#This Row],[Earnings3Qae]],0)</f>
        <v>0</v>
      </c>
      <c r="CF94" s="407"/>
    </row>
    <row r="95" spans="1:84" x14ac:dyDescent="0.3">
      <c r="A95" s="19"/>
      <c r="B95" s="19"/>
      <c r="C95" s="20"/>
      <c r="D95" s="20"/>
      <c r="E95" s="26"/>
      <c r="F95" s="26"/>
      <c r="G95" s="26"/>
      <c r="H95" s="26"/>
      <c r="I95" s="26"/>
      <c r="J95" s="26"/>
      <c r="K95" s="26"/>
      <c r="L95" s="26"/>
      <c r="M95" s="20"/>
      <c r="N95" s="26"/>
      <c r="O95" s="22"/>
      <c r="P95" s="21"/>
      <c r="Q95" s="23"/>
      <c r="R95" s="21"/>
      <c r="S95" s="21"/>
      <c r="T95" s="21"/>
      <c r="U95" s="21"/>
      <c r="V95" s="21"/>
      <c r="W95" s="24"/>
      <c r="X95" s="20"/>
      <c r="Y95" s="20"/>
      <c r="Z95" s="21"/>
      <c r="AA95" s="21"/>
      <c r="AB95" s="21"/>
      <c r="AC95" s="21"/>
      <c r="AD95" s="21"/>
      <c r="AE95" s="21"/>
      <c r="AF95" s="21"/>
      <c r="AG95" s="21"/>
      <c r="AH95" s="21"/>
      <c r="AI95" s="25"/>
      <c r="AJ95" s="20"/>
      <c r="AK95" s="21"/>
      <c r="AL95" s="20"/>
      <c r="AM95" s="20"/>
      <c r="AN95" s="20"/>
      <c r="AO95" s="20"/>
      <c r="AP95" s="446"/>
      <c r="AQ95" s="20"/>
      <c r="AR95" s="20"/>
      <c r="AS95" s="20"/>
      <c r="AT95" s="20"/>
      <c r="AU95" s="26"/>
      <c r="AV95" s="98"/>
      <c r="AW95" s="98"/>
      <c r="AX95" s="98"/>
      <c r="AY95" s="98"/>
      <c r="AZ95" s="98"/>
      <c r="BA95" s="217"/>
      <c r="BB95" s="98"/>
      <c r="BC95" s="98"/>
      <c r="BD95" s="98"/>
      <c r="BE95" s="98"/>
      <c r="BF95" s="98"/>
      <c r="BG95" s="219"/>
      <c r="BH95" s="219"/>
      <c r="BI95" s="219"/>
      <c r="BJ95" s="26"/>
      <c r="BK95" s="21"/>
      <c r="BL95" s="21"/>
      <c r="BM95" s="22"/>
      <c r="BN95" s="21"/>
      <c r="BO95" s="21"/>
      <c r="BP95" s="22"/>
      <c r="BQ95" s="21"/>
      <c r="BR95" s="21"/>
      <c r="BS95" s="22"/>
      <c r="BT9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95" s="109" t="str">
        <f>IF(ISNUMBER(tblParticipants[[#This Row],[SvcStartDate]]),IF(AND(tblParticipants[[#This Row],[EnrollQtr]]=1,tblParticipants[[#This Row],[SvcStartDate]]&lt;DATE(conProgYear,7,1)),1,""),"")</f>
        <v/>
      </c>
      <c r="BV9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95" s="232" t="str">
        <f t="shared" ca="1" si="1"/>
        <v/>
      </c>
      <c r="BX95" s="9">
        <f>IF(SUM(IF(tblParticipants[[#This Row],[AmIndOrAkNtv]]=1,1,0),IF(tblParticipants[[#This Row],[Asian]]=1,1,0),IF(tblParticipants[[#This Row],[BlkOrAfAmer]]=1,1,0),IF(tblParticipants[[#This Row],[NtvHawOrPacIsl]]=1,1,0),IF(tblParticipants[[#This Row],[White]]=1,1,0))&gt;1,1,0)</f>
        <v>0</v>
      </c>
      <c r="BY9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9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9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95" s="11">
        <f>IF(tblParticipants[[#This Row],[EarnWg2Qae]]=1,IFERROR(tblParticipants[[#This Row],[HoursPerWk2Qae]]*tblParticipants[[#This Row],[HrlyWg2Qae]]*13,0),0)</f>
        <v>0</v>
      </c>
      <c r="CC95" s="11">
        <f>IF(tblParticipants[[#This Row],[EarnWg3Qae]]=1,IFERROR(tblParticipants[[#This Row],[HoursPerWk3Qae]]*tblParticipants[[#This Row],[HrlyWg3Qae]]*13,0),0)</f>
        <v>0</v>
      </c>
      <c r="CD95" s="9">
        <f>IFERROR(IF(SUM(tblParticipants[[#This Row],[EarnWg1Qae]],tblParticipants[[#This Row],[EarnWg2Qae]],tblParticipants[[#This Row],[EarnWg3Qae]])=3,1,0),0)</f>
        <v>0</v>
      </c>
      <c r="CE95" s="12">
        <f>IF(tblParticipants[[#This Row],[EmplAll3Qae]]=1,tblParticipants[[#This Row],[Earnings2Qae]]+tblParticipants[[#This Row],[Earnings3Qae]],0)</f>
        <v>0</v>
      </c>
      <c r="CF95" s="407"/>
    </row>
    <row r="96" spans="1:84" x14ac:dyDescent="0.3">
      <c r="A96" s="19"/>
      <c r="B96" s="19"/>
      <c r="C96" s="20"/>
      <c r="D96" s="20"/>
      <c r="E96" s="26"/>
      <c r="F96" s="26"/>
      <c r="G96" s="26"/>
      <c r="H96" s="26"/>
      <c r="I96" s="26"/>
      <c r="J96" s="26"/>
      <c r="K96" s="26"/>
      <c r="L96" s="26"/>
      <c r="M96" s="20"/>
      <c r="N96" s="26"/>
      <c r="O96" s="22"/>
      <c r="P96" s="21"/>
      <c r="Q96" s="23"/>
      <c r="R96" s="21"/>
      <c r="S96" s="21"/>
      <c r="T96" s="21"/>
      <c r="U96" s="21"/>
      <c r="V96" s="21"/>
      <c r="W96" s="24"/>
      <c r="X96" s="20"/>
      <c r="Y96" s="20"/>
      <c r="Z96" s="21"/>
      <c r="AA96" s="21"/>
      <c r="AB96" s="21"/>
      <c r="AC96" s="21"/>
      <c r="AD96" s="21"/>
      <c r="AE96" s="21"/>
      <c r="AF96" s="21"/>
      <c r="AG96" s="21"/>
      <c r="AH96" s="21"/>
      <c r="AI96" s="25"/>
      <c r="AJ96" s="20"/>
      <c r="AK96" s="21"/>
      <c r="AL96" s="20"/>
      <c r="AM96" s="20"/>
      <c r="AN96" s="20"/>
      <c r="AO96" s="20"/>
      <c r="AP96" s="446"/>
      <c r="AQ96" s="20"/>
      <c r="AR96" s="20"/>
      <c r="AS96" s="20"/>
      <c r="AT96" s="20"/>
      <c r="AU96" s="26"/>
      <c r="AV96" s="98"/>
      <c r="AW96" s="98"/>
      <c r="AX96" s="98"/>
      <c r="AY96" s="98"/>
      <c r="AZ96" s="98"/>
      <c r="BA96" s="217"/>
      <c r="BB96" s="98"/>
      <c r="BC96" s="98"/>
      <c r="BD96" s="98"/>
      <c r="BE96" s="98"/>
      <c r="BF96" s="98"/>
      <c r="BG96" s="219"/>
      <c r="BH96" s="219"/>
      <c r="BI96" s="219"/>
      <c r="BJ96" s="26"/>
      <c r="BK96" s="21"/>
      <c r="BL96" s="21"/>
      <c r="BM96" s="22"/>
      <c r="BN96" s="21"/>
      <c r="BO96" s="21"/>
      <c r="BP96" s="22"/>
      <c r="BQ96" s="21"/>
      <c r="BR96" s="21"/>
      <c r="BS96" s="22"/>
      <c r="BT9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96" s="109" t="str">
        <f>IF(ISNUMBER(tblParticipants[[#This Row],[SvcStartDate]]),IF(AND(tblParticipants[[#This Row],[EnrollQtr]]=1,tblParticipants[[#This Row],[SvcStartDate]]&lt;DATE(conProgYear,7,1)),1,""),"")</f>
        <v/>
      </c>
      <c r="BV9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96" s="232" t="str">
        <f t="shared" ca="1" si="1"/>
        <v/>
      </c>
      <c r="BX96" s="9">
        <f>IF(SUM(IF(tblParticipants[[#This Row],[AmIndOrAkNtv]]=1,1,0),IF(tblParticipants[[#This Row],[Asian]]=1,1,0),IF(tblParticipants[[#This Row],[BlkOrAfAmer]]=1,1,0),IF(tblParticipants[[#This Row],[NtvHawOrPacIsl]]=1,1,0),IF(tblParticipants[[#This Row],[White]]=1,1,0))&gt;1,1,0)</f>
        <v>0</v>
      </c>
      <c r="BY9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9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9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96" s="11">
        <f>IF(tblParticipants[[#This Row],[EarnWg2Qae]]=1,IFERROR(tblParticipants[[#This Row],[HoursPerWk2Qae]]*tblParticipants[[#This Row],[HrlyWg2Qae]]*13,0),0)</f>
        <v>0</v>
      </c>
      <c r="CC96" s="11">
        <f>IF(tblParticipants[[#This Row],[EarnWg3Qae]]=1,IFERROR(tblParticipants[[#This Row],[HoursPerWk3Qae]]*tblParticipants[[#This Row],[HrlyWg3Qae]]*13,0),0)</f>
        <v>0</v>
      </c>
      <c r="CD96" s="9">
        <f>IFERROR(IF(SUM(tblParticipants[[#This Row],[EarnWg1Qae]],tblParticipants[[#This Row],[EarnWg2Qae]],tblParticipants[[#This Row],[EarnWg3Qae]])=3,1,0),0)</f>
        <v>0</v>
      </c>
      <c r="CE96" s="12">
        <f>IF(tblParticipants[[#This Row],[EmplAll3Qae]]=1,tblParticipants[[#This Row],[Earnings2Qae]]+tblParticipants[[#This Row],[Earnings3Qae]],0)</f>
        <v>0</v>
      </c>
      <c r="CF96" s="407"/>
    </row>
    <row r="97" spans="1:84" x14ac:dyDescent="0.3">
      <c r="A97" s="19"/>
      <c r="B97" s="19"/>
      <c r="C97" s="20"/>
      <c r="D97" s="20"/>
      <c r="E97" s="26"/>
      <c r="F97" s="26"/>
      <c r="G97" s="26"/>
      <c r="H97" s="26"/>
      <c r="I97" s="26"/>
      <c r="J97" s="26"/>
      <c r="K97" s="26"/>
      <c r="L97" s="26"/>
      <c r="M97" s="20"/>
      <c r="N97" s="26"/>
      <c r="O97" s="22"/>
      <c r="P97" s="21"/>
      <c r="Q97" s="23"/>
      <c r="R97" s="21"/>
      <c r="S97" s="21"/>
      <c r="T97" s="21"/>
      <c r="U97" s="21"/>
      <c r="V97" s="21"/>
      <c r="W97" s="24"/>
      <c r="X97" s="20"/>
      <c r="Y97" s="20"/>
      <c r="Z97" s="21"/>
      <c r="AA97" s="21"/>
      <c r="AB97" s="21"/>
      <c r="AC97" s="21"/>
      <c r="AD97" s="21"/>
      <c r="AE97" s="21"/>
      <c r="AF97" s="21"/>
      <c r="AG97" s="21"/>
      <c r="AH97" s="21"/>
      <c r="AI97" s="25"/>
      <c r="AJ97" s="20"/>
      <c r="AK97" s="21"/>
      <c r="AL97" s="20"/>
      <c r="AM97" s="20"/>
      <c r="AN97" s="20"/>
      <c r="AO97" s="20"/>
      <c r="AP97" s="446"/>
      <c r="AQ97" s="20"/>
      <c r="AR97" s="20"/>
      <c r="AS97" s="20"/>
      <c r="AT97" s="20"/>
      <c r="AU97" s="26"/>
      <c r="AV97" s="98"/>
      <c r="AW97" s="98"/>
      <c r="AX97" s="98"/>
      <c r="AY97" s="98"/>
      <c r="AZ97" s="98"/>
      <c r="BA97" s="217"/>
      <c r="BB97" s="98"/>
      <c r="BC97" s="98"/>
      <c r="BD97" s="98"/>
      <c r="BE97" s="98"/>
      <c r="BF97" s="98"/>
      <c r="BG97" s="219"/>
      <c r="BH97" s="219"/>
      <c r="BI97" s="219"/>
      <c r="BJ97" s="26"/>
      <c r="BK97" s="21"/>
      <c r="BL97" s="21"/>
      <c r="BM97" s="22"/>
      <c r="BN97" s="21"/>
      <c r="BO97" s="21"/>
      <c r="BP97" s="22"/>
      <c r="BQ97" s="21"/>
      <c r="BR97" s="21"/>
      <c r="BS97" s="22"/>
      <c r="BT9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97" s="109" t="str">
        <f>IF(ISNUMBER(tblParticipants[[#This Row],[SvcStartDate]]),IF(AND(tblParticipants[[#This Row],[EnrollQtr]]=1,tblParticipants[[#This Row],[SvcStartDate]]&lt;DATE(conProgYear,7,1)),1,""),"")</f>
        <v/>
      </c>
      <c r="BV9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97" s="232" t="str">
        <f t="shared" ca="1" si="1"/>
        <v/>
      </c>
      <c r="BX97" s="9">
        <f>IF(SUM(IF(tblParticipants[[#This Row],[AmIndOrAkNtv]]=1,1,0),IF(tblParticipants[[#This Row],[Asian]]=1,1,0),IF(tblParticipants[[#This Row],[BlkOrAfAmer]]=1,1,0),IF(tblParticipants[[#This Row],[NtvHawOrPacIsl]]=1,1,0),IF(tblParticipants[[#This Row],[White]]=1,1,0))&gt;1,1,0)</f>
        <v>0</v>
      </c>
      <c r="BY9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9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9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97" s="11">
        <f>IF(tblParticipants[[#This Row],[EarnWg2Qae]]=1,IFERROR(tblParticipants[[#This Row],[HoursPerWk2Qae]]*tblParticipants[[#This Row],[HrlyWg2Qae]]*13,0),0)</f>
        <v>0</v>
      </c>
      <c r="CC97" s="11">
        <f>IF(tblParticipants[[#This Row],[EarnWg3Qae]]=1,IFERROR(tblParticipants[[#This Row],[HoursPerWk3Qae]]*tblParticipants[[#This Row],[HrlyWg3Qae]]*13,0),0)</f>
        <v>0</v>
      </c>
      <c r="CD97" s="9">
        <f>IFERROR(IF(SUM(tblParticipants[[#This Row],[EarnWg1Qae]],tblParticipants[[#This Row],[EarnWg2Qae]],tblParticipants[[#This Row],[EarnWg3Qae]])=3,1,0),0)</f>
        <v>0</v>
      </c>
      <c r="CE97" s="12">
        <f>IF(tblParticipants[[#This Row],[EmplAll3Qae]]=1,tblParticipants[[#This Row],[Earnings2Qae]]+tblParticipants[[#This Row],[Earnings3Qae]],0)</f>
        <v>0</v>
      </c>
      <c r="CF97" s="407"/>
    </row>
    <row r="98" spans="1:84" x14ac:dyDescent="0.3">
      <c r="A98" s="19"/>
      <c r="B98" s="19"/>
      <c r="C98" s="20"/>
      <c r="D98" s="20"/>
      <c r="E98" s="26"/>
      <c r="F98" s="26"/>
      <c r="G98" s="26"/>
      <c r="H98" s="26"/>
      <c r="I98" s="26"/>
      <c r="J98" s="26"/>
      <c r="K98" s="26"/>
      <c r="L98" s="26"/>
      <c r="M98" s="20"/>
      <c r="N98" s="26"/>
      <c r="O98" s="22"/>
      <c r="P98" s="21"/>
      <c r="Q98" s="23"/>
      <c r="R98" s="21"/>
      <c r="S98" s="21"/>
      <c r="T98" s="21"/>
      <c r="U98" s="21"/>
      <c r="V98" s="21"/>
      <c r="W98" s="24"/>
      <c r="X98" s="20"/>
      <c r="Y98" s="20"/>
      <c r="Z98" s="21"/>
      <c r="AA98" s="21"/>
      <c r="AB98" s="21"/>
      <c r="AC98" s="21"/>
      <c r="AD98" s="21"/>
      <c r="AE98" s="21"/>
      <c r="AF98" s="21"/>
      <c r="AG98" s="21"/>
      <c r="AH98" s="21"/>
      <c r="AI98" s="25"/>
      <c r="AJ98" s="20"/>
      <c r="AK98" s="21"/>
      <c r="AL98" s="20"/>
      <c r="AM98" s="20"/>
      <c r="AN98" s="20"/>
      <c r="AO98" s="20"/>
      <c r="AP98" s="446"/>
      <c r="AQ98" s="20"/>
      <c r="AR98" s="20"/>
      <c r="AS98" s="20"/>
      <c r="AT98" s="20"/>
      <c r="AU98" s="26"/>
      <c r="AV98" s="98"/>
      <c r="AW98" s="98"/>
      <c r="AX98" s="98"/>
      <c r="AY98" s="98"/>
      <c r="AZ98" s="98"/>
      <c r="BA98" s="217"/>
      <c r="BB98" s="98"/>
      <c r="BC98" s="98"/>
      <c r="BD98" s="98"/>
      <c r="BE98" s="98"/>
      <c r="BF98" s="98"/>
      <c r="BG98" s="219"/>
      <c r="BH98" s="219"/>
      <c r="BI98" s="219"/>
      <c r="BJ98" s="26"/>
      <c r="BK98" s="21"/>
      <c r="BL98" s="21"/>
      <c r="BM98" s="22"/>
      <c r="BN98" s="21"/>
      <c r="BO98" s="21"/>
      <c r="BP98" s="22"/>
      <c r="BQ98" s="21"/>
      <c r="BR98" s="21"/>
      <c r="BS98" s="22"/>
      <c r="BT9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98" s="109" t="str">
        <f>IF(ISNUMBER(tblParticipants[[#This Row],[SvcStartDate]]),IF(AND(tblParticipants[[#This Row],[EnrollQtr]]=1,tblParticipants[[#This Row],[SvcStartDate]]&lt;DATE(conProgYear,7,1)),1,""),"")</f>
        <v/>
      </c>
      <c r="BV9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98" s="232" t="str">
        <f t="shared" ca="1" si="1"/>
        <v/>
      </c>
      <c r="BX98" s="9">
        <f>IF(SUM(IF(tblParticipants[[#This Row],[AmIndOrAkNtv]]=1,1,0),IF(tblParticipants[[#This Row],[Asian]]=1,1,0),IF(tblParticipants[[#This Row],[BlkOrAfAmer]]=1,1,0),IF(tblParticipants[[#This Row],[NtvHawOrPacIsl]]=1,1,0),IF(tblParticipants[[#This Row],[White]]=1,1,0))&gt;1,1,0)</f>
        <v>0</v>
      </c>
      <c r="BY9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9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9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98" s="11">
        <f>IF(tblParticipants[[#This Row],[EarnWg2Qae]]=1,IFERROR(tblParticipants[[#This Row],[HoursPerWk2Qae]]*tblParticipants[[#This Row],[HrlyWg2Qae]]*13,0),0)</f>
        <v>0</v>
      </c>
      <c r="CC98" s="11">
        <f>IF(tblParticipants[[#This Row],[EarnWg3Qae]]=1,IFERROR(tblParticipants[[#This Row],[HoursPerWk3Qae]]*tblParticipants[[#This Row],[HrlyWg3Qae]]*13,0),0)</f>
        <v>0</v>
      </c>
      <c r="CD98" s="9">
        <f>IFERROR(IF(SUM(tblParticipants[[#This Row],[EarnWg1Qae]],tblParticipants[[#This Row],[EarnWg2Qae]],tblParticipants[[#This Row],[EarnWg3Qae]])=3,1,0),0)</f>
        <v>0</v>
      </c>
      <c r="CE98" s="12">
        <f>IF(tblParticipants[[#This Row],[EmplAll3Qae]]=1,tblParticipants[[#This Row],[Earnings2Qae]]+tblParticipants[[#This Row],[Earnings3Qae]],0)</f>
        <v>0</v>
      </c>
      <c r="CF98" s="407"/>
    </row>
    <row r="99" spans="1:84" x14ac:dyDescent="0.3">
      <c r="A99" s="19"/>
      <c r="B99" s="19"/>
      <c r="C99" s="20"/>
      <c r="D99" s="20"/>
      <c r="E99" s="26"/>
      <c r="F99" s="26"/>
      <c r="G99" s="26"/>
      <c r="H99" s="26"/>
      <c r="I99" s="26"/>
      <c r="J99" s="26"/>
      <c r="K99" s="26"/>
      <c r="L99" s="26"/>
      <c r="M99" s="20"/>
      <c r="N99" s="26"/>
      <c r="O99" s="22"/>
      <c r="P99" s="21"/>
      <c r="Q99" s="23"/>
      <c r="R99" s="21"/>
      <c r="S99" s="21"/>
      <c r="T99" s="21"/>
      <c r="U99" s="21"/>
      <c r="V99" s="21"/>
      <c r="W99" s="24"/>
      <c r="X99" s="20"/>
      <c r="Y99" s="20"/>
      <c r="Z99" s="21"/>
      <c r="AA99" s="21"/>
      <c r="AB99" s="21"/>
      <c r="AC99" s="21"/>
      <c r="AD99" s="21"/>
      <c r="AE99" s="21"/>
      <c r="AF99" s="21"/>
      <c r="AG99" s="21"/>
      <c r="AH99" s="21"/>
      <c r="AI99" s="25"/>
      <c r="AJ99" s="20"/>
      <c r="AK99" s="21"/>
      <c r="AL99" s="20"/>
      <c r="AM99" s="20"/>
      <c r="AN99" s="20"/>
      <c r="AO99" s="20"/>
      <c r="AP99" s="446"/>
      <c r="AQ99" s="20"/>
      <c r="AR99" s="20"/>
      <c r="AS99" s="20"/>
      <c r="AT99" s="20"/>
      <c r="AU99" s="26"/>
      <c r="AV99" s="98"/>
      <c r="AW99" s="98"/>
      <c r="AX99" s="98"/>
      <c r="AY99" s="98"/>
      <c r="AZ99" s="98"/>
      <c r="BA99" s="217"/>
      <c r="BB99" s="98"/>
      <c r="BC99" s="98"/>
      <c r="BD99" s="98"/>
      <c r="BE99" s="98"/>
      <c r="BF99" s="98"/>
      <c r="BG99" s="219"/>
      <c r="BH99" s="219"/>
      <c r="BI99" s="219"/>
      <c r="BJ99" s="26"/>
      <c r="BK99" s="21"/>
      <c r="BL99" s="21"/>
      <c r="BM99" s="22"/>
      <c r="BN99" s="21"/>
      <c r="BO99" s="21"/>
      <c r="BP99" s="22"/>
      <c r="BQ99" s="21"/>
      <c r="BR99" s="21"/>
      <c r="BS99" s="22"/>
      <c r="BT9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99" s="109" t="str">
        <f>IF(ISNUMBER(tblParticipants[[#This Row],[SvcStartDate]]),IF(AND(tblParticipants[[#This Row],[EnrollQtr]]=1,tblParticipants[[#This Row],[SvcStartDate]]&lt;DATE(conProgYear,7,1)),1,""),"")</f>
        <v/>
      </c>
      <c r="BV9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99" s="232" t="str">
        <f t="shared" ca="1" si="1"/>
        <v/>
      </c>
      <c r="BX99" s="9">
        <f>IF(SUM(IF(tblParticipants[[#This Row],[AmIndOrAkNtv]]=1,1,0),IF(tblParticipants[[#This Row],[Asian]]=1,1,0),IF(tblParticipants[[#This Row],[BlkOrAfAmer]]=1,1,0),IF(tblParticipants[[#This Row],[NtvHawOrPacIsl]]=1,1,0),IF(tblParticipants[[#This Row],[White]]=1,1,0))&gt;1,1,0)</f>
        <v>0</v>
      </c>
      <c r="BY9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9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9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99" s="11">
        <f>IF(tblParticipants[[#This Row],[EarnWg2Qae]]=1,IFERROR(tblParticipants[[#This Row],[HoursPerWk2Qae]]*tblParticipants[[#This Row],[HrlyWg2Qae]]*13,0),0)</f>
        <v>0</v>
      </c>
      <c r="CC99" s="11">
        <f>IF(tblParticipants[[#This Row],[EarnWg3Qae]]=1,IFERROR(tblParticipants[[#This Row],[HoursPerWk3Qae]]*tblParticipants[[#This Row],[HrlyWg3Qae]]*13,0),0)</f>
        <v>0</v>
      </c>
      <c r="CD99" s="9">
        <f>IFERROR(IF(SUM(tblParticipants[[#This Row],[EarnWg1Qae]],tblParticipants[[#This Row],[EarnWg2Qae]],tblParticipants[[#This Row],[EarnWg3Qae]])=3,1,0),0)</f>
        <v>0</v>
      </c>
      <c r="CE99" s="12">
        <f>IF(tblParticipants[[#This Row],[EmplAll3Qae]]=1,tblParticipants[[#This Row],[Earnings2Qae]]+tblParticipants[[#This Row],[Earnings3Qae]],0)</f>
        <v>0</v>
      </c>
      <c r="CF99" s="407"/>
    </row>
    <row r="100" spans="1:84" x14ac:dyDescent="0.3">
      <c r="A100" s="19"/>
      <c r="B100" s="19"/>
      <c r="C100" s="20"/>
      <c r="D100" s="20"/>
      <c r="E100" s="26"/>
      <c r="F100" s="26"/>
      <c r="G100" s="26"/>
      <c r="H100" s="26"/>
      <c r="I100" s="26"/>
      <c r="J100" s="26"/>
      <c r="K100" s="26"/>
      <c r="L100" s="26"/>
      <c r="M100" s="20"/>
      <c r="N100" s="26"/>
      <c r="O100" s="22"/>
      <c r="P100" s="21"/>
      <c r="Q100" s="23"/>
      <c r="R100" s="21"/>
      <c r="S100" s="21"/>
      <c r="T100" s="21"/>
      <c r="U100" s="21"/>
      <c r="V100" s="21"/>
      <c r="W100" s="24"/>
      <c r="X100" s="20"/>
      <c r="Y100" s="20"/>
      <c r="Z100" s="21"/>
      <c r="AA100" s="21"/>
      <c r="AB100" s="21"/>
      <c r="AC100" s="21"/>
      <c r="AD100" s="21"/>
      <c r="AE100" s="21"/>
      <c r="AF100" s="21"/>
      <c r="AG100" s="21"/>
      <c r="AH100" s="21"/>
      <c r="AI100" s="25"/>
      <c r="AJ100" s="20"/>
      <c r="AK100" s="21"/>
      <c r="AL100" s="20"/>
      <c r="AM100" s="20"/>
      <c r="AN100" s="20"/>
      <c r="AO100" s="20"/>
      <c r="AP100" s="446"/>
      <c r="AQ100" s="20"/>
      <c r="AR100" s="20"/>
      <c r="AS100" s="20"/>
      <c r="AT100" s="20"/>
      <c r="AU100" s="26"/>
      <c r="AV100" s="98"/>
      <c r="AW100" s="98"/>
      <c r="AX100" s="98"/>
      <c r="AY100" s="98"/>
      <c r="AZ100" s="98"/>
      <c r="BA100" s="217"/>
      <c r="BB100" s="98"/>
      <c r="BC100" s="98"/>
      <c r="BD100" s="98"/>
      <c r="BE100" s="98"/>
      <c r="BF100" s="98"/>
      <c r="BG100" s="219"/>
      <c r="BH100" s="219"/>
      <c r="BI100" s="219"/>
      <c r="BJ100" s="26"/>
      <c r="BK100" s="21"/>
      <c r="BL100" s="21"/>
      <c r="BM100" s="22"/>
      <c r="BN100" s="21"/>
      <c r="BO100" s="21"/>
      <c r="BP100" s="22"/>
      <c r="BQ100" s="21"/>
      <c r="BR100" s="21"/>
      <c r="BS100" s="22"/>
      <c r="BT10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00" s="109" t="str">
        <f>IF(ISNUMBER(tblParticipants[[#This Row],[SvcStartDate]]),IF(AND(tblParticipants[[#This Row],[EnrollQtr]]=1,tblParticipants[[#This Row],[SvcStartDate]]&lt;DATE(conProgYear,7,1)),1,""),"")</f>
        <v/>
      </c>
      <c r="BV10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00" s="232" t="str">
        <f t="shared" ca="1" si="1"/>
        <v/>
      </c>
      <c r="BX100" s="9">
        <f>IF(SUM(IF(tblParticipants[[#This Row],[AmIndOrAkNtv]]=1,1,0),IF(tblParticipants[[#This Row],[Asian]]=1,1,0),IF(tblParticipants[[#This Row],[BlkOrAfAmer]]=1,1,0),IF(tblParticipants[[#This Row],[NtvHawOrPacIsl]]=1,1,0),IF(tblParticipants[[#This Row],[White]]=1,1,0))&gt;1,1,0)</f>
        <v>0</v>
      </c>
      <c r="BY10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0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0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00" s="11">
        <f>IF(tblParticipants[[#This Row],[EarnWg2Qae]]=1,IFERROR(tblParticipants[[#This Row],[HoursPerWk2Qae]]*tblParticipants[[#This Row],[HrlyWg2Qae]]*13,0),0)</f>
        <v>0</v>
      </c>
      <c r="CC100" s="11">
        <f>IF(tblParticipants[[#This Row],[EarnWg3Qae]]=1,IFERROR(tblParticipants[[#This Row],[HoursPerWk3Qae]]*tblParticipants[[#This Row],[HrlyWg3Qae]]*13,0),0)</f>
        <v>0</v>
      </c>
      <c r="CD100" s="9">
        <f>IFERROR(IF(SUM(tblParticipants[[#This Row],[EarnWg1Qae]],tblParticipants[[#This Row],[EarnWg2Qae]],tblParticipants[[#This Row],[EarnWg3Qae]])=3,1,0),0)</f>
        <v>0</v>
      </c>
      <c r="CE100" s="12">
        <f>IF(tblParticipants[[#This Row],[EmplAll3Qae]]=1,tblParticipants[[#This Row],[Earnings2Qae]]+tblParticipants[[#This Row],[Earnings3Qae]],0)</f>
        <v>0</v>
      </c>
      <c r="CF100" s="407"/>
    </row>
    <row r="101" spans="1:84" x14ac:dyDescent="0.3">
      <c r="A101" s="19"/>
      <c r="B101" s="19"/>
      <c r="C101" s="20"/>
      <c r="D101" s="20"/>
      <c r="E101" s="26"/>
      <c r="F101" s="26"/>
      <c r="G101" s="26"/>
      <c r="H101" s="26"/>
      <c r="I101" s="26"/>
      <c r="J101" s="26"/>
      <c r="K101" s="26"/>
      <c r="L101" s="26"/>
      <c r="M101" s="20"/>
      <c r="N101" s="26"/>
      <c r="O101" s="22"/>
      <c r="P101" s="21"/>
      <c r="Q101" s="23"/>
      <c r="R101" s="21"/>
      <c r="S101" s="21"/>
      <c r="T101" s="21"/>
      <c r="U101" s="21"/>
      <c r="V101" s="21"/>
      <c r="W101" s="24"/>
      <c r="X101" s="20"/>
      <c r="Y101" s="20"/>
      <c r="Z101" s="21"/>
      <c r="AA101" s="21"/>
      <c r="AB101" s="21"/>
      <c r="AC101" s="21"/>
      <c r="AD101" s="21"/>
      <c r="AE101" s="21"/>
      <c r="AF101" s="21"/>
      <c r="AG101" s="21"/>
      <c r="AH101" s="21"/>
      <c r="AI101" s="25"/>
      <c r="AJ101" s="20"/>
      <c r="AK101" s="21"/>
      <c r="AL101" s="20"/>
      <c r="AM101" s="20"/>
      <c r="AN101" s="20"/>
      <c r="AO101" s="20"/>
      <c r="AP101" s="446"/>
      <c r="AQ101" s="20"/>
      <c r="AR101" s="20"/>
      <c r="AS101" s="20"/>
      <c r="AT101" s="20"/>
      <c r="AU101" s="26"/>
      <c r="AV101" s="98"/>
      <c r="AW101" s="98"/>
      <c r="AX101" s="98"/>
      <c r="AY101" s="98"/>
      <c r="AZ101" s="98"/>
      <c r="BA101" s="217"/>
      <c r="BB101" s="98"/>
      <c r="BC101" s="98"/>
      <c r="BD101" s="98"/>
      <c r="BE101" s="98"/>
      <c r="BF101" s="98"/>
      <c r="BG101" s="219"/>
      <c r="BH101" s="219"/>
      <c r="BI101" s="219"/>
      <c r="BJ101" s="26"/>
      <c r="BK101" s="21"/>
      <c r="BL101" s="21"/>
      <c r="BM101" s="22"/>
      <c r="BN101" s="21"/>
      <c r="BO101" s="21"/>
      <c r="BP101" s="22"/>
      <c r="BQ101" s="21"/>
      <c r="BR101" s="21"/>
      <c r="BS101" s="22"/>
      <c r="BT10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01" s="109" t="str">
        <f>IF(ISNUMBER(tblParticipants[[#This Row],[SvcStartDate]]),IF(AND(tblParticipants[[#This Row],[EnrollQtr]]=1,tblParticipants[[#This Row],[SvcStartDate]]&lt;DATE(conProgYear,7,1)),1,""),"")</f>
        <v/>
      </c>
      <c r="BV10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01" s="232" t="str">
        <f t="shared" ca="1" si="1"/>
        <v/>
      </c>
      <c r="BX101" s="9">
        <f>IF(SUM(IF(tblParticipants[[#This Row],[AmIndOrAkNtv]]=1,1,0),IF(tblParticipants[[#This Row],[Asian]]=1,1,0),IF(tblParticipants[[#This Row],[BlkOrAfAmer]]=1,1,0),IF(tblParticipants[[#This Row],[NtvHawOrPacIsl]]=1,1,0),IF(tblParticipants[[#This Row],[White]]=1,1,0))&gt;1,1,0)</f>
        <v>0</v>
      </c>
      <c r="BY10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0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0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01" s="11">
        <f>IF(tblParticipants[[#This Row],[EarnWg2Qae]]=1,IFERROR(tblParticipants[[#This Row],[HoursPerWk2Qae]]*tblParticipants[[#This Row],[HrlyWg2Qae]]*13,0),0)</f>
        <v>0</v>
      </c>
      <c r="CC101" s="11">
        <f>IF(tblParticipants[[#This Row],[EarnWg3Qae]]=1,IFERROR(tblParticipants[[#This Row],[HoursPerWk3Qae]]*tblParticipants[[#This Row],[HrlyWg3Qae]]*13,0),0)</f>
        <v>0</v>
      </c>
      <c r="CD101" s="9">
        <f>IFERROR(IF(SUM(tblParticipants[[#This Row],[EarnWg1Qae]],tblParticipants[[#This Row],[EarnWg2Qae]],tblParticipants[[#This Row],[EarnWg3Qae]])=3,1,0),0)</f>
        <v>0</v>
      </c>
      <c r="CE101" s="12">
        <f>IF(tblParticipants[[#This Row],[EmplAll3Qae]]=1,tblParticipants[[#This Row],[Earnings2Qae]]+tblParticipants[[#This Row],[Earnings3Qae]],0)</f>
        <v>0</v>
      </c>
      <c r="CF101" s="407"/>
    </row>
    <row r="102" spans="1:84" x14ac:dyDescent="0.3">
      <c r="A102" s="19"/>
      <c r="B102" s="19"/>
      <c r="C102" s="20"/>
      <c r="D102" s="20"/>
      <c r="E102" s="26"/>
      <c r="F102" s="26"/>
      <c r="G102" s="26"/>
      <c r="H102" s="26"/>
      <c r="I102" s="26"/>
      <c r="J102" s="26"/>
      <c r="K102" s="26"/>
      <c r="L102" s="26"/>
      <c r="M102" s="20"/>
      <c r="N102" s="26"/>
      <c r="O102" s="22"/>
      <c r="P102" s="21"/>
      <c r="Q102" s="23"/>
      <c r="R102" s="21"/>
      <c r="S102" s="21"/>
      <c r="T102" s="21"/>
      <c r="U102" s="21"/>
      <c r="V102" s="21"/>
      <c r="W102" s="24"/>
      <c r="X102" s="20"/>
      <c r="Y102" s="20"/>
      <c r="Z102" s="21"/>
      <c r="AA102" s="21"/>
      <c r="AB102" s="21"/>
      <c r="AC102" s="21"/>
      <c r="AD102" s="21"/>
      <c r="AE102" s="21"/>
      <c r="AF102" s="21"/>
      <c r="AG102" s="21"/>
      <c r="AH102" s="21"/>
      <c r="AI102" s="25"/>
      <c r="AJ102" s="20"/>
      <c r="AK102" s="21"/>
      <c r="AL102" s="20"/>
      <c r="AM102" s="20"/>
      <c r="AN102" s="20"/>
      <c r="AO102" s="20"/>
      <c r="AP102" s="446"/>
      <c r="AQ102" s="20"/>
      <c r="AR102" s="20"/>
      <c r="AS102" s="20"/>
      <c r="AT102" s="20"/>
      <c r="AU102" s="26"/>
      <c r="AV102" s="98"/>
      <c r="AW102" s="98"/>
      <c r="AX102" s="98"/>
      <c r="AY102" s="98"/>
      <c r="AZ102" s="98"/>
      <c r="BA102" s="217"/>
      <c r="BB102" s="98"/>
      <c r="BC102" s="98"/>
      <c r="BD102" s="98"/>
      <c r="BE102" s="98"/>
      <c r="BF102" s="98"/>
      <c r="BG102" s="219"/>
      <c r="BH102" s="219"/>
      <c r="BI102" s="219"/>
      <c r="BJ102" s="26"/>
      <c r="BK102" s="21"/>
      <c r="BL102" s="21"/>
      <c r="BM102" s="22"/>
      <c r="BN102" s="21"/>
      <c r="BO102" s="21"/>
      <c r="BP102" s="22"/>
      <c r="BQ102" s="21"/>
      <c r="BR102" s="21"/>
      <c r="BS102" s="22"/>
      <c r="BT10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02" s="109" t="str">
        <f>IF(ISNUMBER(tblParticipants[[#This Row],[SvcStartDate]]),IF(AND(tblParticipants[[#This Row],[EnrollQtr]]=1,tblParticipants[[#This Row],[SvcStartDate]]&lt;DATE(conProgYear,7,1)),1,""),"")</f>
        <v/>
      </c>
      <c r="BV10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02" s="232" t="str">
        <f t="shared" ca="1" si="1"/>
        <v/>
      </c>
      <c r="BX102" s="9">
        <f>IF(SUM(IF(tblParticipants[[#This Row],[AmIndOrAkNtv]]=1,1,0),IF(tblParticipants[[#This Row],[Asian]]=1,1,0),IF(tblParticipants[[#This Row],[BlkOrAfAmer]]=1,1,0),IF(tblParticipants[[#This Row],[NtvHawOrPacIsl]]=1,1,0),IF(tblParticipants[[#This Row],[White]]=1,1,0))&gt;1,1,0)</f>
        <v>0</v>
      </c>
      <c r="BY10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0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0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02" s="11">
        <f>IF(tblParticipants[[#This Row],[EarnWg2Qae]]=1,IFERROR(tblParticipants[[#This Row],[HoursPerWk2Qae]]*tblParticipants[[#This Row],[HrlyWg2Qae]]*13,0),0)</f>
        <v>0</v>
      </c>
      <c r="CC102" s="11">
        <f>IF(tblParticipants[[#This Row],[EarnWg3Qae]]=1,IFERROR(tblParticipants[[#This Row],[HoursPerWk3Qae]]*tblParticipants[[#This Row],[HrlyWg3Qae]]*13,0),0)</f>
        <v>0</v>
      </c>
      <c r="CD102" s="9">
        <f>IFERROR(IF(SUM(tblParticipants[[#This Row],[EarnWg1Qae]],tblParticipants[[#This Row],[EarnWg2Qae]],tblParticipants[[#This Row],[EarnWg3Qae]])=3,1,0),0)</f>
        <v>0</v>
      </c>
      <c r="CE102" s="12">
        <f>IF(tblParticipants[[#This Row],[EmplAll3Qae]]=1,tblParticipants[[#This Row],[Earnings2Qae]]+tblParticipants[[#This Row],[Earnings3Qae]],0)</f>
        <v>0</v>
      </c>
      <c r="CF102" s="407"/>
    </row>
    <row r="103" spans="1:84" x14ac:dyDescent="0.3">
      <c r="A103" s="19"/>
      <c r="B103" s="19"/>
      <c r="C103" s="20"/>
      <c r="D103" s="20"/>
      <c r="E103" s="26"/>
      <c r="F103" s="26"/>
      <c r="G103" s="26"/>
      <c r="H103" s="26"/>
      <c r="I103" s="26"/>
      <c r="J103" s="26"/>
      <c r="K103" s="26"/>
      <c r="L103" s="26"/>
      <c r="M103" s="20"/>
      <c r="N103" s="26"/>
      <c r="O103" s="22"/>
      <c r="P103" s="21"/>
      <c r="Q103" s="23"/>
      <c r="R103" s="21"/>
      <c r="S103" s="21"/>
      <c r="T103" s="21"/>
      <c r="U103" s="21"/>
      <c r="V103" s="21"/>
      <c r="W103" s="24"/>
      <c r="X103" s="20"/>
      <c r="Y103" s="20"/>
      <c r="Z103" s="21"/>
      <c r="AA103" s="21"/>
      <c r="AB103" s="21"/>
      <c r="AC103" s="21"/>
      <c r="AD103" s="21"/>
      <c r="AE103" s="21"/>
      <c r="AF103" s="21"/>
      <c r="AG103" s="21"/>
      <c r="AH103" s="21"/>
      <c r="AI103" s="25"/>
      <c r="AJ103" s="20"/>
      <c r="AK103" s="21"/>
      <c r="AL103" s="20"/>
      <c r="AM103" s="20"/>
      <c r="AN103" s="20"/>
      <c r="AO103" s="20"/>
      <c r="AP103" s="446"/>
      <c r="AQ103" s="20"/>
      <c r="AR103" s="20"/>
      <c r="AS103" s="20"/>
      <c r="AT103" s="20"/>
      <c r="AU103" s="26"/>
      <c r="AV103" s="98"/>
      <c r="AW103" s="98"/>
      <c r="AX103" s="98"/>
      <c r="AY103" s="98"/>
      <c r="AZ103" s="98"/>
      <c r="BA103" s="217"/>
      <c r="BB103" s="98"/>
      <c r="BC103" s="98"/>
      <c r="BD103" s="98"/>
      <c r="BE103" s="98"/>
      <c r="BF103" s="98"/>
      <c r="BG103" s="219"/>
      <c r="BH103" s="219"/>
      <c r="BI103" s="219"/>
      <c r="BJ103" s="26"/>
      <c r="BK103" s="21"/>
      <c r="BL103" s="21"/>
      <c r="BM103" s="22"/>
      <c r="BN103" s="21"/>
      <c r="BO103" s="21"/>
      <c r="BP103" s="22"/>
      <c r="BQ103" s="21"/>
      <c r="BR103" s="21"/>
      <c r="BS103" s="22"/>
      <c r="BT10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03" s="109" t="str">
        <f>IF(ISNUMBER(tblParticipants[[#This Row],[SvcStartDate]]),IF(AND(tblParticipants[[#This Row],[EnrollQtr]]=1,tblParticipants[[#This Row],[SvcStartDate]]&lt;DATE(conProgYear,7,1)),1,""),"")</f>
        <v/>
      </c>
      <c r="BV10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03" s="232" t="str">
        <f t="shared" ca="1" si="1"/>
        <v/>
      </c>
      <c r="BX103" s="9">
        <f>IF(SUM(IF(tblParticipants[[#This Row],[AmIndOrAkNtv]]=1,1,0),IF(tblParticipants[[#This Row],[Asian]]=1,1,0),IF(tblParticipants[[#This Row],[BlkOrAfAmer]]=1,1,0),IF(tblParticipants[[#This Row],[NtvHawOrPacIsl]]=1,1,0),IF(tblParticipants[[#This Row],[White]]=1,1,0))&gt;1,1,0)</f>
        <v>0</v>
      </c>
      <c r="BY10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0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0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03" s="11">
        <f>IF(tblParticipants[[#This Row],[EarnWg2Qae]]=1,IFERROR(tblParticipants[[#This Row],[HoursPerWk2Qae]]*tblParticipants[[#This Row],[HrlyWg2Qae]]*13,0),0)</f>
        <v>0</v>
      </c>
      <c r="CC103" s="11">
        <f>IF(tblParticipants[[#This Row],[EarnWg3Qae]]=1,IFERROR(tblParticipants[[#This Row],[HoursPerWk3Qae]]*tblParticipants[[#This Row],[HrlyWg3Qae]]*13,0),0)</f>
        <v>0</v>
      </c>
      <c r="CD103" s="9">
        <f>IFERROR(IF(SUM(tblParticipants[[#This Row],[EarnWg1Qae]],tblParticipants[[#This Row],[EarnWg2Qae]],tblParticipants[[#This Row],[EarnWg3Qae]])=3,1,0),0)</f>
        <v>0</v>
      </c>
      <c r="CE103" s="12">
        <f>IF(tblParticipants[[#This Row],[EmplAll3Qae]]=1,tblParticipants[[#This Row],[Earnings2Qae]]+tblParticipants[[#This Row],[Earnings3Qae]],0)</f>
        <v>0</v>
      </c>
      <c r="CF103" s="407"/>
    </row>
    <row r="104" spans="1:84" x14ac:dyDescent="0.3">
      <c r="A104" s="19"/>
      <c r="B104" s="19"/>
      <c r="C104" s="20"/>
      <c r="D104" s="20"/>
      <c r="E104" s="26"/>
      <c r="F104" s="26"/>
      <c r="G104" s="26"/>
      <c r="H104" s="26"/>
      <c r="I104" s="26"/>
      <c r="J104" s="26"/>
      <c r="K104" s="26"/>
      <c r="L104" s="26"/>
      <c r="M104" s="20"/>
      <c r="N104" s="26"/>
      <c r="O104" s="22"/>
      <c r="P104" s="21"/>
      <c r="Q104" s="23"/>
      <c r="R104" s="21"/>
      <c r="S104" s="21"/>
      <c r="T104" s="21"/>
      <c r="U104" s="21"/>
      <c r="V104" s="21"/>
      <c r="W104" s="24"/>
      <c r="X104" s="20"/>
      <c r="Y104" s="20"/>
      <c r="Z104" s="21"/>
      <c r="AA104" s="21"/>
      <c r="AB104" s="21"/>
      <c r="AC104" s="21"/>
      <c r="AD104" s="21"/>
      <c r="AE104" s="21"/>
      <c r="AF104" s="21"/>
      <c r="AG104" s="21"/>
      <c r="AH104" s="21"/>
      <c r="AI104" s="25"/>
      <c r="AJ104" s="20"/>
      <c r="AK104" s="21"/>
      <c r="AL104" s="20"/>
      <c r="AM104" s="20"/>
      <c r="AN104" s="20"/>
      <c r="AO104" s="20"/>
      <c r="AP104" s="446"/>
      <c r="AQ104" s="20"/>
      <c r="AR104" s="20"/>
      <c r="AS104" s="20"/>
      <c r="AT104" s="20"/>
      <c r="AU104" s="26"/>
      <c r="AV104" s="98"/>
      <c r="AW104" s="98"/>
      <c r="AX104" s="98"/>
      <c r="AY104" s="98"/>
      <c r="AZ104" s="98"/>
      <c r="BA104" s="217"/>
      <c r="BB104" s="98"/>
      <c r="BC104" s="98"/>
      <c r="BD104" s="98"/>
      <c r="BE104" s="98"/>
      <c r="BF104" s="98"/>
      <c r="BG104" s="219"/>
      <c r="BH104" s="219"/>
      <c r="BI104" s="219"/>
      <c r="BJ104" s="26"/>
      <c r="BK104" s="21"/>
      <c r="BL104" s="21"/>
      <c r="BM104" s="22"/>
      <c r="BN104" s="21"/>
      <c r="BO104" s="21"/>
      <c r="BP104" s="22"/>
      <c r="BQ104" s="21"/>
      <c r="BR104" s="21"/>
      <c r="BS104" s="22"/>
      <c r="BT10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04" s="109" t="str">
        <f>IF(ISNUMBER(tblParticipants[[#This Row],[SvcStartDate]]),IF(AND(tblParticipants[[#This Row],[EnrollQtr]]=1,tblParticipants[[#This Row],[SvcStartDate]]&lt;DATE(conProgYear,7,1)),1,""),"")</f>
        <v/>
      </c>
      <c r="BV10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04" s="232" t="str">
        <f t="shared" ca="1" si="1"/>
        <v/>
      </c>
      <c r="BX104" s="9">
        <f>IF(SUM(IF(tblParticipants[[#This Row],[AmIndOrAkNtv]]=1,1,0),IF(tblParticipants[[#This Row],[Asian]]=1,1,0),IF(tblParticipants[[#This Row],[BlkOrAfAmer]]=1,1,0),IF(tblParticipants[[#This Row],[NtvHawOrPacIsl]]=1,1,0),IF(tblParticipants[[#This Row],[White]]=1,1,0))&gt;1,1,0)</f>
        <v>0</v>
      </c>
      <c r="BY10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0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0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04" s="11">
        <f>IF(tblParticipants[[#This Row],[EarnWg2Qae]]=1,IFERROR(tblParticipants[[#This Row],[HoursPerWk2Qae]]*tblParticipants[[#This Row],[HrlyWg2Qae]]*13,0),0)</f>
        <v>0</v>
      </c>
      <c r="CC104" s="11">
        <f>IF(tblParticipants[[#This Row],[EarnWg3Qae]]=1,IFERROR(tblParticipants[[#This Row],[HoursPerWk3Qae]]*tblParticipants[[#This Row],[HrlyWg3Qae]]*13,0),0)</f>
        <v>0</v>
      </c>
      <c r="CD104" s="9">
        <f>IFERROR(IF(SUM(tblParticipants[[#This Row],[EarnWg1Qae]],tblParticipants[[#This Row],[EarnWg2Qae]],tblParticipants[[#This Row],[EarnWg3Qae]])=3,1,0),0)</f>
        <v>0</v>
      </c>
      <c r="CE104" s="12">
        <f>IF(tblParticipants[[#This Row],[EmplAll3Qae]]=1,tblParticipants[[#This Row],[Earnings2Qae]]+tblParticipants[[#This Row],[Earnings3Qae]],0)</f>
        <v>0</v>
      </c>
      <c r="CF104" s="407"/>
    </row>
    <row r="105" spans="1:84" x14ac:dyDescent="0.3">
      <c r="A105" s="19"/>
      <c r="B105" s="19"/>
      <c r="C105" s="20"/>
      <c r="D105" s="20"/>
      <c r="E105" s="26"/>
      <c r="F105" s="26"/>
      <c r="G105" s="26"/>
      <c r="H105" s="26"/>
      <c r="I105" s="26"/>
      <c r="J105" s="26"/>
      <c r="K105" s="26"/>
      <c r="L105" s="26"/>
      <c r="M105" s="20"/>
      <c r="N105" s="26"/>
      <c r="O105" s="22"/>
      <c r="P105" s="21"/>
      <c r="Q105" s="23"/>
      <c r="R105" s="21"/>
      <c r="S105" s="21"/>
      <c r="T105" s="21"/>
      <c r="U105" s="21"/>
      <c r="V105" s="21"/>
      <c r="W105" s="24"/>
      <c r="X105" s="20"/>
      <c r="Y105" s="20"/>
      <c r="Z105" s="21"/>
      <c r="AA105" s="21"/>
      <c r="AB105" s="21"/>
      <c r="AC105" s="21"/>
      <c r="AD105" s="21"/>
      <c r="AE105" s="21"/>
      <c r="AF105" s="21"/>
      <c r="AG105" s="21"/>
      <c r="AH105" s="21"/>
      <c r="AI105" s="25"/>
      <c r="AJ105" s="20"/>
      <c r="AK105" s="21"/>
      <c r="AL105" s="20"/>
      <c r="AM105" s="20"/>
      <c r="AN105" s="20"/>
      <c r="AO105" s="20"/>
      <c r="AP105" s="446"/>
      <c r="AQ105" s="20"/>
      <c r="AR105" s="20"/>
      <c r="AS105" s="20"/>
      <c r="AT105" s="20"/>
      <c r="AU105" s="26"/>
      <c r="AV105" s="98"/>
      <c r="AW105" s="98"/>
      <c r="AX105" s="98"/>
      <c r="AY105" s="98"/>
      <c r="AZ105" s="98"/>
      <c r="BA105" s="217"/>
      <c r="BB105" s="98"/>
      <c r="BC105" s="98"/>
      <c r="BD105" s="98"/>
      <c r="BE105" s="98"/>
      <c r="BF105" s="98"/>
      <c r="BG105" s="219"/>
      <c r="BH105" s="219"/>
      <c r="BI105" s="219"/>
      <c r="BJ105" s="26"/>
      <c r="BK105" s="21"/>
      <c r="BL105" s="21"/>
      <c r="BM105" s="22"/>
      <c r="BN105" s="21"/>
      <c r="BO105" s="21"/>
      <c r="BP105" s="22"/>
      <c r="BQ105" s="21"/>
      <c r="BR105" s="21"/>
      <c r="BS105" s="22"/>
      <c r="BT10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05" s="109" t="str">
        <f>IF(ISNUMBER(tblParticipants[[#This Row],[SvcStartDate]]),IF(AND(tblParticipants[[#This Row],[EnrollQtr]]=1,tblParticipants[[#This Row],[SvcStartDate]]&lt;DATE(conProgYear,7,1)),1,""),"")</f>
        <v/>
      </c>
      <c r="BV10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05" s="232" t="str">
        <f t="shared" ca="1" si="1"/>
        <v/>
      </c>
      <c r="BX105" s="9">
        <f>IF(SUM(IF(tblParticipants[[#This Row],[AmIndOrAkNtv]]=1,1,0),IF(tblParticipants[[#This Row],[Asian]]=1,1,0),IF(tblParticipants[[#This Row],[BlkOrAfAmer]]=1,1,0),IF(tblParticipants[[#This Row],[NtvHawOrPacIsl]]=1,1,0),IF(tblParticipants[[#This Row],[White]]=1,1,0))&gt;1,1,0)</f>
        <v>0</v>
      </c>
      <c r="BY10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0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0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05" s="11">
        <f>IF(tblParticipants[[#This Row],[EarnWg2Qae]]=1,IFERROR(tblParticipants[[#This Row],[HoursPerWk2Qae]]*tblParticipants[[#This Row],[HrlyWg2Qae]]*13,0),0)</f>
        <v>0</v>
      </c>
      <c r="CC105" s="11">
        <f>IF(tblParticipants[[#This Row],[EarnWg3Qae]]=1,IFERROR(tblParticipants[[#This Row],[HoursPerWk3Qae]]*tblParticipants[[#This Row],[HrlyWg3Qae]]*13,0),0)</f>
        <v>0</v>
      </c>
      <c r="CD105" s="9">
        <f>IFERROR(IF(SUM(tblParticipants[[#This Row],[EarnWg1Qae]],tblParticipants[[#This Row],[EarnWg2Qae]],tblParticipants[[#This Row],[EarnWg3Qae]])=3,1,0),0)</f>
        <v>0</v>
      </c>
      <c r="CE105" s="12">
        <f>IF(tblParticipants[[#This Row],[EmplAll3Qae]]=1,tblParticipants[[#This Row],[Earnings2Qae]]+tblParticipants[[#This Row],[Earnings3Qae]],0)</f>
        <v>0</v>
      </c>
      <c r="CF105" s="407"/>
    </row>
    <row r="106" spans="1:84" x14ac:dyDescent="0.3">
      <c r="A106" s="19"/>
      <c r="B106" s="19"/>
      <c r="C106" s="20"/>
      <c r="D106" s="20"/>
      <c r="E106" s="26"/>
      <c r="F106" s="26"/>
      <c r="G106" s="26"/>
      <c r="H106" s="26"/>
      <c r="I106" s="26"/>
      <c r="J106" s="26"/>
      <c r="K106" s="26"/>
      <c r="L106" s="26"/>
      <c r="M106" s="20"/>
      <c r="N106" s="26"/>
      <c r="O106" s="22"/>
      <c r="P106" s="21"/>
      <c r="Q106" s="23"/>
      <c r="R106" s="21"/>
      <c r="S106" s="21"/>
      <c r="T106" s="21"/>
      <c r="U106" s="21"/>
      <c r="V106" s="21"/>
      <c r="W106" s="24"/>
      <c r="X106" s="20"/>
      <c r="Y106" s="20"/>
      <c r="Z106" s="21"/>
      <c r="AA106" s="21"/>
      <c r="AB106" s="21"/>
      <c r="AC106" s="21"/>
      <c r="AD106" s="21"/>
      <c r="AE106" s="21"/>
      <c r="AF106" s="21"/>
      <c r="AG106" s="21"/>
      <c r="AH106" s="21"/>
      <c r="AI106" s="25"/>
      <c r="AJ106" s="20"/>
      <c r="AK106" s="21"/>
      <c r="AL106" s="20"/>
      <c r="AM106" s="20"/>
      <c r="AN106" s="20"/>
      <c r="AO106" s="20"/>
      <c r="AP106" s="446"/>
      <c r="AQ106" s="20"/>
      <c r="AR106" s="20"/>
      <c r="AS106" s="20"/>
      <c r="AT106" s="20"/>
      <c r="AU106" s="26"/>
      <c r="AV106" s="98"/>
      <c r="AW106" s="98"/>
      <c r="AX106" s="98"/>
      <c r="AY106" s="98"/>
      <c r="AZ106" s="98"/>
      <c r="BA106" s="217"/>
      <c r="BB106" s="98"/>
      <c r="BC106" s="98"/>
      <c r="BD106" s="98"/>
      <c r="BE106" s="98"/>
      <c r="BF106" s="98"/>
      <c r="BG106" s="219"/>
      <c r="BH106" s="219"/>
      <c r="BI106" s="219"/>
      <c r="BJ106" s="26"/>
      <c r="BK106" s="21"/>
      <c r="BL106" s="21"/>
      <c r="BM106" s="22"/>
      <c r="BN106" s="21"/>
      <c r="BO106" s="21"/>
      <c r="BP106" s="22"/>
      <c r="BQ106" s="21"/>
      <c r="BR106" s="21"/>
      <c r="BS106" s="22"/>
      <c r="BT10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06" s="109" t="str">
        <f>IF(ISNUMBER(tblParticipants[[#This Row],[SvcStartDate]]),IF(AND(tblParticipants[[#This Row],[EnrollQtr]]=1,tblParticipants[[#This Row],[SvcStartDate]]&lt;DATE(conProgYear,7,1)),1,""),"")</f>
        <v/>
      </c>
      <c r="BV10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06" s="232" t="str">
        <f t="shared" ca="1" si="1"/>
        <v/>
      </c>
      <c r="BX106" s="9">
        <f>IF(SUM(IF(tblParticipants[[#This Row],[AmIndOrAkNtv]]=1,1,0),IF(tblParticipants[[#This Row],[Asian]]=1,1,0),IF(tblParticipants[[#This Row],[BlkOrAfAmer]]=1,1,0),IF(tblParticipants[[#This Row],[NtvHawOrPacIsl]]=1,1,0),IF(tblParticipants[[#This Row],[White]]=1,1,0))&gt;1,1,0)</f>
        <v>0</v>
      </c>
      <c r="BY10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0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0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06" s="11">
        <f>IF(tblParticipants[[#This Row],[EarnWg2Qae]]=1,IFERROR(tblParticipants[[#This Row],[HoursPerWk2Qae]]*tblParticipants[[#This Row],[HrlyWg2Qae]]*13,0),0)</f>
        <v>0</v>
      </c>
      <c r="CC106" s="11">
        <f>IF(tblParticipants[[#This Row],[EarnWg3Qae]]=1,IFERROR(tblParticipants[[#This Row],[HoursPerWk3Qae]]*tblParticipants[[#This Row],[HrlyWg3Qae]]*13,0),0)</f>
        <v>0</v>
      </c>
      <c r="CD106" s="9">
        <f>IFERROR(IF(SUM(tblParticipants[[#This Row],[EarnWg1Qae]],tblParticipants[[#This Row],[EarnWg2Qae]],tblParticipants[[#This Row],[EarnWg3Qae]])=3,1,0),0)</f>
        <v>0</v>
      </c>
      <c r="CE106" s="12">
        <f>IF(tblParticipants[[#This Row],[EmplAll3Qae]]=1,tblParticipants[[#This Row],[Earnings2Qae]]+tblParticipants[[#This Row],[Earnings3Qae]],0)</f>
        <v>0</v>
      </c>
      <c r="CF106" s="407"/>
    </row>
    <row r="107" spans="1:84" x14ac:dyDescent="0.3">
      <c r="A107" s="19"/>
      <c r="B107" s="19"/>
      <c r="C107" s="20"/>
      <c r="D107" s="20"/>
      <c r="E107" s="26"/>
      <c r="F107" s="26"/>
      <c r="G107" s="26"/>
      <c r="H107" s="26"/>
      <c r="I107" s="26"/>
      <c r="J107" s="26"/>
      <c r="K107" s="26"/>
      <c r="L107" s="26"/>
      <c r="M107" s="20"/>
      <c r="N107" s="26"/>
      <c r="O107" s="22"/>
      <c r="P107" s="21"/>
      <c r="Q107" s="23"/>
      <c r="R107" s="21"/>
      <c r="S107" s="21"/>
      <c r="T107" s="21"/>
      <c r="U107" s="21"/>
      <c r="V107" s="21"/>
      <c r="W107" s="24"/>
      <c r="X107" s="20"/>
      <c r="Y107" s="20"/>
      <c r="Z107" s="21"/>
      <c r="AA107" s="21"/>
      <c r="AB107" s="21"/>
      <c r="AC107" s="21"/>
      <c r="AD107" s="21"/>
      <c r="AE107" s="21"/>
      <c r="AF107" s="21"/>
      <c r="AG107" s="21"/>
      <c r="AH107" s="21"/>
      <c r="AI107" s="25"/>
      <c r="AJ107" s="20"/>
      <c r="AK107" s="21"/>
      <c r="AL107" s="20"/>
      <c r="AM107" s="20"/>
      <c r="AN107" s="20"/>
      <c r="AO107" s="20"/>
      <c r="AP107" s="446"/>
      <c r="AQ107" s="20"/>
      <c r="AR107" s="20"/>
      <c r="AS107" s="20"/>
      <c r="AT107" s="20"/>
      <c r="AU107" s="26"/>
      <c r="AV107" s="98"/>
      <c r="AW107" s="98"/>
      <c r="AX107" s="98"/>
      <c r="AY107" s="98"/>
      <c r="AZ107" s="98"/>
      <c r="BA107" s="217"/>
      <c r="BB107" s="98"/>
      <c r="BC107" s="98"/>
      <c r="BD107" s="98"/>
      <c r="BE107" s="98"/>
      <c r="BF107" s="98"/>
      <c r="BG107" s="219"/>
      <c r="BH107" s="219"/>
      <c r="BI107" s="219"/>
      <c r="BJ107" s="26"/>
      <c r="BK107" s="21"/>
      <c r="BL107" s="21"/>
      <c r="BM107" s="22"/>
      <c r="BN107" s="21"/>
      <c r="BO107" s="21"/>
      <c r="BP107" s="22"/>
      <c r="BQ107" s="21"/>
      <c r="BR107" s="21"/>
      <c r="BS107" s="22"/>
      <c r="BT10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07" s="109" t="str">
        <f>IF(ISNUMBER(tblParticipants[[#This Row],[SvcStartDate]]),IF(AND(tblParticipants[[#This Row],[EnrollQtr]]=1,tblParticipants[[#This Row],[SvcStartDate]]&lt;DATE(conProgYear,7,1)),1,""),"")</f>
        <v/>
      </c>
      <c r="BV10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07" s="232" t="str">
        <f t="shared" ca="1" si="1"/>
        <v/>
      </c>
      <c r="BX107" s="9">
        <f>IF(SUM(IF(tblParticipants[[#This Row],[AmIndOrAkNtv]]=1,1,0),IF(tblParticipants[[#This Row],[Asian]]=1,1,0),IF(tblParticipants[[#This Row],[BlkOrAfAmer]]=1,1,0),IF(tblParticipants[[#This Row],[NtvHawOrPacIsl]]=1,1,0),IF(tblParticipants[[#This Row],[White]]=1,1,0))&gt;1,1,0)</f>
        <v>0</v>
      </c>
      <c r="BY10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0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0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07" s="11">
        <f>IF(tblParticipants[[#This Row],[EarnWg2Qae]]=1,IFERROR(tblParticipants[[#This Row],[HoursPerWk2Qae]]*tblParticipants[[#This Row],[HrlyWg2Qae]]*13,0),0)</f>
        <v>0</v>
      </c>
      <c r="CC107" s="11">
        <f>IF(tblParticipants[[#This Row],[EarnWg3Qae]]=1,IFERROR(tblParticipants[[#This Row],[HoursPerWk3Qae]]*tblParticipants[[#This Row],[HrlyWg3Qae]]*13,0),0)</f>
        <v>0</v>
      </c>
      <c r="CD107" s="9">
        <f>IFERROR(IF(SUM(tblParticipants[[#This Row],[EarnWg1Qae]],tblParticipants[[#This Row],[EarnWg2Qae]],tblParticipants[[#This Row],[EarnWg3Qae]])=3,1,0),0)</f>
        <v>0</v>
      </c>
      <c r="CE107" s="12">
        <f>IF(tblParticipants[[#This Row],[EmplAll3Qae]]=1,tblParticipants[[#This Row],[Earnings2Qae]]+tblParticipants[[#This Row],[Earnings3Qae]],0)</f>
        <v>0</v>
      </c>
      <c r="CF107" s="407"/>
    </row>
    <row r="108" spans="1:84" x14ac:dyDescent="0.3">
      <c r="A108" s="19"/>
      <c r="B108" s="19"/>
      <c r="C108" s="20"/>
      <c r="D108" s="20"/>
      <c r="E108" s="26"/>
      <c r="F108" s="26"/>
      <c r="G108" s="26"/>
      <c r="H108" s="26"/>
      <c r="I108" s="26"/>
      <c r="J108" s="26"/>
      <c r="K108" s="26"/>
      <c r="L108" s="26"/>
      <c r="M108" s="20"/>
      <c r="N108" s="26"/>
      <c r="O108" s="22"/>
      <c r="P108" s="21"/>
      <c r="Q108" s="23"/>
      <c r="R108" s="21"/>
      <c r="S108" s="21"/>
      <c r="T108" s="21"/>
      <c r="U108" s="21"/>
      <c r="V108" s="21"/>
      <c r="W108" s="24"/>
      <c r="X108" s="20"/>
      <c r="Y108" s="20"/>
      <c r="Z108" s="21"/>
      <c r="AA108" s="21"/>
      <c r="AB108" s="21"/>
      <c r="AC108" s="21"/>
      <c r="AD108" s="21"/>
      <c r="AE108" s="21"/>
      <c r="AF108" s="21"/>
      <c r="AG108" s="21"/>
      <c r="AH108" s="21"/>
      <c r="AI108" s="25"/>
      <c r="AJ108" s="20"/>
      <c r="AK108" s="21"/>
      <c r="AL108" s="20"/>
      <c r="AM108" s="20"/>
      <c r="AN108" s="20"/>
      <c r="AO108" s="20"/>
      <c r="AP108" s="446"/>
      <c r="AQ108" s="20"/>
      <c r="AR108" s="20"/>
      <c r="AS108" s="20"/>
      <c r="AT108" s="20"/>
      <c r="AU108" s="26"/>
      <c r="AV108" s="98"/>
      <c r="AW108" s="98"/>
      <c r="AX108" s="98"/>
      <c r="AY108" s="98"/>
      <c r="AZ108" s="98"/>
      <c r="BA108" s="217"/>
      <c r="BB108" s="98"/>
      <c r="BC108" s="98"/>
      <c r="BD108" s="98"/>
      <c r="BE108" s="98"/>
      <c r="BF108" s="98"/>
      <c r="BG108" s="219"/>
      <c r="BH108" s="219"/>
      <c r="BI108" s="219"/>
      <c r="BJ108" s="26"/>
      <c r="BK108" s="21"/>
      <c r="BL108" s="21"/>
      <c r="BM108" s="22"/>
      <c r="BN108" s="21"/>
      <c r="BO108" s="21"/>
      <c r="BP108" s="22"/>
      <c r="BQ108" s="21"/>
      <c r="BR108" s="21"/>
      <c r="BS108" s="22"/>
      <c r="BT10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08" s="109" t="str">
        <f>IF(ISNUMBER(tblParticipants[[#This Row],[SvcStartDate]]),IF(AND(tblParticipants[[#This Row],[EnrollQtr]]=1,tblParticipants[[#This Row],[SvcStartDate]]&lt;DATE(conProgYear,7,1)),1,""),"")</f>
        <v/>
      </c>
      <c r="BV10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08" s="232" t="str">
        <f t="shared" ca="1" si="1"/>
        <v/>
      </c>
      <c r="BX108" s="9">
        <f>IF(SUM(IF(tblParticipants[[#This Row],[AmIndOrAkNtv]]=1,1,0),IF(tblParticipants[[#This Row],[Asian]]=1,1,0),IF(tblParticipants[[#This Row],[BlkOrAfAmer]]=1,1,0),IF(tblParticipants[[#This Row],[NtvHawOrPacIsl]]=1,1,0),IF(tblParticipants[[#This Row],[White]]=1,1,0))&gt;1,1,0)</f>
        <v>0</v>
      </c>
      <c r="BY10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0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0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08" s="11">
        <f>IF(tblParticipants[[#This Row],[EarnWg2Qae]]=1,IFERROR(tblParticipants[[#This Row],[HoursPerWk2Qae]]*tblParticipants[[#This Row],[HrlyWg2Qae]]*13,0),0)</f>
        <v>0</v>
      </c>
      <c r="CC108" s="11">
        <f>IF(tblParticipants[[#This Row],[EarnWg3Qae]]=1,IFERROR(tblParticipants[[#This Row],[HoursPerWk3Qae]]*tblParticipants[[#This Row],[HrlyWg3Qae]]*13,0),0)</f>
        <v>0</v>
      </c>
      <c r="CD108" s="9">
        <f>IFERROR(IF(SUM(tblParticipants[[#This Row],[EarnWg1Qae]],tblParticipants[[#This Row],[EarnWg2Qae]],tblParticipants[[#This Row],[EarnWg3Qae]])=3,1,0),0)</f>
        <v>0</v>
      </c>
      <c r="CE108" s="12">
        <f>IF(tblParticipants[[#This Row],[EmplAll3Qae]]=1,tblParticipants[[#This Row],[Earnings2Qae]]+tblParticipants[[#This Row],[Earnings3Qae]],0)</f>
        <v>0</v>
      </c>
      <c r="CF108" s="407"/>
    </row>
    <row r="109" spans="1:84" x14ac:dyDescent="0.3">
      <c r="A109" s="19"/>
      <c r="B109" s="19"/>
      <c r="C109" s="20"/>
      <c r="D109" s="20"/>
      <c r="E109" s="26"/>
      <c r="F109" s="26"/>
      <c r="G109" s="26"/>
      <c r="H109" s="26"/>
      <c r="I109" s="26"/>
      <c r="J109" s="26"/>
      <c r="K109" s="26"/>
      <c r="L109" s="26"/>
      <c r="M109" s="20"/>
      <c r="N109" s="26"/>
      <c r="O109" s="22"/>
      <c r="P109" s="21"/>
      <c r="Q109" s="23"/>
      <c r="R109" s="21"/>
      <c r="S109" s="21"/>
      <c r="T109" s="21"/>
      <c r="U109" s="21"/>
      <c r="V109" s="21"/>
      <c r="W109" s="24"/>
      <c r="X109" s="20"/>
      <c r="Y109" s="20"/>
      <c r="Z109" s="21"/>
      <c r="AA109" s="21"/>
      <c r="AB109" s="21"/>
      <c r="AC109" s="21"/>
      <c r="AD109" s="21"/>
      <c r="AE109" s="21"/>
      <c r="AF109" s="21"/>
      <c r="AG109" s="21"/>
      <c r="AH109" s="21"/>
      <c r="AI109" s="25"/>
      <c r="AJ109" s="20"/>
      <c r="AK109" s="21"/>
      <c r="AL109" s="20"/>
      <c r="AM109" s="20"/>
      <c r="AN109" s="20"/>
      <c r="AO109" s="20"/>
      <c r="AP109" s="446"/>
      <c r="AQ109" s="20"/>
      <c r="AR109" s="20"/>
      <c r="AS109" s="20"/>
      <c r="AT109" s="20"/>
      <c r="AU109" s="26"/>
      <c r="AV109" s="98"/>
      <c r="AW109" s="98"/>
      <c r="AX109" s="98"/>
      <c r="AY109" s="98"/>
      <c r="AZ109" s="98"/>
      <c r="BA109" s="217"/>
      <c r="BB109" s="98"/>
      <c r="BC109" s="98"/>
      <c r="BD109" s="98"/>
      <c r="BE109" s="98"/>
      <c r="BF109" s="98"/>
      <c r="BG109" s="219"/>
      <c r="BH109" s="219"/>
      <c r="BI109" s="219"/>
      <c r="BJ109" s="26"/>
      <c r="BK109" s="21"/>
      <c r="BL109" s="21"/>
      <c r="BM109" s="22"/>
      <c r="BN109" s="21"/>
      <c r="BO109" s="21"/>
      <c r="BP109" s="22"/>
      <c r="BQ109" s="21"/>
      <c r="BR109" s="21"/>
      <c r="BS109" s="22"/>
      <c r="BT10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09" s="109" t="str">
        <f>IF(ISNUMBER(tblParticipants[[#This Row],[SvcStartDate]]),IF(AND(tblParticipants[[#This Row],[EnrollQtr]]=1,tblParticipants[[#This Row],[SvcStartDate]]&lt;DATE(conProgYear,7,1)),1,""),"")</f>
        <v/>
      </c>
      <c r="BV10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09" s="232" t="str">
        <f t="shared" ca="1" si="1"/>
        <v/>
      </c>
      <c r="BX109" s="9">
        <f>IF(SUM(IF(tblParticipants[[#This Row],[AmIndOrAkNtv]]=1,1,0),IF(tblParticipants[[#This Row],[Asian]]=1,1,0),IF(tblParticipants[[#This Row],[BlkOrAfAmer]]=1,1,0),IF(tblParticipants[[#This Row],[NtvHawOrPacIsl]]=1,1,0),IF(tblParticipants[[#This Row],[White]]=1,1,0))&gt;1,1,0)</f>
        <v>0</v>
      </c>
      <c r="BY10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0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0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09" s="11">
        <f>IF(tblParticipants[[#This Row],[EarnWg2Qae]]=1,IFERROR(tblParticipants[[#This Row],[HoursPerWk2Qae]]*tblParticipants[[#This Row],[HrlyWg2Qae]]*13,0),0)</f>
        <v>0</v>
      </c>
      <c r="CC109" s="11">
        <f>IF(tblParticipants[[#This Row],[EarnWg3Qae]]=1,IFERROR(tblParticipants[[#This Row],[HoursPerWk3Qae]]*tblParticipants[[#This Row],[HrlyWg3Qae]]*13,0),0)</f>
        <v>0</v>
      </c>
      <c r="CD109" s="9">
        <f>IFERROR(IF(SUM(tblParticipants[[#This Row],[EarnWg1Qae]],tblParticipants[[#This Row],[EarnWg2Qae]],tblParticipants[[#This Row],[EarnWg3Qae]])=3,1,0),0)</f>
        <v>0</v>
      </c>
      <c r="CE109" s="12">
        <f>IF(tblParticipants[[#This Row],[EmplAll3Qae]]=1,tblParticipants[[#This Row],[Earnings2Qae]]+tblParticipants[[#This Row],[Earnings3Qae]],0)</f>
        <v>0</v>
      </c>
      <c r="CF109" s="407"/>
    </row>
    <row r="110" spans="1:84" x14ac:dyDescent="0.3">
      <c r="A110" s="19"/>
      <c r="B110" s="19"/>
      <c r="C110" s="20"/>
      <c r="D110" s="20"/>
      <c r="E110" s="26"/>
      <c r="F110" s="26"/>
      <c r="G110" s="26"/>
      <c r="H110" s="26"/>
      <c r="I110" s="26"/>
      <c r="J110" s="26"/>
      <c r="K110" s="26"/>
      <c r="L110" s="26"/>
      <c r="M110" s="20"/>
      <c r="N110" s="26"/>
      <c r="O110" s="22"/>
      <c r="P110" s="21"/>
      <c r="Q110" s="23"/>
      <c r="R110" s="21"/>
      <c r="S110" s="21"/>
      <c r="T110" s="21"/>
      <c r="U110" s="21"/>
      <c r="V110" s="21"/>
      <c r="W110" s="24"/>
      <c r="X110" s="20"/>
      <c r="Y110" s="20"/>
      <c r="Z110" s="21"/>
      <c r="AA110" s="21"/>
      <c r="AB110" s="21"/>
      <c r="AC110" s="21"/>
      <c r="AD110" s="21"/>
      <c r="AE110" s="21"/>
      <c r="AF110" s="21"/>
      <c r="AG110" s="21"/>
      <c r="AH110" s="21"/>
      <c r="AI110" s="25"/>
      <c r="AJ110" s="20"/>
      <c r="AK110" s="21"/>
      <c r="AL110" s="20"/>
      <c r="AM110" s="20"/>
      <c r="AN110" s="20"/>
      <c r="AO110" s="20"/>
      <c r="AP110" s="446"/>
      <c r="AQ110" s="20"/>
      <c r="AR110" s="20"/>
      <c r="AS110" s="20"/>
      <c r="AT110" s="20"/>
      <c r="AU110" s="26"/>
      <c r="AV110" s="98"/>
      <c r="AW110" s="98"/>
      <c r="AX110" s="98"/>
      <c r="AY110" s="98"/>
      <c r="AZ110" s="98"/>
      <c r="BA110" s="217"/>
      <c r="BB110" s="98"/>
      <c r="BC110" s="98"/>
      <c r="BD110" s="98"/>
      <c r="BE110" s="98"/>
      <c r="BF110" s="98"/>
      <c r="BG110" s="219"/>
      <c r="BH110" s="219"/>
      <c r="BI110" s="219"/>
      <c r="BJ110" s="26"/>
      <c r="BK110" s="21"/>
      <c r="BL110" s="21"/>
      <c r="BM110" s="22"/>
      <c r="BN110" s="21"/>
      <c r="BO110" s="21"/>
      <c r="BP110" s="22"/>
      <c r="BQ110" s="21"/>
      <c r="BR110" s="21"/>
      <c r="BS110" s="22"/>
      <c r="BT11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10" s="109" t="str">
        <f>IF(ISNUMBER(tblParticipants[[#This Row],[SvcStartDate]]),IF(AND(tblParticipants[[#This Row],[EnrollQtr]]=1,tblParticipants[[#This Row],[SvcStartDate]]&lt;DATE(conProgYear,7,1)),1,""),"")</f>
        <v/>
      </c>
      <c r="BV11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10" s="232" t="str">
        <f t="shared" ca="1" si="1"/>
        <v/>
      </c>
      <c r="BX110" s="9">
        <f>IF(SUM(IF(tblParticipants[[#This Row],[AmIndOrAkNtv]]=1,1,0),IF(tblParticipants[[#This Row],[Asian]]=1,1,0),IF(tblParticipants[[#This Row],[BlkOrAfAmer]]=1,1,0),IF(tblParticipants[[#This Row],[NtvHawOrPacIsl]]=1,1,0),IF(tblParticipants[[#This Row],[White]]=1,1,0))&gt;1,1,0)</f>
        <v>0</v>
      </c>
      <c r="BY11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1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1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10" s="11">
        <f>IF(tblParticipants[[#This Row],[EarnWg2Qae]]=1,IFERROR(tblParticipants[[#This Row],[HoursPerWk2Qae]]*tblParticipants[[#This Row],[HrlyWg2Qae]]*13,0),0)</f>
        <v>0</v>
      </c>
      <c r="CC110" s="11">
        <f>IF(tblParticipants[[#This Row],[EarnWg3Qae]]=1,IFERROR(tblParticipants[[#This Row],[HoursPerWk3Qae]]*tblParticipants[[#This Row],[HrlyWg3Qae]]*13,0),0)</f>
        <v>0</v>
      </c>
      <c r="CD110" s="9">
        <f>IFERROR(IF(SUM(tblParticipants[[#This Row],[EarnWg1Qae]],tblParticipants[[#This Row],[EarnWg2Qae]],tblParticipants[[#This Row],[EarnWg3Qae]])=3,1,0),0)</f>
        <v>0</v>
      </c>
      <c r="CE110" s="12">
        <f>IF(tblParticipants[[#This Row],[EmplAll3Qae]]=1,tblParticipants[[#This Row],[Earnings2Qae]]+tblParticipants[[#This Row],[Earnings3Qae]],0)</f>
        <v>0</v>
      </c>
      <c r="CF110" s="407"/>
    </row>
    <row r="111" spans="1:84" x14ac:dyDescent="0.3">
      <c r="A111" s="19"/>
      <c r="B111" s="19"/>
      <c r="C111" s="20"/>
      <c r="D111" s="20"/>
      <c r="E111" s="26"/>
      <c r="F111" s="26"/>
      <c r="G111" s="26"/>
      <c r="H111" s="26"/>
      <c r="I111" s="26"/>
      <c r="J111" s="26"/>
      <c r="K111" s="26"/>
      <c r="L111" s="26"/>
      <c r="M111" s="20"/>
      <c r="N111" s="26"/>
      <c r="O111" s="22"/>
      <c r="P111" s="21"/>
      <c r="Q111" s="23"/>
      <c r="R111" s="21"/>
      <c r="S111" s="21"/>
      <c r="T111" s="21"/>
      <c r="U111" s="21"/>
      <c r="V111" s="21"/>
      <c r="W111" s="24"/>
      <c r="X111" s="20"/>
      <c r="Y111" s="20"/>
      <c r="Z111" s="21"/>
      <c r="AA111" s="21"/>
      <c r="AB111" s="21"/>
      <c r="AC111" s="21"/>
      <c r="AD111" s="21"/>
      <c r="AE111" s="21"/>
      <c r="AF111" s="21"/>
      <c r="AG111" s="21"/>
      <c r="AH111" s="21"/>
      <c r="AI111" s="25"/>
      <c r="AJ111" s="20"/>
      <c r="AK111" s="21"/>
      <c r="AL111" s="20"/>
      <c r="AM111" s="20"/>
      <c r="AN111" s="20"/>
      <c r="AO111" s="20"/>
      <c r="AP111" s="446"/>
      <c r="AQ111" s="20"/>
      <c r="AR111" s="20"/>
      <c r="AS111" s="20"/>
      <c r="AT111" s="20"/>
      <c r="AU111" s="26"/>
      <c r="AV111" s="98"/>
      <c r="AW111" s="98"/>
      <c r="AX111" s="98"/>
      <c r="AY111" s="98"/>
      <c r="AZ111" s="98"/>
      <c r="BA111" s="217"/>
      <c r="BB111" s="98"/>
      <c r="BC111" s="98"/>
      <c r="BD111" s="98"/>
      <c r="BE111" s="98"/>
      <c r="BF111" s="98"/>
      <c r="BG111" s="219"/>
      <c r="BH111" s="219"/>
      <c r="BI111" s="219"/>
      <c r="BJ111" s="26"/>
      <c r="BK111" s="21"/>
      <c r="BL111" s="21"/>
      <c r="BM111" s="22"/>
      <c r="BN111" s="21"/>
      <c r="BO111" s="21"/>
      <c r="BP111" s="22"/>
      <c r="BQ111" s="21"/>
      <c r="BR111" s="21"/>
      <c r="BS111" s="22"/>
      <c r="BT11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11" s="109" t="str">
        <f>IF(ISNUMBER(tblParticipants[[#This Row],[SvcStartDate]]),IF(AND(tblParticipants[[#This Row],[EnrollQtr]]=1,tblParticipants[[#This Row],[SvcStartDate]]&lt;DATE(conProgYear,7,1)),1,""),"")</f>
        <v/>
      </c>
      <c r="BV11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11" s="232" t="str">
        <f t="shared" ca="1" si="1"/>
        <v/>
      </c>
      <c r="BX111" s="9">
        <f>IF(SUM(IF(tblParticipants[[#This Row],[AmIndOrAkNtv]]=1,1,0),IF(tblParticipants[[#This Row],[Asian]]=1,1,0),IF(tblParticipants[[#This Row],[BlkOrAfAmer]]=1,1,0),IF(tblParticipants[[#This Row],[NtvHawOrPacIsl]]=1,1,0),IF(tblParticipants[[#This Row],[White]]=1,1,0))&gt;1,1,0)</f>
        <v>0</v>
      </c>
      <c r="BY11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1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1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11" s="11">
        <f>IF(tblParticipants[[#This Row],[EarnWg2Qae]]=1,IFERROR(tblParticipants[[#This Row],[HoursPerWk2Qae]]*tblParticipants[[#This Row],[HrlyWg2Qae]]*13,0),0)</f>
        <v>0</v>
      </c>
      <c r="CC111" s="11">
        <f>IF(tblParticipants[[#This Row],[EarnWg3Qae]]=1,IFERROR(tblParticipants[[#This Row],[HoursPerWk3Qae]]*tblParticipants[[#This Row],[HrlyWg3Qae]]*13,0),0)</f>
        <v>0</v>
      </c>
      <c r="CD111" s="9">
        <f>IFERROR(IF(SUM(tblParticipants[[#This Row],[EarnWg1Qae]],tblParticipants[[#This Row],[EarnWg2Qae]],tblParticipants[[#This Row],[EarnWg3Qae]])=3,1,0),0)</f>
        <v>0</v>
      </c>
      <c r="CE111" s="12">
        <f>IF(tblParticipants[[#This Row],[EmplAll3Qae]]=1,tblParticipants[[#This Row],[Earnings2Qae]]+tblParticipants[[#This Row],[Earnings3Qae]],0)</f>
        <v>0</v>
      </c>
      <c r="CF111" s="407"/>
    </row>
    <row r="112" spans="1:84" x14ac:dyDescent="0.3">
      <c r="A112" s="19"/>
      <c r="B112" s="19"/>
      <c r="C112" s="20"/>
      <c r="D112" s="20"/>
      <c r="E112" s="26"/>
      <c r="F112" s="26"/>
      <c r="G112" s="26"/>
      <c r="H112" s="26"/>
      <c r="I112" s="26"/>
      <c r="J112" s="26"/>
      <c r="K112" s="26"/>
      <c r="L112" s="26"/>
      <c r="M112" s="20"/>
      <c r="N112" s="26"/>
      <c r="O112" s="22"/>
      <c r="P112" s="21"/>
      <c r="Q112" s="23"/>
      <c r="R112" s="21"/>
      <c r="S112" s="21"/>
      <c r="T112" s="21"/>
      <c r="U112" s="21"/>
      <c r="V112" s="21"/>
      <c r="W112" s="24"/>
      <c r="X112" s="20"/>
      <c r="Y112" s="20"/>
      <c r="Z112" s="21"/>
      <c r="AA112" s="21"/>
      <c r="AB112" s="21"/>
      <c r="AC112" s="21"/>
      <c r="AD112" s="21"/>
      <c r="AE112" s="21"/>
      <c r="AF112" s="21"/>
      <c r="AG112" s="21"/>
      <c r="AH112" s="21"/>
      <c r="AI112" s="25"/>
      <c r="AJ112" s="20"/>
      <c r="AK112" s="21"/>
      <c r="AL112" s="20"/>
      <c r="AM112" s="20"/>
      <c r="AN112" s="20"/>
      <c r="AO112" s="20"/>
      <c r="AP112" s="446"/>
      <c r="AQ112" s="20"/>
      <c r="AR112" s="20"/>
      <c r="AS112" s="20"/>
      <c r="AT112" s="20"/>
      <c r="AU112" s="26"/>
      <c r="AV112" s="98"/>
      <c r="AW112" s="98"/>
      <c r="AX112" s="98"/>
      <c r="AY112" s="98"/>
      <c r="AZ112" s="98"/>
      <c r="BA112" s="217"/>
      <c r="BB112" s="98"/>
      <c r="BC112" s="98"/>
      <c r="BD112" s="98"/>
      <c r="BE112" s="98"/>
      <c r="BF112" s="98"/>
      <c r="BG112" s="219"/>
      <c r="BH112" s="219"/>
      <c r="BI112" s="219"/>
      <c r="BJ112" s="26"/>
      <c r="BK112" s="21"/>
      <c r="BL112" s="21"/>
      <c r="BM112" s="22"/>
      <c r="BN112" s="21"/>
      <c r="BO112" s="21"/>
      <c r="BP112" s="22"/>
      <c r="BQ112" s="21"/>
      <c r="BR112" s="21"/>
      <c r="BS112" s="22"/>
      <c r="BT11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12" s="109" t="str">
        <f>IF(ISNUMBER(tblParticipants[[#This Row],[SvcStartDate]]),IF(AND(tblParticipants[[#This Row],[EnrollQtr]]=1,tblParticipants[[#This Row],[SvcStartDate]]&lt;DATE(conProgYear,7,1)),1,""),"")</f>
        <v/>
      </c>
      <c r="BV11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12" s="232" t="str">
        <f t="shared" ca="1" si="1"/>
        <v/>
      </c>
      <c r="BX112" s="9">
        <f>IF(SUM(IF(tblParticipants[[#This Row],[AmIndOrAkNtv]]=1,1,0),IF(tblParticipants[[#This Row],[Asian]]=1,1,0),IF(tblParticipants[[#This Row],[BlkOrAfAmer]]=1,1,0),IF(tblParticipants[[#This Row],[NtvHawOrPacIsl]]=1,1,0),IF(tblParticipants[[#This Row],[White]]=1,1,0))&gt;1,1,0)</f>
        <v>0</v>
      </c>
      <c r="BY11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1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1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12" s="11">
        <f>IF(tblParticipants[[#This Row],[EarnWg2Qae]]=1,IFERROR(tblParticipants[[#This Row],[HoursPerWk2Qae]]*tblParticipants[[#This Row],[HrlyWg2Qae]]*13,0),0)</f>
        <v>0</v>
      </c>
      <c r="CC112" s="11">
        <f>IF(tblParticipants[[#This Row],[EarnWg3Qae]]=1,IFERROR(tblParticipants[[#This Row],[HoursPerWk3Qae]]*tblParticipants[[#This Row],[HrlyWg3Qae]]*13,0),0)</f>
        <v>0</v>
      </c>
      <c r="CD112" s="9">
        <f>IFERROR(IF(SUM(tblParticipants[[#This Row],[EarnWg1Qae]],tblParticipants[[#This Row],[EarnWg2Qae]],tblParticipants[[#This Row],[EarnWg3Qae]])=3,1,0),0)</f>
        <v>0</v>
      </c>
      <c r="CE112" s="12">
        <f>IF(tblParticipants[[#This Row],[EmplAll3Qae]]=1,tblParticipants[[#This Row],[Earnings2Qae]]+tblParticipants[[#This Row],[Earnings3Qae]],0)</f>
        <v>0</v>
      </c>
      <c r="CF112" s="407"/>
    </row>
    <row r="113" spans="1:84" x14ac:dyDescent="0.3">
      <c r="A113" s="19"/>
      <c r="B113" s="19"/>
      <c r="C113" s="20"/>
      <c r="D113" s="20"/>
      <c r="E113" s="26"/>
      <c r="F113" s="26"/>
      <c r="G113" s="26"/>
      <c r="H113" s="26"/>
      <c r="I113" s="26"/>
      <c r="J113" s="26"/>
      <c r="K113" s="26"/>
      <c r="L113" s="26"/>
      <c r="M113" s="20"/>
      <c r="N113" s="26"/>
      <c r="O113" s="22"/>
      <c r="P113" s="21"/>
      <c r="Q113" s="23"/>
      <c r="R113" s="21"/>
      <c r="S113" s="21"/>
      <c r="T113" s="21"/>
      <c r="U113" s="21"/>
      <c r="V113" s="21"/>
      <c r="W113" s="24"/>
      <c r="X113" s="20"/>
      <c r="Y113" s="20"/>
      <c r="Z113" s="21"/>
      <c r="AA113" s="21"/>
      <c r="AB113" s="21"/>
      <c r="AC113" s="21"/>
      <c r="AD113" s="21"/>
      <c r="AE113" s="21"/>
      <c r="AF113" s="21"/>
      <c r="AG113" s="21"/>
      <c r="AH113" s="21"/>
      <c r="AI113" s="25"/>
      <c r="AJ113" s="20"/>
      <c r="AK113" s="21"/>
      <c r="AL113" s="20"/>
      <c r="AM113" s="20"/>
      <c r="AN113" s="20"/>
      <c r="AO113" s="20"/>
      <c r="AP113" s="446"/>
      <c r="AQ113" s="20"/>
      <c r="AR113" s="20"/>
      <c r="AS113" s="20"/>
      <c r="AT113" s="20"/>
      <c r="AU113" s="26"/>
      <c r="AV113" s="98"/>
      <c r="AW113" s="98"/>
      <c r="AX113" s="98"/>
      <c r="AY113" s="98"/>
      <c r="AZ113" s="98"/>
      <c r="BA113" s="217"/>
      <c r="BB113" s="98"/>
      <c r="BC113" s="98"/>
      <c r="BD113" s="98"/>
      <c r="BE113" s="98"/>
      <c r="BF113" s="98"/>
      <c r="BG113" s="219"/>
      <c r="BH113" s="219"/>
      <c r="BI113" s="219"/>
      <c r="BJ113" s="26"/>
      <c r="BK113" s="21"/>
      <c r="BL113" s="21"/>
      <c r="BM113" s="22"/>
      <c r="BN113" s="21"/>
      <c r="BO113" s="21"/>
      <c r="BP113" s="22"/>
      <c r="BQ113" s="21"/>
      <c r="BR113" s="21"/>
      <c r="BS113" s="22"/>
      <c r="BT11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13" s="109" t="str">
        <f>IF(ISNUMBER(tblParticipants[[#This Row],[SvcStartDate]]),IF(AND(tblParticipants[[#This Row],[EnrollQtr]]=1,tblParticipants[[#This Row],[SvcStartDate]]&lt;DATE(conProgYear,7,1)),1,""),"")</f>
        <v/>
      </c>
      <c r="BV11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13" s="232" t="str">
        <f t="shared" ca="1" si="1"/>
        <v/>
      </c>
      <c r="BX113" s="9">
        <f>IF(SUM(IF(tblParticipants[[#This Row],[AmIndOrAkNtv]]=1,1,0),IF(tblParticipants[[#This Row],[Asian]]=1,1,0),IF(tblParticipants[[#This Row],[BlkOrAfAmer]]=1,1,0),IF(tblParticipants[[#This Row],[NtvHawOrPacIsl]]=1,1,0),IF(tblParticipants[[#This Row],[White]]=1,1,0))&gt;1,1,0)</f>
        <v>0</v>
      </c>
      <c r="BY11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1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1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13" s="11">
        <f>IF(tblParticipants[[#This Row],[EarnWg2Qae]]=1,IFERROR(tblParticipants[[#This Row],[HoursPerWk2Qae]]*tblParticipants[[#This Row],[HrlyWg2Qae]]*13,0),0)</f>
        <v>0</v>
      </c>
      <c r="CC113" s="11">
        <f>IF(tblParticipants[[#This Row],[EarnWg3Qae]]=1,IFERROR(tblParticipants[[#This Row],[HoursPerWk3Qae]]*tblParticipants[[#This Row],[HrlyWg3Qae]]*13,0),0)</f>
        <v>0</v>
      </c>
      <c r="CD113" s="9">
        <f>IFERROR(IF(SUM(tblParticipants[[#This Row],[EarnWg1Qae]],tblParticipants[[#This Row],[EarnWg2Qae]],tblParticipants[[#This Row],[EarnWg3Qae]])=3,1,0),0)</f>
        <v>0</v>
      </c>
      <c r="CE113" s="12">
        <f>IF(tblParticipants[[#This Row],[EmplAll3Qae]]=1,tblParticipants[[#This Row],[Earnings2Qae]]+tblParticipants[[#This Row],[Earnings3Qae]],0)</f>
        <v>0</v>
      </c>
      <c r="CF113" s="407"/>
    </row>
    <row r="114" spans="1:84" x14ac:dyDescent="0.3">
      <c r="A114" s="19"/>
      <c r="B114" s="19"/>
      <c r="C114" s="20"/>
      <c r="D114" s="20"/>
      <c r="E114" s="26"/>
      <c r="F114" s="26"/>
      <c r="G114" s="26"/>
      <c r="H114" s="26"/>
      <c r="I114" s="26"/>
      <c r="J114" s="26"/>
      <c r="K114" s="26"/>
      <c r="L114" s="26"/>
      <c r="M114" s="20"/>
      <c r="N114" s="26"/>
      <c r="O114" s="22"/>
      <c r="P114" s="21"/>
      <c r="Q114" s="23"/>
      <c r="R114" s="21"/>
      <c r="S114" s="21"/>
      <c r="T114" s="21"/>
      <c r="U114" s="21"/>
      <c r="V114" s="21"/>
      <c r="W114" s="24"/>
      <c r="X114" s="20"/>
      <c r="Y114" s="20"/>
      <c r="Z114" s="21"/>
      <c r="AA114" s="21"/>
      <c r="AB114" s="21"/>
      <c r="AC114" s="21"/>
      <c r="AD114" s="21"/>
      <c r="AE114" s="21"/>
      <c r="AF114" s="21"/>
      <c r="AG114" s="21"/>
      <c r="AH114" s="21"/>
      <c r="AI114" s="25"/>
      <c r="AJ114" s="20"/>
      <c r="AK114" s="21"/>
      <c r="AL114" s="20"/>
      <c r="AM114" s="20"/>
      <c r="AN114" s="20"/>
      <c r="AO114" s="20"/>
      <c r="AP114" s="446"/>
      <c r="AQ114" s="20"/>
      <c r="AR114" s="20"/>
      <c r="AS114" s="20"/>
      <c r="AT114" s="20"/>
      <c r="AU114" s="26"/>
      <c r="AV114" s="98"/>
      <c r="AW114" s="98"/>
      <c r="AX114" s="98"/>
      <c r="AY114" s="98"/>
      <c r="AZ114" s="98"/>
      <c r="BA114" s="217"/>
      <c r="BB114" s="98"/>
      <c r="BC114" s="98"/>
      <c r="BD114" s="98"/>
      <c r="BE114" s="98"/>
      <c r="BF114" s="98"/>
      <c r="BG114" s="219"/>
      <c r="BH114" s="219"/>
      <c r="BI114" s="219"/>
      <c r="BJ114" s="26"/>
      <c r="BK114" s="21"/>
      <c r="BL114" s="21"/>
      <c r="BM114" s="22"/>
      <c r="BN114" s="21"/>
      <c r="BO114" s="21"/>
      <c r="BP114" s="22"/>
      <c r="BQ114" s="21"/>
      <c r="BR114" s="21"/>
      <c r="BS114" s="22"/>
      <c r="BT11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14" s="109" t="str">
        <f>IF(ISNUMBER(tblParticipants[[#This Row],[SvcStartDate]]),IF(AND(tblParticipants[[#This Row],[EnrollQtr]]=1,tblParticipants[[#This Row],[SvcStartDate]]&lt;DATE(conProgYear,7,1)),1,""),"")</f>
        <v/>
      </c>
      <c r="BV11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14" s="232" t="str">
        <f t="shared" ca="1" si="1"/>
        <v/>
      </c>
      <c r="BX114" s="9">
        <f>IF(SUM(IF(tblParticipants[[#This Row],[AmIndOrAkNtv]]=1,1,0),IF(tblParticipants[[#This Row],[Asian]]=1,1,0),IF(tblParticipants[[#This Row],[BlkOrAfAmer]]=1,1,0),IF(tblParticipants[[#This Row],[NtvHawOrPacIsl]]=1,1,0),IF(tblParticipants[[#This Row],[White]]=1,1,0))&gt;1,1,0)</f>
        <v>0</v>
      </c>
      <c r="BY11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1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1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14" s="11">
        <f>IF(tblParticipants[[#This Row],[EarnWg2Qae]]=1,IFERROR(tblParticipants[[#This Row],[HoursPerWk2Qae]]*tblParticipants[[#This Row],[HrlyWg2Qae]]*13,0),0)</f>
        <v>0</v>
      </c>
      <c r="CC114" s="11">
        <f>IF(tblParticipants[[#This Row],[EarnWg3Qae]]=1,IFERROR(tblParticipants[[#This Row],[HoursPerWk3Qae]]*tblParticipants[[#This Row],[HrlyWg3Qae]]*13,0),0)</f>
        <v>0</v>
      </c>
      <c r="CD114" s="9">
        <f>IFERROR(IF(SUM(tblParticipants[[#This Row],[EarnWg1Qae]],tblParticipants[[#This Row],[EarnWg2Qae]],tblParticipants[[#This Row],[EarnWg3Qae]])=3,1,0),0)</f>
        <v>0</v>
      </c>
      <c r="CE114" s="12">
        <f>IF(tblParticipants[[#This Row],[EmplAll3Qae]]=1,tblParticipants[[#This Row],[Earnings2Qae]]+tblParticipants[[#This Row],[Earnings3Qae]],0)</f>
        <v>0</v>
      </c>
      <c r="CF114" s="407"/>
    </row>
    <row r="115" spans="1:84" x14ac:dyDescent="0.3">
      <c r="A115" s="19"/>
      <c r="B115" s="19"/>
      <c r="C115" s="20"/>
      <c r="D115" s="20"/>
      <c r="E115" s="26"/>
      <c r="F115" s="26"/>
      <c r="G115" s="26"/>
      <c r="H115" s="26"/>
      <c r="I115" s="26"/>
      <c r="J115" s="26"/>
      <c r="K115" s="26"/>
      <c r="L115" s="26"/>
      <c r="M115" s="20"/>
      <c r="N115" s="26"/>
      <c r="O115" s="22"/>
      <c r="P115" s="21"/>
      <c r="Q115" s="23"/>
      <c r="R115" s="21"/>
      <c r="S115" s="21"/>
      <c r="T115" s="21"/>
      <c r="U115" s="21"/>
      <c r="V115" s="21"/>
      <c r="W115" s="24"/>
      <c r="X115" s="20"/>
      <c r="Y115" s="20"/>
      <c r="Z115" s="21"/>
      <c r="AA115" s="21"/>
      <c r="AB115" s="21"/>
      <c r="AC115" s="21"/>
      <c r="AD115" s="21"/>
      <c r="AE115" s="21"/>
      <c r="AF115" s="21"/>
      <c r="AG115" s="21"/>
      <c r="AH115" s="21"/>
      <c r="AI115" s="25"/>
      <c r="AJ115" s="20"/>
      <c r="AK115" s="21"/>
      <c r="AL115" s="20"/>
      <c r="AM115" s="20"/>
      <c r="AN115" s="20"/>
      <c r="AO115" s="20"/>
      <c r="AP115" s="446"/>
      <c r="AQ115" s="20"/>
      <c r="AR115" s="20"/>
      <c r="AS115" s="20"/>
      <c r="AT115" s="20"/>
      <c r="AU115" s="26"/>
      <c r="AV115" s="98"/>
      <c r="AW115" s="98"/>
      <c r="AX115" s="98"/>
      <c r="AY115" s="98"/>
      <c r="AZ115" s="98"/>
      <c r="BA115" s="217"/>
      <c r="BB115" s="98"/>
      <c r="BC115" s="98"/>
      <c r="BD115" s="98"/>
      <c r="BE115" s="98"/>
      <c r="BF115" s="98"/>
      <c r="BG115" s="219"/>
      <c r="BH115" s="219"/>
      <c r="BI115" s="219"/>
      <c r="BJ115" s="26"/>
      <c r="BK115" s="21"/>
      <c r="BL115" s="21"/>
      <c r="BM115" s="22"/>
      <c r="BN115" s="21"/>
      <c r="BO115" s="21"/>
      <c r="BP115" s="22"/>
      <c r="BQ115" s="21"/>
      <c r="BR115" s="21"/>
      <c r="BS115" s="22"/>
      <c r="BT11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15" s="109" t="str">
        <f>IF(ISNUMBER(tblParticipants[[#This Row],[SvcStartDate]]),IF(AND(tblParticipants[[#This Row],[EnrollQtr]]=1,tblParticipants[[#This Row],[SvcStartDate]]&lt;DATE(conProgYear,7,1)),1,""),"")</f>
        <v/>
      </c>
      <c r="BV11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15" s="232" t="str">
        <f t="shared" ca="1" si="1"/>
        <v/>
      </c>
      <c r="BX115" s="9">
        <f>IF(SUM(IF(tblParticipants[[#This Row],[AmIndOrAkNtv]]=1,1,0),IF(tblParticipants[[#This Row],[Asian]]=1,1,0),IF(tblParticipants[[#This Row],[BlkOrAfAmer]]=1,1,0),IF(tblParticipants[[#This Row],[NtvHawOrPacIsl]]=1,1,0),IF(tblParticipants[[#This Row],[White]]=1,1,0))&gt;1,1,0)</f>
        <v>0</v>
      </c>
      <c r="BY11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1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1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15" s="11">
        <f>IF(tblParticipants[[#This Row],[EarnWg2Qae]]=1,IFERROR(tblParticipants[[#This Row],[HoursPerWk2Qae]]*tblParticipants[[#This Row],[HrlyWg2Qae]]*13,0),0)</f>
        <v>0</v>
      </c>
      <c r="CC115" s="11">
        <f>IF(tblParticipants[[#This Row],[EarnWg3Qae]]=1,IFERROR(tblParticipants[[#This Row],[HoursPerWk3Qae]]*tblParticipants[[#This Row],[HrlyWg3Qae]]*13,0),0)</f>
        <v>0</v>
      </c>
      <c r="CD115" s="9">
        <f>IFERROR(IF(SUM(tblParticipants[[#This Row],[EarnWg1Qae]],tblParticipants[[#This Row],[EarnWg2Qae]],tblParticipants[[#This Row],[EarnWg3Qae]])=3,1,0),0)</f>
        <v>0</v>
      </c>
      <c r="CE115" s="12">
        <f>IF(tblParticipants[[#This Row],[EmplAll3Qae]]=1,tblParticipants[[#This Row],[Earnings2Qae]]+tblParticipants[[#This Row],[Earnings3Qae]],0)</f>
        <v>0</v>
      </c>
      <c r="CF115" s="407"/>
    </row>
    <row r="116" spans="1:84" x14ac:dyDescent="0.3">
      <c r="A116" s="19"/>
      <c r="B116" s="19"/>
      <c r="C116" s="20"/>
      <c r="D116" s="20"/>
      <c r="E116" s="26"/>
      <c r="F116" s="26"/>
      <c r="G116" s="26"/>
      <c r="H116" s="26"/>
      <c r="I116" s="26"/>
      <c r="J116" s="26"/>
      <c r="K116" s="26"/>
      <c r="L116" s="26"/>
      <c r="M116" s="20"/>
      <c r="N116" s="26"/>
      <c r="O116" s="22"/>
      <c r="P116" s="21"/>
      <c r="Q116" s="23"/>
      <c r="R116" s="21"/>
      <c r="S116" s="21"/>
      <c r="T116" s="21"/>
      <c r="U116" s="21"/>
      <c r="V116" s="21"/>
      <c r="W116" s="24"/>
      <c r="X116" s="20"/>
      <c r="Y116" s="20"/>
      <c r="Z116" s="21"/>
      <c r="AA116" s="21"/>
      <c r="AB116" s="21"/>
      <c r="AC116" s="21"/>
      <c r="AD116" s="21"/>
      <c r="AE116" s="21"/>
      <c r="AF116" s="21"/>
      <c r="AG116" s="21"/>
      <c r="AH116" s="21"/>
      <c r="AI116" s="25"/>
      <c r="AJ116" s="20"/>
      <c r="AK116" s="21"/>
      <c r="AL116" s="20"/>
      <c r="AM116" s="20"/>
      <c r="AN116" s="20"/>
      <c r="AO116" s="20"/>
      <c r="AP116" s="446"/>
      <c r="AQ116" s="20"/>
      <c r="AR116" s="20"/>
      <c r="AS116" s="20"/>
      <c r="AT116" s="20"/>
      <c r="AU116" s="26"/>
      <c r="AV116" s="98"/>
      <c r="AW116" s="98"/>
      <c r="AX116" s="98"/>
      <c r="AY116" s="98"/>
      <c r="AZ116" s="98"/>
      <c r="BA116" s="217"/>
      <c r="BB116" s="98"/>
      <c r="BC116" s="98"/>
      <c r="BD116" s="98"/>
      <c r="BE116" s="98"/>
      <c r="BF116" s="98"/>
      <c r="BG116" s="219"/>
      <c r="BH116" s="219"/>
      <c r="BI116" s="219"/>
      <c r="BJ116" s="26"/>
      <c r="BK116" s="21"/>
      <c r="BL116" s="21"/>
      <c r="BM116" s="22"/>
      <c r="BN116" s="21"/>
      <c r="BO116" s="21"/>
      <c r="BP116" s="22"/>
      <c r="BQ116" s="21"/>
      <c r="BR116" s="21"/>
      <c r="BS116" s="22"/>
      <c r="BT11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16" s="109" t="str">
        <f>IF(ISNUMBER(tblParticipants[[#This Row],[SvcStartDate]]),IF(AND(tblParticipants[[#This Row],[EnrollQtr]]=1,tblParticipants[[#This Row],[SvcStartDate]]&lt;DATE(conProgYear,7,1)),1,""),"")</f>
        <v/>
      </c>
      <c r="BV11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16" s="232" t="str">
        <f t="shared" ca="1" si="1"/>
        <v/>
      </c>
      <c r="BX116" s="9">
        <f>IF(SUM(IF(tblParticipants[[#This Row],[AmIndOrAkNtv]]=1,1,0),IF(tblParticipants[[#This Row],[Asian]]=1,1,0),IF(tblParticipants[[#This Row],[BlkOrAfAmer]]=1,1,0),IF(tblParticipants[[#This Row],[NtvHawOrPacIsl]]=1,1,0),IF(tblParticipants[[#This Row],[White]]=1,1,0))&gt;1,1,0)</f>
        <v>0</v>
      </c>
      <c r="BY11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1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1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16" s="11">
        <f>IF(tblParticipants[[#This Row],[EarnWg2Qae]]=1,IFERROR(tblParticipants[[#This Row],[HoursPerWk2Qae]]*tblParticipants[[#This Row],[HrlyWg2Qae]]*13,0),0)</f>
        <v>0</v>
      </c>
      <c r="CC116" s="11">
        <f>IF(tblParticipants[[#This Row],[EarnWg3Qae]]=1,IFERROR(tblParticipants[[#This Row],[HoursPerWk3Qae]]*tblParticipants[[#This Row],[HrlyWg3Qae]]*13,0),0)</f>
        <v>0</v>
      </c>
      <c r="CD116" s="9">
        <f>IFERROR(IF(SUM(tblParticipants[[#This Row],[EarnWg1Qae]],tblParticipants[[#This Row],[EarnWg2Qae]],tblParticipants[[#This Row],[EarnWg3Qae]])=3,1,0),0)</f>
        <v>0</v>
      </c>
      <c r="CE116" s="12">
        <f>IF(tblParticipants[[#This Row],[EmplAll3Qae]]=1,tblParticipants[[#This Row],[Earnings2Qae]]+tblParticipants[[#This Row],[Earnings3Qae]],0)</f>
        <v>0</v>
      </c>
      <c r="CF116" s="407"/>
    </row>
    <row r="117" spans="1:84" x14ac:dyDescent="0.3">
      <c r="A117" s="19"/>
      <c r="B117" s="19"/>
      <c r="C117" s="20"/>
      <c r="D117" s="20"/>
      <c r="E117" s="26"/>
      <c r="F117" s="26"/>
      <c r="G117" s="26"/>
      <c r="H117" s="26"/>
      <c r="I117" s="26"/>
      <c r="J117" s="26"/>
      <c r="K117" s="26"/>
      <c r="L117" s="26"/>
      <c r="M117" s="20"/>
      <c r="N117" s="26"/>
      <c r="O117" s="22"/>
      <c r="P117" s="21"/>
      <c r="Q117" s="23"/>
      <c r="R117" s="21"/>
      <c r="S117" s="21"/>
      <c r="T117" s="21"/>
      <c r="U117" s="21"/>
      <c r="V117" s="21"/>
      <c r="W117" s="24"/>
      <c r="X117" s="20"/>
      <c r="Y117" s="20"/>
      <c r="Z117" s="21"/>
      <c r="AA117" s="21"/>
      <c r="AB117" s="21"/>
      <c r="AC117" s="21"/>
      <c r="AD117" s="21"/>
      <c r="AE117" s="21"/>
      <c r="AF117" s="21"/>
      <c r="AG117" s="21"/>
      <c r="AH117" s="21"/>
      <c r="AI117" s="25"/>
      <c r="AJ117" s="20"/>
      <c r="AK117" s="21"/>
      <c r="AL117" s="20"/>
      <c r="AM117" s="20"/>
      <c r="AN117" s="20"/>
      <c r="AO117" s="20"/>
      <c r="AP117" s="446"/>
      <c r="AQ117" s="20"/>
      <c r="AR117" s="20"/>
      <c r="AS117" s="20"/>
      <c r="AT117" s="20"/>
      <c r="AU117" s="26"/>
      <c r="AV117" s="98"/>
      <c r="AW117" s="98"/>
      <c r="AX117" s="98"/>
      <c r="AY117" s="98"/>
      <c r="AZ117" s="98"/>
      <c r="BA117" s="217"/>
      <c r="BB117" s="98"/>
      <c r="BC117" s="98"/>
      <c r="BD117" s="98"/>
      <c r="BE117" s="98"/>
      <c r="BF117" s="98"/>
      <c r="BG117" s="219"/>
      <c r="BH117" s="219"/>
      <c r="BI117" s="219"/>
      <c r="BJ117" s="26"/>
      <c r="BK117" s="21"/>
      <c r="BL117" s="21"/>
      <c r="BM117" s="22"/>
      <c r="BN117" s="21"/>
      <c r="BO117" s="21"/>
      <c r="BP117" s="22"/>
      <c r="BQ117" s="21"/>
      <c r="BR117" s="21"/>
      <c r="BS117" s="22"/>
      <c r="BT11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17" s="109" t="str">
        <f>IF(ISNUMBER(tblParticipants[[#This Row],[SvcStartDate]]),IF(AND(tblParticipants[[#This Row],[EnrollQtr]]=1,tblParticipants[[#This Row],[SvcStartDate]]&lt;DATE(conProgYear,7,1)),1,""),"")</f>
        <v/>
      </c>
      <c r="BV11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17" s="232" t="str">
        <f t="shared" ca="1" si="1"/>
        <v/>
      </c>
      <c r="BX117" s="9">
        <f>IF(SUM(IF(tblParticipants[[#This Row],[AmIndOrAkNtv]]=1,1,0),IF(tblParticipants[[#This Row],[Asian]]=1,1,0),IF(tblParticipants[[#This Row],[BlkOrAfAmer]]=1,1,0),IF(tblParticipants[[#This Row],[NtvHawOrPacIsl]]=1,1,0),IF(tblParticipants[[#This Row],[White]]=1,1,0))&gt;1,1,0)</f>
        <v>0</v>
      </c>
      <c r="BY11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1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1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17" s="11">
        <f>IF(tblParticipants[[#This Row],[EarnWg2Qae]]=1,IFERROR(tblParticipants[[#This Row],[HoursPerWk2Qae]]*tblParticipants[[#This Row],[HrlyWg2Qae]]*13,0),0)</f>
        <v>0</v>
      </c>
      <c r="CC117" s="11">
        <f>IF(tblParticipants[[#This Row],[EarnWg3Qae]]=1,IFERROR(tblParticipants[[#This Row],[HoursPerWk3Qae]]*tblParticipants[[#This Row],[HrlyWg3Qae]]*13,0),0)</f>
        <v>0</v>
      </c>
      <c r="CD117" s="9">
        <f>IFERROR(IF(SUM(tblParticipants[[#This Row],[EarnWg1Qae]],tblParticipants[[#This Row],[EarnWg2Qae]],tblParticipants[[#This Row],[EarnWg3Qae]])=3,1,0),0)</f>
        <v>0</v>
      </c>
      <c r="CE117" s="12">
        <f>IF(tblParticipants[[#This Row],[EmplAll3Qae]]=1,tblParticipants[[#This Row],[Earnings2Qae]]+tblParticipants[[#This Row],[Earnings3Qae]],0)</f>
        <v>0</v>
      </c>
      <c r="CF117" s="407"/>
    </row>
    <row r="118" spans="1:84" x14ac:dyDescent="0.3">
      <c r="A118" s="19"/>
      <c r="B118" s="19"/>
      <c r="C118" s="20"/>
      <c r="D118" s="20"/>
      <c r="E118" s="26"/>
      <c r="F118" s="26"/>
      <c r="G118" s="26"/>
      <c r="H118" s="26"/>
      <c r="I118" s="26"/>
      <c r="J118" s="26"/>
      <c r="K118" s="26"/>
      <c r="L118" s="26"/>
      <c r="M118" s="20"/>
      <c r="N118" s="26"/>
      <c r="O118" s="22"/>
      <c r="P118" s="21"/>
      <c r="Q118" s="23"/>
      <c r="R118" s="21"/>
      <c r="S118" s="21"/>
      <c r="T118" s="21"/>
      <c r="U118" s="21"/>
      <c r="V118" s="21"/>
      <c r="W118" s="24"/>
      <c r="X118" s="20"/>
      <c r="Y118" s="20"/>
      <c r="Z118" s="21"/>
      <c r="AA118" s="21"/>
      <c r="AB118" s="21"/>
      <c r="AC118" s="21"/>
      <c r="AD118" s="21"/>
      <c r="AE118" s="21"/>
      <c r="AF118" s="21"/>
      <c r="AG118" s="21"/>
      <c r="AH118" s="21"/>
      <c r="AI118" s="25"/>
      <c r="AJ118" s="20"/>
      <c r="AK118" s="21"/>
      <c r="AL118" s="20"/>
      <c r="AM118" s="20"/>
      <c r="AN118" s="20"/>
      <c r="AO118" s="20"/>
      <c r="AP118" s="446"/>
      <c r="AQ118" s="20"/>
      <c r="AR118" s="20"/>
      <c r="AS118" s="20"/>
      <c r="AT118" s="20"/>
      <c r="AU118" s="26"/>
      <c r="AV118" s="98"/>
      <c r="AW118" s="98"/>
      <c r="AX118" s="98"/>
      <c r="AY118" s="98"/>
      <c r="AZ118" s="98"/>
      <c r="BA118" s="217"/>
      <c r="BB118" s="98"/>
      <c r="BC118" s="98"/>
      <c r="BD118" s="98"/>
      <c r="BE118" s="98"/>
      <c r="BF118" s="98"/>
      <c r="BG118" s="219"/>
      <c r="BH118" s="219"/>
      <c r="BI118" s="219"/>
      <c r="BJ118" s="26"/>
      <c r="BK118" s="21"/>
      <c r="BL118" s="21"/>
      <c r="BM118" s="22"/>
      <c r="BN118" s="21"/>
      <c r="BO118" s="21"/>
      <c r="BP118" s="22"/>
      <c r="BQ118" s="21"/>
      <c r="BR118" s="21"/>
      <c r="BS118" s="22"/>
      <c r="BT11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18" s="109" t="str">
        <f>IF(ISNUMBER(tblParticipants[[#This Row],[SvcStartDate]]),IF(AND(tblParticipants[[#This Row],[EnrollQtr]]=1,tblParticipants[[#This Row],[SvcStartDate]]&lt;DATE(conProgYear,7,1)),1,""),"")</f>
        <v/>
      </c>
      <c r="BV11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18" s="232" t="str">
        <f t="shared" ca="1" si="1"/>
        <v/>
      </c>
      <c r="BX118" s="9">
        <f>IF(SUM(IF(tblParticipants[[#This Row],[AmIndOrAkNtv]]=1,1,0),IF(tblParticipants[[#This Row],[Asian]]=1,1,0),IF(tblParticipants[[#This Row],[BlkOrAfAmer]]=1,1,0),IF(tblParticipants[[#This Row],[NtvHawOrPacIsl]]=1,1,0),IF(tblParticipants[[#This Row],[White]]=1,1,0))&gt;1,1,0)</f>
        <v>0</v>
      </c>
      <c r="BY11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1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1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18" s="11">
        <f>IF(tblParticipants[[#This Row],[EarnWg2Qae]]=1,IFERROR(tblParticipants[[#This Row],[HoursPerWk2Qae]]*tblParticipants[[#This Row],[HrlyWg2Qae]]*13,0),0)</f>
        <v>0</v>
      </c>
      <c r="CC118" s="11">
        <f>IF(tblParticipants[[#This Row],[EarnWg3Qae]]=1,IFERROR(tblParticipants[[#This Row],[HoursPerWk3Qae]]*tblParticipants[[#This Row],[HrlyWg3Qae]]*13,0),0)</f>
        <v>0</v>
      </c>
      <c r="CD118" s="9">
        <f>IFERROR(IF(SUM(tblParticipants[[#This Row],[EarnWg1Qae]],tblParticipants[[#This Row],[EarnWg2Qae]],tblParticipants[[#This Row],[EarnWg3Qae]])=3,1,0),0)</f>
        <v>0</v>
      </c>
      <c r="CE118" s="12">
        <f>IF(tblParticipants[[#This Row],[EmplAll3Qae]]=1,tblParticipants[[#This Row],[Earnings2Qae]]+tblParticipants[[#This Row],[Earnings3Qae]],0)</f>
        <v>0</v>
      </c>
      <c r="CF118" s="407"/>
    </row>
    <row r="119" spans="1:84" x14ac:dyDescent="0.3">
      <c r="A119" s="19"/>
      <c r="B119" s="19"/>
      <c r="C119" s="20"/>
      <c r="D119" s="20"/>
      <c r="E119" s="26"/>
      <c r="F119" s="26"/>
      <c r="G119" s="26"/>
      <c r="H119" s="26"/>
      <c r="I119" s="26"/>
      <c r="J119" s="26"/>
      <c r="K119" s="26"/>
      <c r="L119" s="26"/>
      <c r="M119" s="20"/>
      <c r="N119" s="26"/>
      <c r="O119" s="22"/>
      <c r="P119" s="21"/>
      <c r="Q119" s="23"/>
      <c r="R119" s="21"/>
      <c r="S119" s="21"/>
      <c r="T119" s="21"/>
      <c r="U119" s="21"/>
      <c r="V119" s="21"/>
      <c r="W119" s="24"/>
      <c r="X119" s="20"/>
      <c r="Y119" s="20"/>
      <c r="Z119" s="21"/>
      <c r="AA119" s="21"/>
      <c r="AB119" s="21"/>
      <c r="AC119" s="21"/>
      <c r="AD119" s="21"/>
      <c r="AE119" s="21"/>
      <c r="AF119" s="21"/>
      <c r="AG119" s="21"/>
      <c r="AH119" s="21"/>
      <c r="AI119" s="25"/>
      <c r="AJ119" s="20"/>
      <c r="AK119" s="21"/>
      <c r="AL119" s="20"/>
      <c r="AM119" s="20"/>
      <c r="AN119" s="20"/>
      <c r="AO119" s="20"/>
      <c r="AP119" s="446"/>
      <c r="AQ119" s="20"/>
      <c r="AR119" s="20"/>
      <c r="AS119" s="20"/>
      <c r="AT119" s="20"/>
      <c r="AU119" s="26"/>
      <c r="AV119" s="98"/>
      <c r="AW119" s="98"/>
      <c r="AX119" s="98"/>
      <c r="AY119" s="98"/>
      <c r="AZ119" s="98"/>
      <c r="BA119" s="217"/>
      <c r="BB119" s="98"/>
      <c r="BC119" s="98"/>
      <c r="BD119" s="98"/>
      <c r="BE119" s="98"/>
      <c r="BF119" s="98"/>
      <c r="BG119" s="219"/>
      <c r="BH119" s="219"/>
      <c r="BI119" s="219"/>
      <c r="BJ119" s="26"/>
      <c r="BK119" s="21"/>
      <c r="BL119" s="21"/>
      <c r="BM119" s="22"/>
      <c r="BN119" s="21"/>
      <c r="BO119" s="21"/>
      <c r="BP119" s="22"/>
      <c r="BQ119" s="21"/>
      <c r="BR119" s="21"/>
      <c r="BS119" s="22"/>
      <c r="BT11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19" s="109" t="str">
        <f>IF(ISNUMBER(tblParticipants[[#This Row],[SvcStartDate]]),IF(AND(tblParticipants[[#This Row],[EnrollQtr]]=1,tblParticipants[[#This Row],[SvcStartDate]]&lt;DATE(conProgYear,7,1)),1,""),"")</f>
        <v/>
      </c>
      <c r="BV11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19" s="232" t="str">
        <f t="shared" ca="1" si="1"/>
        <v/>
      </c>
      <c r="BX119" s="9">
        <f>IF(SUM(IF(tblParticipants[[#This Row],[AmIndOrAkNtv]]=1,1,0),IF(tblParticipants[[#This Row],[Asian]]=1,1,0),IF(tblParticipants[[#This Row],[BlkOrAfAmer]]=1,1,0),IF(tblParticipants[[#This Row],[NtvHawOrPacIsl]]=1,1,0),IF(tblParticipants[[#This Row],[White]]=1,1,0))&gt;1,1,0)</f>
        <v>0</v>
      </c>
      <c r="BY11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1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1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19" s="11">
        <f>IF(tblParticipants[[#This Row],[EarnWg2Qae]]=1,IFERROR(tblParticipants[[#This Row],[HoursPerWk2Qae]]*tblParticipants[[#This Row],[HrlyWg2Qae]]*13,0),0)</f>
        <v>0</v>
      </c>
      <c r="CC119" s="11">
        <f>IF(tblParticipants[[#This Row],[EarnWg3Qae]]=1,IFERROR(tblParticipants[[#This Row],[HoursPerWk3Qae]]*tblParticipants[[#This Row],[HrlyWg3Qae]]*13,0),0)</f>
        <v>0</v>
      </c>
      <c r="CD119" s="9">
        <f>IFERROR(IF(SUM(tblParticipants[[#This Row],[EarnWg1Qae]],tblParticipants[[#This Row],[EarnWg2Qae]],tblParticipants[[#This Row],[EarnWg3Qae]])=3,1,0),0)</f>
        <v>0</v>
      </c>
      <c r="CE119" s="12">
        <f>IF(tblParticipants[[#This Row],[EmplAll3Qae]]=1,tblParticipants[[#This Row],[Earnings2Qae]]+tblParticipants[[#This Row],[Earnings3Qae]],0)</f>
        <v>0</v>
      </c>
      <c r="CF119" s="407"/>
    </row>
    <row r="120" spans="1:84" x14ac:dyDescent="0.3">
      <c r="A120" s="19"/>
      <c r="B120" s="19"/>
      <c r="C120" s="20"/>
      <c r="D120" s="20"/>
      <c r="E120" s="26"/>
      <c r="F120" s="26"/>
      <c r="G120" s="26"/>
      <c r="H120" s="26"/>
      <c r="I120" s="26"/>
      <c r="J120" s="26"/>
      <c r="K120" s="26"/>
      <c r="L120" s="26"/>
      <c r="M120" s="20"/>
      <c r="N120" s="26"/>
      <c r="O120" s="22"/>
      <c r="P120" s="21"/>
      <c r="Q120" s="23"/>
      <c r="R120" s="21"/>
      <c r="S120" s="21"/>
      <c r="T120" s="21"/>
      <c r="U120" s="21"/>
      <c r="V120" s="21"/>
      <c r="W120" s="24"/>
      <c r="X120" s="20"/>
      <c r="Y120" s="20"/>
      <c r="Z120" s="21"/>
      <c r="AA120" s="21"/>
      <c r="AB120" s="21"/>
      <c r="AC120" s="21"/>
      <c r="AD120" s="21"/>
      <c r="AE120" s="21"/>
      <c r="AF120" s="21"/>
      <c r="AG120" s="21"/>
      <c r="AH120" s="21"/>
      <c r="AI120" s="25"/>
      <c r="AJ120" s="20"/>
      <c r="AK120" s="21"/>
      <c r="AL120" s="20"/>
      <c r="AM120" s="20"/>
      <c r="AN120" s="20"/>
      <c r="AO120" s="20"/>
      <c r="AP120" s="446"/>
      <c r="AQ120" s="20"/>
      <c r="AR120" s="20"/>
      <c r="AS120" s="20"/>
      <c r="AT120" s="20"/>
      <c r="AU120" s="26"/>
      <c r="AV120" s="98"/>
      <c r="AW120" s="98"/>
      <c r="AX120" s="98"/>
      <c r="AY120" s="98"/>
      <c r="AZ120" s="98"/>
      <c r="BA120" s="217"/>
      <c r="BB120" s="98"/>
      <c r="BC120" s="98"/>
      <c r="BD120" s="98"/>
      <c r="BE120" s="98"/>
      <c r="BF120" s="98"/>
      <c r="BG120" s="219"/>
      <c r="BH120" s="219"/>
      <c r="BI120" s="219"/>
      <c r="BJ120" s="26"/>
      <c r="BK120" s="21"/>
      <c r="BL120" s="21"/>
      <c r="BM120" s="22"/>
      <c r="BN120" s="21"/>
      <c r="BO120" s="21"/>
      <c r="BP120" s="22"/>
      <c r="BQ120" s="21"/>
      <c r="BR120" s="21"/>
      <c r="BS120" s="22"/>
      <c r="BT12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20" s="109" t="str">
        <f>IF(ISNUMBER(tblParticipants[[#This Row],[SvcStartDate]]),IF(AND(tblParticipants[[#This Row],[EnrollQtr]]=1,tblParticipants[[#This Row],[SvcStartDate]]&lt;DATE(conProgYear,7,1)),1,""),"")</f>
        <v/>
      </c>
      <c r="BV12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20" s="232" t="str">
        <f t="shared" ca="1" si="1"/>
        <v/>
      </c>
      <c r="BX120" s="9">
        <f>IF(SUM(IF(tblParticipants[[#This Row],[AmIndOrAkNtv]]=1,1,0),IF(tblParticipants[[#This Row],[Asian]]=1,1,0),IF(tblParticipants[[#This Row],[BlkOrAfAmer]]=1,1,0),IF(tblParticipants[[#This Row],[NtvHawOrPacIsl]]=1,1,0),IF(tblParticipants[[#This Row],[White]]=1,1,0))&gt;1,1,0)</f>
        <v>0</v>
      </c>
      <c r="BY12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2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2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20" s="11">
        <f>IF(tblParticipants[[#This Row],[EarnWg2Qae]]=1,IFERROR(tblParticipants[[#This Row],[HoursPerWk2Qae]]*tblParticipants[[#This Row],[HrlyWg2Qae]]*13,0),0)</f>
        <v>0</v>
      </c>
      <c r="CC120" s="11">
        <f>IF(tblParticipants[[#This Row],[EarnWg3Qae]]=1,IFERROR(tblParticipants[[#This Row],[HoursPerWk3Qae]]*tblParticipants[[#This Row],[HrlyWg3Qae]]*13,0),0)</f>
        <v>0</v>
      </c>
      <c r="CD120" s="9">
        <f>IFERROR(IF(SUM(tblParticipants[[#This Row],[EarnWg1Qae]],tblParticipants[[#This Row],[EarnWg2Qae]],tblParticipants[[#This Row],[EarnWg3Qae]])=3,1,0),0)</f>
        <v>0</v>
      </c>
      <c r="CE120" s="12">
        <f>IF(tblParticipants[[#This Row],[EmplAll3Qae]]=1,tblParticipants[[#This Row],[Earnings2Qae]]+tblParticipants[[#This Row],[Earnings3Qae]],0)</f>
        <v>0</v>
      </c>
      <c r="CF120" s="407"/>
    </row>
    <row r="121" spans="1:84" x14ac:dyDescent="0.3">
      <c r="A121" s="19"/>
      <c r="B121" s="19"/>
      <c r="C121" s="20"/>
      <c r="D121" s="20"/>
      <c r="E121" s="26"/>
      <c r="F121" s="26"/>
      <c r="G121" s="26"/>
      <c r="H121" s="26"/>
      <c r="I121" s="26"/>
      <c r="J121" s="26"/>
      <c r="K121" s="26"/>
      <c r="L121" s="26"/>
      <c r="M121" s="20"/>
      <c r="N121" s="26"/>
      <c r="O121" s="22"/>
      <c r="P121" s="21"/>
      <c r="Q121" s="23"/>
      <c r="R121" s="21"/>
      <c r="S121" s="21"/>
      <c r="T121" s="21"/>
      <c r="U121" s="21"/>
      <c r="V121" s="21"/>
      <c r="W121" s="24"/>
      <c r="X121" s="20"/>
      <c r="Y121" s="20"/>
      <c r="Z121" s="21"/>
      <c r="AA121" s="21"/>
      <c r="AB121" s="21"/>
      <c r="AC121" s="21"/>
      <c r="AD121" s="21"/>
      <c r="AE121" s="21"/>
      <c r="AF121" s="21"/>
      <c r="AG121" s="21"/>
      <c r="AH121" s="21"/>
      <c r="AI121" s="25"/>
      <c r="AJ121" s="20"/>
      <c r="AK121" s="21"/>
      <c r="AL121" s="20"/>
      <c r="AM121" s="20"/>
      <c r="AN121" s="20"/>
      <c r="AO121" s="20"/>
      <c r="AP121" s="446"/>
      <c r="AQ121" s="20"/>
      <c r="AR121" s="20"/>
      <c r="AS121" s="20"/>
      <c r="AT121" s="20"/>
      <c r="AU121" s="26"/>
      <c r="AV121" s="98"/>
      <c r="AW121" s="98"/>
      <c r="AX121" s="98"/>
      <c r="AY121" s="98"/>
      <c r="AZ121" s="98"/>
      <c r="BA121" s="217"/>
      <c r="BB121" s="98"/>
      <c r="BC121" s="98"/>
      <c r="BD121" s="98"/>
      <c r="BE121" s="98"/>
      <c r="BF121" s="98"/>
      <c r="BG121" s="219"/>
      <c r="BH121" s="219"/>
      <c r="BI121" s="219"/>
      <c r="BJ121" s="26"/>
      <c r="BK121" s="21"/>
      <c r="BL121" s="21"/>
      <c r="BM121" s="22"/>
      <c r="BN121" s="21"/>
      <c r="BO121" s="21"/>
      <c r="BP121" s="22"/>
      <c r="BQ121" s="21"/>
      <c r="BR121" s="21"/>
      <c r="BS121" s="22"/>
      <c r="BT12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21" s="109" t="str">
        <f>IF(ISNUMBER(tblParticipants[[#This Row],[SvcStartDate]]),IF(AND(tblParticipants[[#This Row],[EnrollQtr]]=1,tblParticipants[[#This Row],[SvcStartDate]]&lt;DATE(conProgYear,7,1)),1,""),"")</f>
        <v/>
      </c>
      <c r="BV12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21" s="232" t="str">
        <f t="shared" ca="1" si="1"/>
        <v/>
      </c>
      <c r="BX121" s="9">
        <f>IF(SUM(IF(tblParticipants[[#This Row],[AmIndOrAkNtv]]=1,1,0),IF(tblParticipants[[#This Row],[Asian]]=1,1,0),IF(tblParticipants[[#This Row],[BlkOrAfAmer]]=1,1,0),IF(tblParticipants[[#This Row],[NtvHawOrPacIsl]]=1,1,0),IF(tblParticipants[[#This Row],[White]]=1,1,0))&gt;1,1,0)</f>
        <v>0</v>
      </c>
      <c r="BY12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2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2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21" s="11">
        <f>IF(tblParticipants[[#This Row],[EarnWg2Qae]]=1,IFERROR(tblParticipants[[#This Row],[HoursPerWk2Qae]]*tblParticipants[[#This Row],[HrlyWg2Qae]]*13,0),0)</f>
        <v>0</v>
      </c>
      <c r="CC121" s="11">
        <f>IF(tblParticipants[[#This Row],[EarnWg3Qae]]=1,IFERROR(tblParticipants[[#This Row],[HoursPerWk3Qae]]*tblParticipants[[#This Row],[HrlyWg3Qae]]*13,0),0)</f>
        <v>0</v>
      </c>
      <c r="CD121" s="9">
        <f>IFERROR(IF(SUM(tblParticipants[[#This Row],[EarnWg1Qae]],tblParticipants[[#This Row],[EarnWg2Qae]],tblParticipants[[#This Row],[EarnWg3Qae]])=3,1,0),0)</f>
        <v>0</v>
      </c>
      <c r="CE121" s="12">
        <f>IF(tblParticipants[[#This Row],[EmplAll3Qae]]=1,tblParticipants[[#This Row],[Earnings2Qae]]+tblParticipants[[#This Row],[Earnings3Qae]],0)</f>
        <v>0</v>
      </c>
      <c r="CF121" s="407"/>
    </row>
    <row r="122" spans="1:84" x14ac:dyDescent="0.3">
      <c r="A122" s="19"/>
      <c r="B122" s="19"/>
      <c r="C122" s="20"/>
      <c r="D122" s="20"/>
      <c r="E122" s="26"/>
      <c r="F122" s="26"/>
      <c r="G122" s="26"/>
      <c r="H122" s="26"/>
      <c r="I122" s="26"/>
      <c r="J122" s="26"/>
      <c r="K122" s="26"/>
      <c r="L122" s="26"/>
      <c r="M122" s="20"/>
      <c r="N122" s="26"/>
      <c r="O122" s="22"/>
      <c r="P122" s="21"/>
      <c r="Q122" s="23"/>
      <c r="R122" s="21"/>
      <c r="S122" s="21"/>
      <c r="T122" s="21"/>
      <c r="U122" s="21"/>
      <c r="V122" s="21"/>
      <c r="W122" s="24"/>
      <c r="X122" s="20"/>
      <c r="Y122" s="20"/>
      <c r="Z122" s="21"/>
      <c r="AA122" s="21"/>
      <c r="AB122" s="21"/>
      <c r="AC122" s="21"/>
      <c r="AD122" s="21"/>
      <c r="AE122" s="21"/>
      <c r="AF122" s="21"/>
      <c r="AG122" s="21"/>
      <c r="AH122" s="21"/>
      <c r="AI122" s="25"/>
      <c r="AJ122" s="20"/>
      <c r="AK122" s="21"/>
      <c r="AL122" s="20"/>
      <c r="AM122" s="20"/>
      <c r="AN122" s="20"/>
      <c r="AO122" s="20"/>
      <c r="AP122" s="446"/>
      <c r="AQ122" s="20"/>
      <c r="AR122" s="20"/>
      <c r="AS122" s="20"/>
      <c r="AT122" s="20"/>
      <c r="AU122" s="26"/>
      <c r="AV122" s="98"/>
      <c r="AW122" s="98"/>
      <c r="AX122" s="98"/>
      <c r="AY122" s="98"/>
      <c r="AZ122" s="98"/>
      <c r="BA122" s="217"/>
      <c r="BB122" s="98"/>
      <c r="BC122" s="98"/>
      <c r="BD122" s="98"/>
      <c r="BE122" s="98"/>
      <c r="BF122" s="98"/>
      <c r="BG122" s="219"/>
      <c r="BH122" s="219"/>
      <c r="BI122" s="219"/>
      <c r="BJ122" s="26"/>
      <c r="BK122" s="21"/>
      <c r="BL122" s="21"/>
      <c r="BM122" s="22"/>
      <c r="BN122" s="21"/>
      <c r="BO122" s="21"/>
      <c r="BP122" s="22"/>
      <c r="BQ122" s="21"/>
      <c r="BR122" s="21"/>
      <c r="BS122" s="22"/>
      <c r="BT12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22" s="109" t="str">
        <f>IF(ISNUMBER(tblParticipants[[#This Row],[SvcStartDate]]),IF(AND(tblParticipants[[#This Row],[EnrollQtr]]=1,tblParticipants[[#This Row],[SvcStartDate]]&lt;DATE(conProgYear,7,1)),1,""),"")</f>
        <v/>
      </c>
      <c r="BV12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22" s="232" t="str">
        <f t="shared" ca="1" si="1"/>
        <v/>
      </c>
      <c r="BX122" s="9">
        <f>IF(SUM(IF(tblParticipants[[#This Row],[AmIndOrAkNtv]]=1,1,0),IF(tblParticipants[[#This Row],[Asian]]=1,1,0),IF(tblParticipants[[#This Row],[BlkOrAfAmer]]=1,1,0),IF(tblParticipants[[#This Row],[NtvHawOrPacIsl]]=1,1,0),IF(tblParticipants[[#This Row],[White]]=1,1,0))&gt;1,1,0)</f>
        <v>0</v>
      </c>
      <c r="BY12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2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2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22" s="11">
        <f>IF(tblParticipants[[#This Row],[EarnWg2Qae]]=1,IFERROR(tblParticipants[[#This Row],[HoursPerWk2Qae]]*tblParticipants[[#This Row],[HrlyWg2Qae]]*13,0),0)</f>
        <v>0</v>
      </c>
      <c r="CC122" s="11">
        <f>IF(tblParticipants[[#This Row],[EarnWg3Qae]]=1,IFERROR(tblParticipants[[#This Row],[HoursPerWk3Qae]]*tblParticipants[[#This Row],[HrlyWg3Qae]]*13,0),0)</f>
        <v>0</v>
      </c>
      <c r="CD122" s="9">
        <f>IFERROR(IF(SUM(tblParticipants[[#This Row],[EarnWg1Qae]],tblParticipants[[#This Row],[EarnWg2Qae]],tblParticipants[[#This Row],[EarnWg3Qae]])=3,1,0),0)</f>
        <v>0</v>
      </c>
      <c r="CE122" s="12">
        <f>IF(tblParticipants[[#This Row],[EmplAll3Qae]]=1,tblParticipants[[#This Row],[Earnings2Qae]]+tblParticipants[[#This Row],[Earnings3Qae]],0)</f>
        <v>0</v>
      </c>
      <c r="CF122" s="407"/>
    </row>
    <row r="123" spans="1:84" x14ac:dyDescent="0.3">
      <c r="A123" s="19"/>
      <c r="B123" s="19"/>
      <c r="C123" s="20"/>
      <c r="D123" s="20"/>
      <c r="E123" s="26"/>
      <c r="F123" s="26"/>
      <c r="G123" s="26"/>
      <c r="H123" s="26"/>
      <c r="I123" s="26"/>
      <c r="J123" s="26"/>
      <c r="K123" s="26"/>
      <c r="L123" s="26"/>
      <c r="M123" s="20"/>
      <c r="N123" s="26"/>
      <c r="O123" s="22"/>
      <c r="P123" s="21"/>
      <c r="Q123" s="23"/>
      <c r="R123" s="21"/>
      <c r="S123" s="21"/>
      <c r="T123" s="21"/>
      <c r="U123" s="21"/>
      <c r="V123" s="21"/>
      <c r="W123" s="24"/>
      <c r="X123" s="20"/>
      <c r="Y123" s="20"/>
      <c r="Z123" s="21"/>
      <c r="AA123" s="21"/>
      <c r="AB123" s="21"/>
      <c r="AC123" s="21"/>
      <c r="AD123" s="21"/>
      <c r="AE123" s="21"/>
      <c r="AF123" s="21"/>
      <c r="AG123" s="21"/>
      <c r="AH123" s="21"/>
      <c r="AI123" s="25"/>
      <c r="AJ123" s="20"/>
      <c r="AK123" s="21"/>
      <c r="AL123" s="20"/>
      <c r="AM123" s="20"/>
      <c r="AN123" s="20"/>
      <c r="AO123" s="20"/>
      <c r="AP123" s="446"/>
      <c r="AQ123" s="20"/>
      <c r="AR123" s="20"/>
      <c r="AS123" s="20"/>
      <c r="AT123" s="20"/>
      <c r="AU123" s="26"/>
      <c r="AV123" s="98"/>
      <c r="AW123" s="98"/>
      <c r="AX123" s="98"/>
      <c r="AY123" s="98"/>
      <c r="AZ123" s="98"/>
      <c r="BA123" s="217"/>
      <c r="BB123" s="98"/>
      <c r="BC123" s="98"/>
      <c r="BD123" s="98"/>
      <c r="BE123" s="98"/>
      <c r="BF123" s="98"/>
      <c r="BG123" s="219"/>
      <c r="BH123" s="219"/>
      <c r="BI123" s="219"/>
      <c r="BJ123" s="26"/>
      <c r="BK123" s="21"/>
      <c r="BL123" s="21"/>
      <c r="BM123" s="22"/>
      <c r="BN123" s="21"/>
      <c r="BO123" s="21"/>
      <c r="BP123" s="22"/>
      <c r="BQ123" s="21"/>
      <c r="BR123" s="21"/>
      <c r="BS123" s="22"/>
      <c r="BT12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23" s="109" t="str">
        <f>IF(ISNUMBER(tblParticipants[[#This Row],[SvcStartDate]]),IF(AND(tblParticipants[[#This Row],[EnrollQtr]]=1,tblParticipants[[#This Row],[SvcStartDate]]&lt;DATE(conProgYear,7,1)),1,""),"")</f>
        <v/>
      </c>
      <c r="BV12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23" s="232" t="str">
        <f t="shared" ca="1" si="1"/>
        <v/>
      </c>
      <c r="BX123" s="9">
        <f>IF(SUM(IF(tblParticipants[[#This Row],[AmIndOrAkNtv]]=1,1,0),IF(tblParticipants[[#This Row],[Asian]]=1,1,0),IF(tblParticipants[[#This Row],[BlkOrAfAmer]]=1,1,0),IF(tblParticipants[[#This Row],[NtvHawOrPacIsl]]=1,1,0),IF(tblParticipants[[#This Row],[White]]=1,1,0))&gt;1,1,0)</f>
        <v>0</v>
      </c>
      <c r="BY12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2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2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23" s="11">
        <f>IF(tblParticipants[[#This Row],[EarnWg2Qae]]=1,IFERROR(tblParticipants[[#This Row],[HoursPerWk2Qae]]*tblParticipants[[#This Row],[HrlyWg2Qae]]*13,0),0)</f>
        <v>0</v>
      </c>
      <c r="CC123" s="11">
        <f>IF(tblParticipants[[#This Row],[EarnWg3Qae]]=1,IFERROR(tblParticipants[[#This Row],[HoursPerWk3Qae]]*tblParticipants[[#This Row],[HrlyWg3Qae]]*13,0),0)</f>
        <v>0</v>
      </c>
      <c r="CD123" s="9">
        <f>IFERROR(IF(SUM(tblParticipants[[#This Row],[EarnWg1Qae]],tblParticipants[[#This Row],[EarnWg2Qae]],tblParticipants[[#This Row],[EarnWg3Qae]])=3,1,0),0)</f>
        <v>0</v>
      </c>
      <c r="CE123" s="12">
        <f>IF(tblParticipants[[#This Row],[EmplAll3Qae]]=1,tblParticipants[[#This Row],[Earnings2Qae]]+tblParticipants[[#This Row],[Earnings3Qae]],0)</f>
        <v>0</v>
      </c>
      <c r="CF123" s="407"/>
    </row>
    <row r="124" spans="1:84" x14ac:dyDescent="0.3">
      <c r="A124" s="19"/>
      <c r="B124" s="19"/>
      <c r="C124" s="20"/>
      <c r="D124" s="20"/>
      <c r="E124" s="26"/>
      <c r="F124" s="26"/>
      <c r="G124" s="26"/>
      <c r="H124" s="26"/>
      <c r="I124" s="26"/>
      <c r="J124" s="26"/>
      <c r="K124" s="26"/>
      <c r="L124" s="26"/>
      <c r="M124" s="20"/>
      <c r="N124" s="26"/>
      <c r="O124" s="22"/>
      <c r="P124" s="21"/>
      <c r="Q124" s="23"/>
      <c r="R124" s="21"/>
      <c r="S124" s="21"/>
      <c r="T124" s="21"/>
      <c r="U124" s="21"/>
      <c r="V124" s="21"/>
      <c r="W124" s="24"/>
      <c r="X124" s="20"/>
      <c r="Y124" s="20"/>
      <c r="Z124" s="21"/>
      <c r="AA124" s="21"/>
      <c r="AB124" s="21"/>
      <c r="AC124" s="21"/>
      <c r="AD124" s="21"/>
      <c r="AE124" s="21"/>
      <c r="AF124" s="21"/>
      <c r="AG124" s="21"/>
      <c r="AH124" s="21"/>
      <c r="AI124" s="25"/>
      <c r="AJ124" s="20"/>
      <c r="AK124" s="21"/>
      <c r="AL124" s="20"/>
      <c r="AM124" s="20"/>
      <c r="AN124" s="20"/>
      <c r="AO124" s="20"/>
      <c r="AP124" s="446"/>
      <c r="AQ124" s="20"/>
      <c r="AR124" s="20"/>
      <c r="AS124" s="20"/>
      <c r="AT124" s="20"/>
      <c r="AU124" s="26"/>
      <c r="AV124" s="98"/>
      <c r="AW124" s="98"/>
      <c r="AX124" s="98"/>
      <c r="AY124" s="98"/>
      <c r="AZ124" s="98"/>
      <c r="BA124" s="217"/>
      <c r="BB124" s="98"/>
      <c r="BC124" s="98"/>
      <c r="BD124" s="98"/>
      <c r="BE124" s="98"/>
      <c r="BF124" s="98"/>
      <c r="BG124" s="219"/>
      <c r="BH124" s="219"/>
      <c r="BI124" s="219"/>
      <c r="BJ124" s="26"/>
      <c r="BK124" s="21"/>
      <c r="BL124" s="21"/>
      <c r="BM124" s="22"/>
      <c r="BN124" s="21"/>
      <c r="BO124" s="21"/>
      <c r="BP124" s="22"/>
      <c r="BQ124" s="21"/>
      <c r="BR124" s="21"/>
      <c r="BS124" s="22"/>
      <c r="BT12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24" s="109" t="str">
        <f>IF(ISNUMBER(tblParticipants[[#This Row],[SvcStartDate]]),IF(AND(tblParticipants[[#This Row],[EnrollQtr]]=1,tblParticipants[[#This Row],[SvcStartDate]]&lt;DATE(conProgYear,7,1)),1,""),"")</f>
        <v/>
      </c>
      <c r="BV12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24" s="232" t="str">
        <f t="shared" ca="1" si="1"/>
        <v/>
      </c>
      <c r="BX124" s="9">
        <f>IF(SUM(IF(tblParticipants[[#This Row],[AmIndOrAkNtv]]=1,1,0),IF(tblParticipants[[#This Row],[Asian]]=1,1,0),IF(tblParticipants[[#This Row],[BlkOrAfAmer]]=1,1,0),IF(tblParticipants[[#This Row],[NtvHawOrPacIsl]]=1,1,0),IF(tblParticipants[[#This Row],[White]]=1,1,0))&gt;1,1,0)</f>
        <v>0</v>
      </c>
      <c r="BY12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2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2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24" s="11">
        <f>IF(tblParticipants[[#This Row],[EarnWg2Qae]]=1,IFERROR(tblParticipants[[#This Row],[HoursPerWk2Qae]]*tblParticipants[[#This Row],[HrlyWg2Qae]]*13,0),0)</f>
        <v>0</v>
      </c>
      <c r="CC124" s="11">
        <f>IF(tblParticipants[[#This Row],[EarnWg3Qae]]=1,IFERROR(tblParticipants[[#This Row],[HoursPerWk3Qae]]*tblParticipants[[#This Row],[HrlyWg3Qae]]*13,0),0)</f>
        <v>0</v>
      </c>
      <c r="CD124" s="9">
        <f>IFERROR(IF(SUM(tblParticipants[[#This Row],[EarnWg1Qae]],tblParticipants[[#This Row],[EarnWg2Qae]],tblParticipants[[#This Row],[EarnWg3Qae]])=3,1,0),0)</f>
        <v>0</v>
      </c>
      <c r="CE124" s="12">
        <f>IF(tblParticipants[[#This Row],[EmplAll3Qae]]=1,tblParticipants[[#This Row],[Earnings2Qae]]+tblParticipants[[#This Row],[Earnings3Qae]],0)</f>
        <v>0</v>
      </c>
      <c r="CF124" s="407"/>
    </row>
    <row r="125" spans="1:84" x14ac:dyDescent="0.3">
      <c r="A125" s="19"/>
      <c r="B125" s="19"/>
      <c r="C125" s="20"/>
      <c r="D125" s="20"/>
      <c r="E125" s="26"/>
      <c r="F125" s="26"/>
      <c r="G125" s="26"/>
      <c r="H125" s="26"/>
      <c r="I125" s="26"/>
      <c r="J125" s="26"/>
      <c r="K125" s="26"/>
      <c r="L125" s="26"/>
      <c r="M125" s="20"/>
      <c r="N125" s="26"/>
      <c r="O125" s="22"/>
      <c r="P125" s="21"/>
      <c r="Q125" s="23"/>
      <c r="R125" s="21"/>
      <c r="S125" s="21"/>
      <c r="T125" s="21"/>
      <c r="U125" s="21"/>
      <c r="V125" s="21"/>
      <c r="W125" s="24"/>
      <c r="X125" s="20"/>
      <c r="Y125" s="20"/>
      <c r="Z125" s="21"/>
      <c r="AA125" s="21"/>
      <c r="AB125" s="21"/>
      <c r="AC125" s="21"/>
      <c r="AD125" s="21"/>
      <c r="AE125" s="21"/>
      <c r="AF125" s="21"/>
      <c r="AG125" s="21"/>
      <c r="AH125" s="21"/>
      <c r="AI125" s="25"/>
      <c r="AJ125" s="20"/>
      <c r="AK125" s="21"/>
      <c r="AL125" s="20"/>
      <c r="AM125" s="20"/>
      <c r="AN125" s="20"/>
      <c r="AO125" s="20"/>
      <c r="AP125" s="446"/>
      <c r="AQ125" s="20"/>
      <c r="AR125" s="20"/>
      <c r="AS125" s="20"/>
      <c r="AT125" s="20"/>
      <c r="AU125" s="26"/>
      <c r="AV125" s="98"/>
      <c r="AW125" s="98"/>
      <c r="AX125" s="98"/>
      <c r="AY125" s="98"/>
      <c r="AZ125" s="98"/>
      <c r="BA125" s="217"/>
      <c r="BB125" s="98"/>
      <c r="BC125" s="98"/>
      <c r="BD125" s="98"/>
      <c r="BE125" s="98"/>
      <c r="BF125" s="98"/>
      <c r="BG125" s="219"/>
      <c r="BH125" s="219"/>
      <c r="BI125" s="219"/>
      <c r="BJ125" s="26"/>
      <c r="BK125" s="21"/>
      <c r="BL125" s="21"/>
      <c r="BM125" s="22"/>
      <c r="BN125" s="21"/>
      <c r="BO125" s="21"/>
      <c r="BP125" s="22"/>
      <c r="BQ125" s="21"/>
      <c r="BR125" s="21"/>
      <c r="BS125" s="22"/>
      <c r="BT12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25" s="109" t="str">
        <f>IF(ISNUMBER(tblParticipants[[#This Row],[SvcStartDate]]),IF(AND(tblParticipants[[#This Row],[EnrollQtr]]=1,tblParticipants[[#This Row],[SvcStartDate]]&lt;DATE(conProgYear,7,1)),1,""),"")</f>
        <v/>
      </c>
      <c r="BV12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25" s="232" t="str">
        <f t="shared" ca="1" si="1"/>
        <v/>
      </c>
      <c r="BX125" s="9">
        <f>IF(SUM(IF(tblParticipants[[#This Row],[AmIndOrAkNtv]]=1,1,0),IF(tblParticipants[[#This Row],[Asian]]=1,1,0),IF(tblParticipants[[#This Row],[BlkOrAfAmer]]=1,1,0),IF(tblParticipants[[#This Row],[NtvHawOrPacIsl]]=1,1,0),IF(tblParticipants[[#This Row],[White]]=1,1,0))&gt;1,1,0)</f>
        <v>0</v>
      </c>
      <c r="BY12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2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2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25" s="11">
        <f>IF(tblParticipants[[#This Row],[EarnWg2Qae]]=1,IFERROR(tblParticipants[[#This Row],[HoursPerWk2Qae]]*tblParticipants[[#This Row],[HrlyWg2Qae]]*13,0),0)</f>
        <v>0</v>
      </c>
      <c r="CC125" s="11">
        <f>IF(tblParticipants[[#This Row],[EarnWg3Qae]]=1,IFERROR(tblParticipants[[#This Row],[HoursPerWk3Qae]]*tblParticipants[[#This Row],[HrlyWg3Qae]]*13,0),0)</f>
        <v>0</v>
      </c>
      <c r="CD125" s="9">
        <f>IFERROR(IF(SUM(tblParticipants[[#This Row],[EarnWg1Qae]],tblParticipants[[#This Row],[EarnWg2Qae]],tblParticipants[[#This Row],[EarnWg3Qae]])=3,1,0),0)</f>
        <v>0</v>
      </c>
      <c r="CE125" s="12">
        <f>IF(tblParticipants[[#This Row],[EmplAll3Qae]]=1,tblParticipants[[#This Row],[Earnings2Qae]]+tblParticipants[[#This Row],[Earnings3Qae]],0)</f>
        <v>0</v>
      </c>
      <c r="CF125" s="407"/>
    </row>
    <row r="126" spans="1:84" x14ac:dyDescent="0.3">
      <c r="A126" s="19"/>
      <c r="B126" s="19"/>
      <c r="C126" s="20"/>
      <c r="D126" s="20"/>
      <c r="E126" s="26"/>
      <c r="F126" s="26"/>
      <c r="G126" s="26"/>
      <c r="H126" s="26"/>
      <c r="I126" s="26"/>
      <c r="J126" s="26"/>
      <c r="K126" s="26"/>
      <c r="L126" s="26"/>
      <c r="M126" s="20"/>
      <c r="N126" s="26"/>
      <c r="O126" s="22"/>
      <c r="P126" s="21"/>
      <c r="Q126" s="23"/>
      <c r="R126" s="21"/>
      <c r="S126" s="21"/>
      <c r="T126" s="21"/>
      <c r="U126" s="21"/>
      <c r="V126" s="21"/>
      <c r="W126" s="24"/>
      <c r="X126" s="20"/>
      <c r="Y126" s="20"/>
      <c r="Z126" s="21"/>
      <c r="AA126" s="21"/>
      <c r="AB126" s="21"/>
      <c r="AC126" s="21"/>
      <c r="AD126" s="21"/>
      <c r="AE126" s="21"/>
      <c r="AF126" s="21"/>
      <c r="AG126" s="21"/>
      <c r="AH126" s="21"/>
      <c r="AI126" s="25"/>
      <c r="AJ126" s="20"/>
      <c r="AK126" s="21"/>
      <c r="AL126" s="20"/>
      <c r="AM126" s="20"/>
      <c r="AN126" s="20"/>
      <c r="AO126" s="20"/>
      <c r="AP126" s="446"/>
      <c r="AQ126" s="20"/>
      <c r="AR126" s="20"/>
      <c r="AS126" s="20"/>
      <c r="AT126" s="20"/>
      <c r="AU126" s="26"/>
      <c r="AV126" s="98"/>
      <c r="AW126" s="98"/>
      <c r="AX126" s="98"/>
      <c r="AY126" s="98"/>
      <c r="AZ126" s="98"/>
      <c r="BA126" s="217"/>
      <c r="BB126" s="98"/>
      <c r="BC126" s="98"/>
      <c r="BD126" s="98"/>
      <c r="BE126" s="98"/>
      <c r="BF126" s="98"/>
      <c r="BG126" s="219"/>
      <c r="BH126" s="219"/>
      <c r="BI126" s="219"/>
      <c r="BJ126" s="26"/>
      <c r="BK126" s="21"/>
      <c r="BL126" s="21"/>
      <c r="BM126" s="22"/>
      <c r="BN126" s="21"/>
      <c r="BO126" s="21"/>
      <c r="BP126" s="22"/>
      <c r="BQ126" s="21"/>
      <c r="BR126" s="21"/>
      <c r="BS126" s="22"/>
      <c r="BT12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26" s="109" t="str">
        <f>IF(ISNUMBER(tblParticipants[[#This Row],[SvcStartDate]]),IF(AND(tblParticipants[[#This Row],[EnrollQtr]]=1,tblParticipants[[#This Row],[SvcStartDate]]&lt;DATE(conProgYear,7,1)),1,""),"")</f>
        <v/>
      </c>
      <c r="BV12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26" s="232" t="str">
        <f t="shared" ca="1" si="1"/>
        <v/>
      </c>
      <c r="BX126" s="9">
        <f>IF(SUM(IF(tblParticipants[[#This Row],[AmIndOrAkNtv]]=1,1,0),IF(tblParticipants[[#This Row],[Asian]]=1,1,0),IF(tblParticipants[[#This Row],[BlkOrAfAmer]]=1,1,0),IF(tblParticipants[[#This Row],[NtvHawOrPacIsl]]=1,1,0),IF(tblParticipants[[#This Row],[White]]=1,1,0))&gt;1,1,0)</f>
        <v>0</v>
      </c>
      <c r="BY12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2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2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26" s="11">
        <f>IF(tblParticipants[[#This Row],[EarnWg2Qae]]=1,IFERROR(tblParticipants[[#This Row],[HoursPerWk2Qae]]*tblParticipants[[#This Row],[HrlyWg2Qae]]*13,0),0)</f>
        <v>0</v>
      </c>
      <c r="CC126" s="11">
        <f>IF(tblParticipants[[#This Row],[EarnWg3Qae]]=1,IFERROR(tblParticipants[[#This Row],[HoursPerWk3Qae]]*tblParticipants[[#This Row],[HrlyWg3Qae]]*13,0),0)</f>
        <v>0</v>
      </c>
      <c r="CD126" s="9">
        <f>IFERROR(IF(SUM(tblParticipants[[#This Row],[EarnWg1Qae]],tblParticipants[[#This Row],[EarnWg2Qae]],tblParticipants[[#This Row],[EarnWg3Qae]])=3,1,0),0)</f>
        <v>0</v>
      </c>
      <c r="CE126" s="12">
        <f>IF(tblParticipants[[#This Row],[EmplAll3Qae]]=1,tblParticipants[[#This Row],[Earnings2Qae]]+tblParticipants[[#This Row],[Earnings3Qae]],0)</f>
        <v>0</v>
      </c>
      <c r="CF126" s="407"/>
    </row>
    <row r="127" spans="1:84" x14ac:dyDescent="0.3">
      <c r="A127" s="19"/>
      <c r="B127" s="19"/>
      <c r="C127" s="20"/>
      <c r="D127" s="20"/>
      <c r="E127" s="26"/>
      <c r="F127" s="26"/>
      <c r="G127" s="26"/>
      <c r="H127" s="26"/>
      <c r="I127" s="26"/>
      <c r="J127" s="26"/>
      <c r="K127" s="26"/>
      <c r="L127" s="26"/>
      <c r="M127" s="20"/>
      <c r="N127" s="26"/>
      <c r="O127" s="22"/>
      <c r="P127" s="21"/>
      <c r="Q127" s="23"/>
      <c r="R127" s="21"/>
      <c r="S127" s="21"/>
      <c r="T127" s="21"/>
      <c r="U127" s="21"/>
      <c r="V127" s="21"/>
      <c r="W127" s="24"/>
      <c r="X127" s="20"/>
      <c r="Y127" s="20"/>
      <c r="Z127" s="21"/>
      <c r="AA127" s="21"/>
      <c r="AB127" s="21"/>
      <c r="AC127" s="21"/>
      <c r="AD127" s="21"/>
      <c r="AE127" s="21"/>
      <c r="AF127" s="21"/>
      <c r="AG127" s="21"/>
      <c r="AH127" s="21"/>
      <c r="AI127" s="25"/>
      <c r="AJ127" s="20"/>
      <c r="AK127" s="21"/>
      <c r="AL127" s="20"/>
      <c r="AM127" s="20"/>
      <c r="AN127" s="20"/>
      <c r="AO127" s="20"/>
      <c r="AP127" s="446"/>
      <c r="AQ127" s="20"/>
      <c r="AR127" s="20"/>
      <c r="AS127" s="20"/>
      <c r="AT127" s="20"/>
      <c r="AU127" s="26"/>
      <c r="AV127" s="98"/>
      <c r="AW127" s="98"/>
      <c r="AX127" s="98"/>
      <c r="AY127" s="98"/>
      <c r="AZ127" s="98"/>
      <c r="BA127" s="217"/>
      <c r="BB127" s="98"/>
      <c r="BC127" s="98"/>
      <c r="BD127" s="98"/>
      <c r="BE127" s="98"/>
      <c r="BF127" s="98"/>
      <c r="BG127" s="219"/>
      <c r="BH127" s="219"/>
      <c r="BI127" s="219"/>
      <c r="BJ127" s="26"/>
      <c r="BK127" s="21"/>
      <c r="BL127" s="21"/>
      <c r="BM127" s="22"/>
      <c r="BN127" s="21"/>
      <c r="BO127" s="21"/>
      <c r="BP127" s="22"/>
      <c r="BQ127" s="21"/>
      <c r="BR127" s="21"/>
      <c r="BS127" s="22"/>
      <c r="BT12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27" s="109" t="str">
        <f>IF(ISNUMBER(tblParticipants[[#This Row],[SvcStartDate]]),IF(AND(tblParticipants[[#This Row],[EnrollQtr]]=1,tblParticipants[[#This Row],[SvcStartDate]]&lt;DATE(conProgYear,7,1)),1,""),"")</f>
        <v/>
      </c>
      <c r="BV12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27" s="232" t="str">
        <f t="shared" ca="1" si="1"/>
        <v/>
      </c>
      <c r="BX127" s="9">
        <f>IF(SUM(IF(tblParticipants[[#This Row],[AmIndOrAkNtv]]=1,1,0),IF(tblParticipants[[#This Row],[Asian]]=1,1,0),IF(tblParticipants[[#This Row],[BlkOrAfAmer]]=1,1,0),IF(tblParticipants[[#This Row],[NtvHawOrPacIsl]]=1,1,0),IF(tblParticipants[[#This Row],[White]]=1,1,0))&gt;1,1,0)</f>
        <v>0</v>
      </c>
      <c r="BY12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2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2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27" s="11">
        <f>IF(tblParticipants[[#This Row],[EarnWg2Qae]]=1,IFERROR(tblParticipants[[#This Row],[HoursPerWk2Qae]]*tblParticipants[[#This Row],[HrlyWg2Qae]]*13,0),0)</f>
        <v>0</v>
      </c>
      <c r="CC127" s="11">
        <f>IF(tblParticipants[[#This Row],[EarnWg3Qae]]=1,IFERROR(tblParticipants[[#This Row],[HoursPerWk3Qae]]*tblParticipants[[#This Row],[HrlyWg3Qae]]*13,0),0)</f>
        <v>0</v>
      </c>
      <c r="CD127" s="9">
        <f>IFERROR(IF(SUM(tblParticipants[[#This Row],[EarnWg1Qae]],tblParticipants[[#This Row],[EarnWg2Qae]],tblParticipants[[#This Row],[EarnWg3Qae]])=3,1,0),0)</f>
        <v>0</v>
      </c>
      <c r="CE127" s="12">
        <f>IF(tblParticipants[[#This Row],[EmplAll3Qae]]=1,tblParticipants[[#This Row],[Earnings2Qae]]+tblParticipants[[#This Row],[Earnings3Qae]],0)</f>
        <v>0</v>
      </c>
      <c r="CF127" s="407"/>
    </row>
    <row r="128" spans="1:84" x14ac:dyDescent="0.3">
      <c r="A128" s="19"/>
      <c r="B128" s="19"/>
      <c r="C128" s="20"/>
      <c r="D128" s="20"/>
      <c r="E128" s="26"/>
      <c r="F128" s="26"/>
      <c r="G128" s="26"/>
      <c r="H128" s="26"/>
      <c r="I128" s="26"/>
      <c r="J128" s="26"/>
      <c r="K128" s="26"/>
      <c r="L128" s="26"/>
      <c r="M128" s="20"/>
      <c r="N128" s="26"/>
      <c r="O128" s="22"/>
      <c r="P128" s="21"/>
      <c r="Q128" s="23"/>
      <c r="R128" s="21"/>
      <c r="S128" s="21"/>
      <c r="T128" s="21"/>
      <c r="U128" s="21"/>
      <c r="V128" s="21"/>
      <c r="W128" s="24"/>
      <c r="X128" s="20"/>
      <c r="Y128" s="20"/>
      <c r="Z128" s="21"/>
      <c r="AA128" s="21"/>
      <c r="AB128" s="21"/>
      <c r="AC128" s="21"/>
      <c r="AD128" s="21"/>
      <c r="AE128" s="21"/>
      <c r="AF128" s="21"/>
      <c r="AG128" s="21"/>
      <c r="AH128" s="21"/>
      <c r="AI128" s="25"/>
      <c r="AJ128" s="20"/>
      <c r="AK128" s="21"/>
      <c r="AL128" s="20"/>
      <c r="AM128" s="20"/>
      <c r="AN128" s="20"/>
      <c r="AO128" s="20"/>
      <c r="AP128" s="446"/>
      <c r="AQ128" s="20"/>
      <c r="AR128" s="20"/>
      <c r="AS128" s="20"/>
      <c r="AT128" s="20"/>
      <c r="AU128" s="26"/>
      <c r="AV128" s="98"/>
      <c r="AW128" s="98"/>
      <c r="AX128" s="98"/>
      <c r="AY128" s="98"/>
      <c r="AZ128" s="98"/>
      <c r="BA128" s="217"/>
      <c r="BB128" s="98"/>
      <c r="BC128" s="98"/>
      <c r="BD128" s="98"/>
      <c r="BE128" s="98"/>
      <c r="BF128" s="98"/>
      <c r="BG128" s="219"/>
      <c r="BH128" s="219"/>
      <c r="BI128" s="219"/>
      <c r="BJ128" s="26"/>
      <c r="BK128" s="21"/>
      <c r="BL128" s="21"/>
      <c r="BM128" s="22"/>
      <c r="BN128" s="21"/>
      <c r="BO128" s="21"/>
      <c r="BP128" s="22"/>
      <c r="BQ128" s="21"/>
      <c r="BR128" s="21"/>
      <c r="BS128" s="22"/>
      <c r="BT12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28" s="109" t="str">
        <f>IF(ISNUMBER(tblParticipants[[#This Row],[SvcStartDate]]),IF(AND(tblParticipants[[#This Row],[EnrollQtr]]=1,tblParticipants[[#This Row],[SvcStartDate]]&lt;DATE(conProgYear,7,1)),1,""),"")</f>
        <v/>
      </c>
      <c r="BV12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28" s="232" t="str">
        <f t="shared" ca="1" si="1"/>
        <v/>
      </c>
      <c r="BX128" s="9">
        <f>IF(SUM(IF(tblParticipants[[#This Row],[AmIndOrAkNtv]]=1,1,0),IF(tblParticipants[[#This Row],[Asian]]=1,1,0),IF(tblParticipants[[#This Row],[BlkOrAfAmer]]=1,1,0),IF(tblParticipants[[#This Row],[NtvHawOrPacIsl]]=1,1,0),IF(tblParticipants[[#This Row],[White]]=1,1,0))&gt;1,1,0)</f>
        <v>0</v>
      </c>
      <c r="BY12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2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2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28" s="11">
        <f>IF(tblParticipants[[#This Row],[EarnWg2Qae]]=1,IFERROR(tblParticipants[[#This Row],[HoursPerWk2Qae]]*tblParticipants[[#This Row],[HrlyWg2Qae]]*13,0),0)</f>
        <v>0</v>
      </c>
      <c r="CC128" s="11">
        <f>IF(tblParticipants[[#This Row],[EarnWg3Qae]]=1,IFERROR(tblParticipants[[#This Row],[HoursPerWk3Qae]]*tblParticipants[[#This Row],[HrlyWg3Qae]]*13,0),0)</f>
        <v>0</v>
      </c>
      <c r="CD128" s="9">
        <f>IFERROR(IF(SUM(tblParticipants[[#This Row],[EarnWg1Qae]],tblParticipants[[#This Row],[EarnWg2Qae]],tblParticipants[[#This Row],[EarnWg3Qae]])=3,1,0),0)</f>
        <v>0</v>
      </c>
      <c r="CE128" s="12">
        <f>IF(tblParticipants[[#This Row],[EmplAll3Qae]]=1,tblParticipants[[#This Row],[Earnings2Qae]]+tblParticipants[[#This Row],[Earnings3Qae]],0)</f>
        <v>0</v>
      </c>
      <c r="CF128" s="407"/>
    </row>
    <row r="129" spans="1:84" x14ac:dyDescent="0.3">
      <c r="A129" s="19"/>
      <c r="B129" s="19"/>
      <c r="C129" s="20"/>
      <c r="D129" s="20"/>
      <c r="E129" s="26"/>
      <c r="F129" s="26"/>
      <c r="G129" s="26"/>
      <c r="H129" s="26"/>
      <c r="I129" s="26"/>
      <c r="J129" s="26"/>
      <c r="K129" s="26"/>
      <c r="L129" s="26"/>
      <c r="M129" s="20"/>
      <c r="N129" s="26"/>
      <c r="O129" s="22"/>
      <c r="P129" s="21"/>
      <c r="Q129" s="23"/>
      <c r="R129" s="21"/>
      <c r="S129" s="21"/>
      <c r="T129" s="21"/>
      <c r="U129" s="21"/>
      <c r="V129" s="21"/>
      <c r="W129" s="24"/>
      <c r="X129" s="20"/>
      <c r="Y129" s="20"/>
      <c r="Z129" s="21"/>
      <c r="AA129" s="21"/>
      <c r="AB129" s="21"/>
      <c r="AC129" s="21"/>
      <c r="AD129" s="21"/>
      <c r="AE129" s="21"/>
      <c r="AF129" s="21"/>
      <c r="AG129" s="21"/>
      <c r="AH129" s="21"/>
      <c r="AI129" s="25"/>
      <c r="AJ129" s="20"/>
      <c r="AK129" s="21"/>
      <c r="AL129" s="20"/>
      <c r="AM129" s="20"/>
      <c r="AN129" s="20"/>
      <c r="AO129" s="20"/>
      <c r="AP129" s="446"/>
      <c r="AQ129" s="20"/>
      <c r="AR129" s="20"/>
      <c r="AS129" s="20"/>
      <c r="AT129" s="20"/>
      <c r="AU129" s="26"/>
      <c r="AV129" s="98"/>
      <c r="AW129" s="98"/>
      <c r="AX129" s="98"/>
      <c r="AY129" s="98"/>
      <c r="AZ129" s="98"/>
      <c r="BA129" s="217"/>
      <c r="BB129" s="98"/>
      <c r="BC129" s="98"/>
      <c r="BD129" s="98"/>
      <c r="BE129" s="98"/>
      <c r="BF129" s="98"/>
      <c r="BG129" s="219"/>
      <c r="BH129" s="219"/>
      <c r="BI129" s="219"/>
      <c r="BJ129" s="26"/>
      <c r="BK129" s="21"/>
      <c r="BL129" s="21"/>
      <c r="BM129" s="22"/>
      <c r="BN129" s="21"/>
      <c r="BO129" s="21"/>
      <c r="BP129" s="22"/>
      <c r="BQ129" s="21"/>
      <c r="BR129" s="21"/>
      <c r="BS129" s="22"/>
      <c r="BT12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29" s="109" t="str">
        <f>IF(ISNUMBER(tblParticipants[[#This Row],[SvcStartDate]]),IF(AND(tblParticipants[[#This Row],[EnrollQtr]]=1,tblParticipants[[#This Row],[SvcStartDate]]&lt;DATE(conProgYear,7,1)),1,""),"")</f>
        <v/>
      </c>
      <c r="BV12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29" s="232" t="str">
        <f t="shared" ca="1" si="1"/>
        <v/>
      </c>
      <c r="BX129" s="9">
        <f>IF(SUM(IF(tblParticipants[[#This Row],[AmIndOrAkNtv]]=1,1,0),IF(tblParticipants[[#This Row],[Asian]]=1,1,0),IF(tblParticipants[[#This Row],[BlkOrAfAmer]]=1,1,0),IF(tblParticipants[[#This Row],[NtvHawOrPacIsl]]=1,1,0),IF(tblParticipants[[#This Row],[White]]=1,1,0))&gt;1,1,0)</f>
        <v>0</v>
      </c>
      <c r="BY12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2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2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29" s="11">
        <f>IF(tblParticipants[[#This Row],[EarnWg2Qae]]=1,IFERROR(tblParticipants[[#This Row],[HoursPerWk2Qae]]*tblParticipants[[#This Row],[HrlyWg2Qae]]*13,0),0)</f>
        <v>0</v>
      </c>
      <c r="CC129" s="11">
        <f>IF(tblParticipants[[#This Row],[EarnWg3Qae]]=1,IFERROR(tblParticipants[[#This Row],[HoursPerWk3Qae]]*tblParticipants[[#This Row],[HrlyWg3Qae]]*13,0),0)</f>
        <v>0</v>
      </c>
      <c r="CD129" s="9">
        <f>IFERROR(IF(SUM(tblParticipants[[#This Row],[EarnWg1Qae]],tblParticipants[[#This Row],[EarnWg2Qae]],tblParticipants[[#This Row],[EarnWg3Qae]])=3,1,0),0)</f>
        <v>0</v>
      </c>
      <c r="CE129" s="12">
        <f>IF(tblParticipants[[#This Row],[EmplAll3Qae]]=1,tblParticipants[[#This Row],[Earnings2Qae]]+tblParticipants[[#This Row],[Earnings3Qae]],0)</f>
        <v>0</v>
      </c>
      <c r="CF129" s="407"/>
    </row>
    <row r="130" spans="1:84" x14ac:dyDescent="0.3">
      <c r="A130" s="19"/>
      <c r="B130" s="19"/>
      <c r="C130" s="20"/>
      <c r="D130" s="20"/>
      <c r="E130" s="26"/>
      <c r="F130" s="26"/>
      <c r="G130" s="26"/>
      <c r="H130" s="26"/>
      <c r="I130" s="26"/>
      <c r="J130" s="26"/>
      <c r="K130" s="26"/>
      <c r="L130" s="26"/>
      <c r="M130" s="20"/>
      <c r="N130" s="26"/>
      <c r="O130" s="22"/>
      <c r="P130" s="21"/>
      <c r="Q130" s="23"/>
      <c r="R130" s="21"/>
      <c r="S130" s="21"/>
      <c r="T130" s="21"/>
      <c r="U130" s="21"/>
      <c r="V130" s="21"/>
      <c r="W130" s="24"/>
      <c r="X130" s="20"/>
      <c r="Y130" s="20"/>
      <c r="Z130" s="21"/>
      <c r="AA130" s="21"/>
      <c r="AB130" s="21"/>
      <c r="AC130" s="21"/>
      <c r="AD130" s="21"/>
      <c r="AE130" s="21"/>
      <c r="AF130" s="21"/>
      <c r="AG130" s="21"/>
      <c r="AH130" s="21"/>
      <c r="AI130" s="25"/>
      <c r="AJ130" s="20"/>
      <c r="AK130" s="21"/>
      <c r="AL130" s="20"/>
      <c r="AM130" s="20"/>
      <c r="AN130" s="20"/>
      <c r="AO130" s="20"/>
      <c r="AP130" s="446"/>
      <c r="AQ130" s="20"/>
      <c r="AR130" s="20"/>
      <c r="AS130" s="20"/>
      <c r="AT130" s="20"/>
      <c r="AU130" s="26"/>
      <c r="AV130" s="98"/>
      <c r="AW130" s="98"/>
      <c r="AX130" s="98"/>
      <c r="AY130" s="98"/>
      <c r="AZ130" s="98"/>
      <c r="BA130" s="217"/>
      <c r="BB130" s="98"/>
      <c r="BC130" s="98"/>
      <c r="BD130" s="98"/>
      <c r="BE130" s="98"/>
      <c r="BF130" s="98"/>
      <c r="BG130" s="219"/>
      <c r="BH130" s="219"/>
      <c r="BI130" s="219"/>
      <c r="BJ130" s="26"/>
      <c r="BK130" s="21"/>
      <c r="BL130" s="21"/>
      <c r="BM130" s="22"/>
      <c r="BN130" s="21"/>
      <c r="BO130" s="21"/>
      <c r="BP130" s="22"/>
      <c r="BQ130" s="21"/>
      <c r="BR130" s="21"/>
      <c r="BS130" s="22"/>
      <c r="BT13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30" s="109" t="str">
        <f>IF(ISNUMBER(tblParticipants[[#This Row],[SvcStartDate]]),IF(AND(tblParticipants[[#This Row],[EnrollQtr]]=1,tblParticipants[[#This Row],[SvcStartDate]]&lt;DATE(conProgYear,7,1)),1,""),"")</f>
        <v/>
      </c>
      <c r="BV13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30" s="232" t="str">
        <f t="shared" ca="1" si="1"/>
        <v/>
      </c>
      <c r="BX130" s="9">
        <f>IF(SUM(IF(tblParticipants[[#This Row],[AmIndOrAkNtv]]=1,1,0),IF(tblParticipants[[#This Row],[Asian]]=1,1,0),IF(tblParticipants[[#This Row],[BlkOrAfAmer]]=1,1,0),IF(tblParticipants[[#This Row],[NtvHawOrPacIsl]]=1,1,0),IF(tblParticipants[[#This Row],[White]]=1,1,0))&gt;1,1,0)</f>
        <v>0</v>
      </c>
      <c r="BY13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3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3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30" s="11">
        <f>IF(tblParticipants[[#This Row],[EarnWg2Qae]]=1,IFERROR(tblParticipants[[#This Row],[HoursPerWk2Qae]]*tblParticipants[[#This Row],[HrlyWg2Qae]]*13,0),0)</f>
        <v>0</v>
      </c>
      <c r="CC130" s="11">
        <f>IF(tblParticipants[[#This Row],[EarnWg3Qae]]=1,IFERROR(tblParticipants[[#This Row],[HoursPerWk3Qae]]*tblParticipants[[#This Row],[HrlyWg3Qae]]*13,0),0)</f>
        <v>0</v>
      </c>
      <c r="CD130" s="9">
        <f>IFERROR(IF(SUM(tblParticipants[[#This Row],[EarnWg1Qae]],tblParticipants[[#This Row],[EarnWg2Qae]],tblParticipants[[#This Row],[EarnWg3Qae]])=3,1,0),0)</f>
        <v>0</v>
      </c>
      <c r="CE130" s="12">
        <f>IF(tblParticipants[[#This Row],[EmplAll3Qae]]=1,tblParticipants[[#This Row],[Earnings2Qae]]+tblParticipants[[#This Row],[Earnings3Qae]],0)</f>
        <v>0</v>
      </c>
      <c r="CF130" s="407"/>
    </row>
    <row r="131" spans="1:84" x14ac:dyDescent="0.3">
      <c r="A131" s="19"/>
      <c r="B131" s="19"/>
      <c r="C131" s="20"/>
      <c r="D131" s="20"/>
      <c r="E131" s="26"/>
      <c r="F131" s="26"/>
      <c r="G131" s="26"/>
      <c r="H131" s="26"/>
      <c r="I131" s="26"/>
      <c r="J131" s="26"/>
      <c r="K131" s="26"/>
      <c r="L131" s="26"/>
      <c r="M131" s="20"/>
      <c r="N131" s="26"/>
      <c r="O131" s="22"/>
      <c r="P131" s="21"/>
      <c r="Q131" s="23"/>
      <c r="R131" s="21"/>
      <c r="S131" s="21"/>
      <c r="T131" s="21"/>
      <c r="U131" s="21"/>
      <c r="V131" s="21"/>
      <c r="W131" s="24"/>
      <c r="X131" s="20"/>
      <c r="Y131" s="20"/>
      <c r="Z131" s="21"/>
      <c r="AA131" s="21"/>
      <c r="AB131" s="21"/>
      <c r="AC131" s="21"/>
      <c r="AD131" s="21"/>
      <c r="AE131" s="21"/>
      <c r="AF131" s="21"/>
      <c r="AG131" s="21"/>
      <c r="AH131" s="21"/>
      <c r="AI131" s="25"/>
      <c r="AJ131" s="20"/>
      <c r="AK131" s="21"/>
      <c r="AL131" s="20"/>
      <c r="AM131" s="20"/>
      <c r="AN131" s="20"/>
      <c r="AO131" s="20"/>
      <c r="AP131" s="446"/>
      <c r="AQ131" s="20"/>
      <c r="AR131" s="20"/>
      <c r="AS131" s="20"/>
      <c r="AT131" s="20"/>
      <c r="AU131" s="26"/>
      <c r="AV131" s="98"/>
      <c r="AW131" s="98"/>
      <c r="AX131" s="98"/>
      <c r="AY131" s="98"/>
      <c r="AZ131" s="98"/>
      <c r="BA131" s="217"/>
      <c r="BB131" s="98"/>
      <c r="BC131" s="98"/>
      <c r="BD131" s="98"/>
      <c r="BE131" s="98"/>
      <c r="BF131" s="98"/>
      <c r="BG131" s="219"/>
      <c r="BH131" s="219"/>
      <c r="BI131" s="219"/>
      <c r="BJ131" s="26"/>
      <c r="BK131" s="21"/>
      <c r="BL131" s="21"/>
      <c r="BM131" s="22"/>
      <c r="BN131" s="21"/>
      <c r="BO131" s="21"/>
      <c r="BP131" s="22"/>
      <c r="BQ131" s="21"/>
      <c r="BR131" s="21"/>
      <c r="BS131" s="22"/>
      <c r="BT13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31" s="109" t="str">
        <f>IF(ISNUMBER(tblParticipants[[#This Row],[SvcStartDate]]),IF(AND(tblParticipants[[#This Row],[EnrollQtr]]=1,tblParticipants[[#This Row],[SvcStartDate]]&lt;DATE(conProgYear,7,1)),1,""),"")</f>
        <v/>
      </c>
      <c r="BV13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31" s="232" t="str">
        <f t="shared" ca="1" si="1"/>
        <v/>
      </c>
      <c r="BX131" s="9">
        <f>IF(SUM(IF(tblParticipants[[#This Row],[AmIndOrAkNtv]]=1,1,0),IF(tblParticipants[[#This Row],[Asian]]=1,1,0),IF(tblParticipants[[#This Row],[BlkOrAfAmer]]=1,1,0),IF(tblParticipants[[#This Row],[NtvHawOrPacIsl]]=1,1,0),IF(tblParticipants[[#This Row],[White]]=1,1,0))&gt;1,1,0)</f>
        <v>0</v>
      </c>
      <c r="BY13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3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3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31" s="11">
        <f>IF(tblParticipants[[#This Row],[EarnWg2Qae]]=1,IFERROR(tblParticipants[[#This Row],[HoursPerWk2Qae]]*tblParticipants[[#This Row],[HrlyWg2Qae]]*13,0),0)</f>
        <v>0</v>
      </c>
      <c r="CC131" s="11">
        <f>IF(tblParticipants[[#This Row],[EarnWg3Qae]]=1,IFERROR(tblParticipants[[#This Row],[HoursPerWk3Qae]]*tblParticipants[[#This Row],[HrlyWg3Qae]]*13,0),0)</f>
        <v>0</v>
      </c>
      <c r="CD131" s="9">
        <f>IFERROR(IF(SUM(tblParticipants[[#This Row],[EarnWg1Qae]],tblParticipants[[#This Row],[EarnWg2Qae]],tblParticipants[[#This Row],[EarnWg3Qae]])=3,1,0),0)</f>
        <v>0</v>
      </c>
      <c r="CE131" s="12">
        <f>IF(tblParticipants[[#This Row],[EmplAll3Qae]]=1,tblParticipants[[#This Row],[Earnings2Qae]]+tblParticipants[[#This Row],[Earnings3Qae]],0)</f>
        <v>0</v>
      </c>
      <c r="CF131" s="407"/>
    </row>
    <row r="132" spans="1:84" x14ac:dyDescent="0.3">
      <c r="A132" s="19"/>
      <c r="B132" s="19"/>
      <c r="C132" s="20"/>
      <c r="D132" s="20"/>
      <c r="E132" s="26"/>
      <c r="F132" s="26"/>
      <c r="G132" s="26"/>
      <c r="H132" s="26"/>
      <c r="I132" s="26"/>
      <c r="J132" s="26"/>
      <c r="K132" s="26"/>
      <c r="L132" s="26"/>
      <c r="M132" s="20"/>
      <c r="N132" s="26"/>
      <c r="O132" s="22"/>
      <c r="P132" s="21"/>
      <c r="Q132" s="23"/>
      <c r="R132" s="21"/>
      <c r="S132" s="21"/>
      <c r="T132" s="21"/>
      <c r="U132" s="21"/>
      <c r="V132" s="21"/>
      <c r="W132" s="24"/>
      <c r="X132" s="20"/>
      <c r="Y132" s="20"/>
      <c r="Z132" s="21"/>
      <c r="AA132" s="21"/>
      <c r="AB132" s="21"/>
      <c r="AC132" s="21"/>
      <c r="AD132" s="21"/>
      <c r="AE132" s="21"/>
      <c r="AF132" s="21"/>
      <c r="AG132" s="21"/>
      <c r="AH132" s="21"/>
      <c r="AI132" s="25"/>
      <c r="AJ132" s="20"/>
      <c r="AK132" s="21"/>
      <c r="AL132" s="20"/>
      <c r="AM132" s="20"/>
      <c r="AN132" s="20"/>
      <c r="AO132" s="20"/>
      <c r="AP132" s="446"/>
      <c r="AQ132" s="20"/>
      <c r="AR132" s="20"/>
      <c r="AS132" s="20"/>
      <c r="AT132" s="20"/>
      <c r="AU132" s="26"/>
      <c r="AV132" s="98"/>
      <c r="AW132" s="98"/>
      <c r="AX132" s="98"/>
      <c r="AY132" s="98"/>
      <c r="AZ132" s="98"/>
      <c r="BA132" s="217"/>
      <c r="BB132" s="98"/>
      <c r="BC132" s="98"/>
      <c r="BD132" s="98"/>
      <c r="BE132" s="98"/>
      <c r="BF132" s="98"/>
      <c r="BG132" s="219"/>
      <c r="BH132" s="219"/>
      <c r="BI132" s="219"/>
      <c r="BJ132" s="26"/>
      <c r="BK132" s="21"/>
      <c r="BL132" s="21"/>
      <c r="BM132" s="22"/>
      <c r="BN132" s="21"/>
      <c r="BO132" s="21"/>
      <c r="BP132" s="22"/>
      <c r="BQ132" s="21"/>
      <c r="BR132" s="21"/>
      <c r="BS132" s="22"/>
      <c r="BT13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32" s="109" t="str">
        <f>IF(ISNUMBER(tblParticipants[[#This Row],[SvcStartDate]]),IF(AND(tblParticipants[[#This Row],[EnrollQtr]]=1,tblParticipants[[#This Row],[SvcStartDate]]&lt;DATE(conProgYear,7,1)),1,""),"")</f>
        <v/>
      </c>
      <c r="BV13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32" s="232" t="str">
        <f t="shared" ca="1" si="1"/>
        <v/>
      </c>
      <c r="BX132" s="9">
        <f>IF(SUM(IF(tblParticipants[[#This Row],[AmIndOrAkNtv]]=1,1,0),IF(tblParticipants[[#This Row],[Asian]]=1,1,0),IF(tblParticipants[[#This Row],[BlkOrAfAmer]]=1,1,0),IF(tblParticipants[[#This Row],[NtvHawOrPacIsl]]=1,1,0),IF(tblParticipants[[#This Row],[White]]=1,1,0))&gt;1,1,0)</f>
        <v>0</v>
      </c>
      <c r="BY13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3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3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32" s="11">
        <f>IF(tblParticipants[[#This Row],[EarnWg2Qae]]=1,IFERROR(tblParticipants[[#This Row],[HoursPerWk2Qae]]*tblParticipants[[#This Row],[HrlyWg2Qae]]*13,0),0)</f>
        <v>0</v>
      </c>
      <c r="CC132" s="11">
        <f>IF(tblParticipants[[#This Row],[EarnWg3Qae]]=1,IFERROR(tblParticipants[[#This Row],[HoursPerWk3Qae]]*tblParticipants[[#This Row],[HrlyWg3Qae]]*13,0),0)</f>
        <v>0</v>
      </c>
      <c r="CD132" s="9">
        <f>IFERROR(IF(SUM(tblParticipants[[#This Row],[EarnWg1Qae]],tblParticipants[[#This Row],[EarnWg2Qae]],tblParticipants[[#This Row],[EarnWg3Qae]])=3,1,0),0)</f>
        <v>0</v>
      </c>
      <c r="CE132" s="12">
        <f>IF(tblParticipants[[#This Row],[EmplAll3Qae]]=1,tblParticipants[[#This Row],[Earnings2Qae]]+tblParticipants[[#This Row],[Earnings3Qae]],0)</f>
        <v>0</v>
      </c>
      <c r="CF132" s="407"/>
    </row>
    <row r="133" spans="1:84" x14ac:dyDescent="0.3">
      <c r="A133" s="19"/>
      <c r="B133" s="19"/>
      <c r="C133" s="20"/>
      <c r="D133" s="20"/>
      <c r="E133" s="26"/>
      <c r="F133" s="26"/>
      <c r="G133" s="26"/>
      <c r="H133" s="26"/>
      <c r="I133" s="26"/>
      <c r="J133" s="26"/>
      <c r="K133" s="26"/>
      <c r="L133" s="26"/>
      <c r="M133" s="20"/>
      <c r="N133" s="26"/>
      <c r="O133" s="22"/>
      <c r="P133" s="21"/>
      <c r="Q133" s="23"/>
      <c r="R133" s="21"/>
      <c r="S133" s="21"/>
      <c r="T133" s="21"/>
      <c r="U133" s="21"/>
      <c r="V133" s="21"/>
      <c r="W133" s="24"/>
      <c r="X133" s="20"/>
      <c r="Y133" s="20"/>
      <c r="Z133" s="21"/>
      <c r="AA133" s="21"/>
      <c r="AB133" s="21"/>
      <c r="AC133" s="21"/>
      <c r="AD133" s="21"/>
      <c r="AE133" s="21"/>
      <c r="AF133" s="21"/>
      <c r="AG133" s="21"/>
      <c r="AH133" s="21"/>
      <c r="AI133" s="25"/>
      <c r="AJ133" s="20"/>
      <c r="AK133" s="21"/>
      <c r="AL133" s="20"/>
      <c r="AM133" s="20"/>
      <c r="AN133" s="20"/>
      <c r="AO133" s="20"/>
      <c r="AP133" s="446"/>
      <c r="AQ133" s="20"/>
      <c r="AR133" s="20"/>
      <c r="AS133" s="20"/>
      <c r="AT133" s="20"/>
      <c r="AU133" s="26"/>
      <c r="AV133" s="98"/>
      <c r="AW133" s="98"/>
      <c r="AX133" s="98"/>
      <c r="AY133" s="98"/>
      <c r="AZ133" s="98"/>
      <c r="BA133" s="217"/>
      <c r="BB133" s="98"/>
      <c r="BC133" s="98"/>
      <c r="BD133" s="98"/>
      <c r="BE133" s="98"/>
      <c r="BF133" s="98"/>
      <c r="BG133" s="219"/>
      <c r="BH133" s="219"/>
      <c r="BI133" s="219"/>
      <c r="BJ133" s="26"/>
      <c r="BK133" s="21"/>
      <c r="BL133" s="21"/>
      <c r="BM133" s="22"/>
      <c r="BN133" s="21"/>
      <c r="BO133" s="21"/>
      <c r="BP133" s="22"/>
      <c r="BQ133" s="21"/>
      <c r="BR133" s="21"/>
      <c r="BS133" s="22"/>
      <c r="BT13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33" s="109" t="str">
        <f>IF(ISNUMBER(tblParticipants[[#This Row],[SvcStartDate]]),IF(AND(tblParticipants[[#This Row],[EnrollQtr]]=1,tblParticipants[[#This Row],[SvcStartDate]]&lt;DATE(conProgYear,7,1)),1,""),"")</f>
        <v/>
      </c>
      <c r="BV13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33" s="232" t="str">
        <f t="shared" ref="BW133:BW196" ca="1" si="2">IF(NOT(ISBLANK(INDIRECT("tblParticipants[@PlacedInEmp]"))),IF(INDIRECT("tblParticipants[@PlacedInEmp]")=1,IF(NOT(ISBLANK(INDIRECT("tblParticipants[@SvcEndDate]"))),IF(ISNUMBER(INDIRECT("tblParticipants[@SvcEndDate]")),IF(AND(INDIRECT("tblParticipants[@SvcEndDate]")&gt;=DATE(conProgYear,7,1),INDIRECT("tblParticipants[@SvcEndDate]")&lt;=DATE(conProgYear+1,6,30)),INDIRECT("tblParticipants[@ExitQtr]"),"ERR"),"ERR"),"ERR"),""),"")</f>
        <v/>
      </c>
      <c r="BX133" s="9">
        <f>IF(SUM(IF(tblParticipants[[#This Row],[AmIndOrAkNtv]]=1,1,0),IF(tblParticipants[[#This Row],[Asian]]=1,1,0),IF(tblParticipants[[#This Row],[BlkOrAfAmer]]=1,1,0),IF(tblParticipants[[#This Row],[NtvHawOrPacIsl]]=1,1,0),IF(tblParticipants[[#This Row],[White]]=1,1,0))&gt;1,1,0)</f>
        <v>0</v>
      </c>
      <c r="BY13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3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3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33" s="11">
        <f>IF(tblParticipants[[#This Row],[EarnWg2Qae]]=1,IFERROR(tblParticipants[[#This Row],[HoursPerWk2Qae]]*tblParticipants[[#This Row],[HrlyWg2Qae]]*13,0),0)</f>
        <v>0</v>
      </c>
      <c r="CC133" s="11">
        <f>IF(tblParticipants[[#This Row],[EarnWg3Qae]]=1,IFERROR(tblParticipants[[#This Row],[HoursPerWk3Qae]]*tblParticipants[[#This Row],[HrlyWg3Qae]]*13,0),0)</f>
        <v>0</v>
      </c>
      <c r="CD133" s="9">
        <f>IFERROR(IF(SUM(tblParticipants[[#This Row],[EarnWg1Qae]],tblParticipants[[#This Row],[EarnWg2Qae]],tblParticipants[[#This Row],[EarnWg3Qae]])=3,1,0),0)</f>
        <v>0</v>
      </c>
      <c r="CE133" s="12">
        <f>IF(tblParticipants[[#This Row],[EmplAll3Qae]]=1,tblParticipants[[#This Row],[Earnings2Qae]]+tblParticipants[[#This Row],[Earnings3Qae]],0)</f>
        <v>0</v>
      </c>
      <c r="CF133" s="407"/>
    </row>
    <row r="134" spans="1:84" x14ac:dyDescent="0.3">
      <c r="A134" s="19"/>
      <c r="B134" s="19"/>
      <c r="C134" s="20"/>
      <c r="D134" s="20"/>
      <c r="E134" s="26"/>
      <c r="F134" s="26"/>
      <c r="G134" s="26"/>
      <c r="H134" s="26"/>
      <c r="I134" s="26"/>
      <c r="J134" s="26"/>
      <c r="K134" s="26"/>
      <c r="L134" s="26"/>
      <c r="M134" s="20"/>
      <c r="N134" s="26"/>
      <c r="O134" s="22"/>
      <c r="P134" s="21"/>
      <c r="Q134" s="23"/>
      <c r="R134" s="21"/>
      <c r="S134" s="21"/>
      <c r="T134" s="21"/>
      <c r="U134" s="21"/>
      <c r="V134" s="21"/>
      <c r="W134" s="24"/>
      <c r="X134" s="20"/>
      <c r="Y134" s="20"/>
      <c r="Z134" s="21"/>
      <c r="AA134" s="21"/>
      <c r="AB134" s="21"/>
      <c r="AC134" s="21"/>
      <c r="AD134" s="21"/>
      <c r="AE134" s="21"/>
      <c r="AF134" s="21"/>
      <c r="AG134" s="21"/>
      <c r="AH134" s="21"/>
      <c r="AI134" s="25"/>
      <c r="AJ134" s="20"/>
      <c r="AK134" s="21"/>
      <c r="AL134" s="20"/>
      <c r="AM134" s="20"/>
      <c r="AN134" s="20"/>
      <c r="AO134" s="20"/>
      <c r="AP134" s="446"/>
      <c r="AQ134" s="20"/>
      <c r="AR134" s="20"/>
      <c r="AS134" s="20"/>
      <c r="AT134" s="20"/>
      <c r="AU134" s="26"/>
      <c r="AV134" s="98"/>
      <c r="AW134" s="98"/>
      <c r="AX134" s="98"/>
      <c r="AY134" s="98"/>
      <c r="AZ134" s="98"/>
      <c r="BA134" s="217"/>
      <c r="BB134" s="98"/>
      <c r="BC134" s="98"/>
      <c r="BD134" s="98"/>
      <c r="BE134" s="98"/>
      <c r="BF134" s="98"/>
      <c r="BG134" s="219"/>
      <c r="BH134" s="219"/>
      <c r="BI134" s="219"/>
      <c r="BJ134" s="26"/>
      <c r="BK134" s="21"/>
      <c r="BL134" s="21"/>
      <c r="BM134" s="22"/>
      <c r="BN134" s="21"/>
      <c r="BO134" s="21"/>
      <c r="BP134" s="22"/>
      <c r="BQ134" s="21"/>
      <c r="BR134" s="21"/>
      <c r="BS134" s="22"/>
      <c r="BT13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34" s="109" t="str">
        <f>IF(ISNUMBER(tblParticipants[[#This Row],[SvcStartDate]]),IF(AND(tblParticipants[[#This Row],[EnrollQtr]]=1,tblParticipants[[#This Row],[SvcStartDate]]&lt;DATE(conProgYear,7,1)),1,""),"")</f>
        <v/>
      </c>
      <c r="BV13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34" s="232" t="str">
        <f t="shared" ca="1" si="2"/>
        <v/>
      </c>
      <c r="BX134" s="9">
        <f>IF(SUM(IF(tblParticipants[[#This Row],[AmIndOrAkNtv]]=1,1,0),IF(tblParticipants[[#This Row],[Asian]]=1,1,0),IF(tblParticipants[[#This Row],[BlkOrAfAmer]]=1,1,0),IF(tblParticipants[[#This Row],[NtvHawOrPacIsl]]=1,1,0),IF(tblParticipants[[#This Row],[White]]=1,1,0))&gt;1,1,0)</f>
        <v>0</v>
      </c>
      <c r="BY13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3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3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34" s="11">
        <f>IF(tblParticipants[[#This Row],[EarnWg2Qae]]=1,IFERROR(tblParticipants[[#This Row],[HoursPerWk2Qae]]*tblParticipants[[#This Row],[HrlyWg2Qae]]*13,0),0)</f>
        <v>0</v>
      </c>
      <c r="CC134" s="11">
        <f>IF(tblParticipants[[#This Row],[EarnWg3Qae]]=1,IFERROR(tblParticipants[[#This Row],[HoursPerWk3Qae]]*tblParticipants[[#This Row],[HrlyWg3Qae]]*13,0),0)</f>
        <v>0</v>
      </c>
      <c r="CD134" s="9">
        <f>IFERROR(IF(SUM(tblParticipants[[#This Row],[EarnWg1Qae]],tblParticipants[[#This Row],[EarnWg2Qae]],tblParticipants[[#This Row],[EarnWg3Qae]])=3,1,0),0)</f>
        <v>0</v>
      </c>
      <c r="CE134" s="12">
        <f>IF(tblParticipants[[#This Row],[EmplAll3Qae]]=1,tblParticipants[[#This Row],[Earnings2Qae]]+tblParticipants[[#This Row],[Earnings3Qae]],0)</f>
        <v>0</v>
      </c>
      <c r="CF134" s="407"/>
    </row>
    <row r="135" spans="1:84" x14ac:dyDescent="0.3">
      <c r="A135" s="19"/>
      <c r="B135" s="19"/>
      <c r="C135" s="20"/>
      <c r="D135" s="20"/>
      <c r="E135" s="26"/>
      <c r="F135" s="26"/>
      <c r="G135" s="26"/>
      <c r="H135" s="26"/>
      <c r="I135" s="26"/>
      <c r="J135" s="26"/>
      <c r="K135" s="26"/>
      <c r="L135" s="26"/>
      <c r="M135" s="20"/>
      <c r="N135" s="26"/>
      <c r="O135" s="22"/>
      <c r="P135" s="21"/>
      <c r="Q135" s="23"/>
      <c r="R135" s="21"/>
      <c r="S135" s="21"/>
      <c r="T135" s="21"/>
      <c r="U135" s="21"/>
      <c r="V135" s="21"/>
      <c r="W135" s="24"/>
      <c r="X135" s="20"/>
      <c r="Y135" s="20"/>
      <c r="Z135" s="21"/>
      <c r="AA135" s="21"/>
      <c r="AB135" s="21"/>
      <c r="AC135" s="21"/>
      <c r="AD135" s="21"/>
      <c r="AE135" s="21"/>
      <c r="AF135" s="21"/>
      <c r="AG135" s="21"/>
      <c r="AH135" s="21"/>
      <c r="AI135" s="25"/>
      <c r="AJ135" s="20"/>
      <c r="AK135" s="21"/>
      <c r="AL135" s="20"/>
      <c r="AM135" s="20"/>
      <c r="AN135" s="20"/>
      <c r="AO135" s="20"/>
      <c r="AP135" s="446"/>
      <c r="AQ135" s="20"/>
      <c r="AR135" s="20"/>
      <c r="AS135" s="20"/>
      <c r="AT135" s="20"/>
      <c r="AU135" s="26"/>
      <c r="AV135" s="98"/>
      <c r="AW135" s="98"/>
      <c r="AX135" s="98"/>
      <c r="AY135" s="98"/>
      <c r="AZ135" s="98"/>
      <c r="BA135" s="217"/>
      <c r="BB135" s="98"/>
      <c r="BC135" s="98"/>
      <c r="BD135" s="98"/>
      <c r="BE135" s="98"/>
      <c r="BF135" s="98"/>
      <c r="BG135" s="219"/>
      <c r="BH135" s="219"/>
      <c r="BI135" s="219"/>
      <c r="BJ135" s="26"/>
      <c r="BK135" s="21"/>
      <c r="BL135" s="21"/>
      <c r="BM135" s="22"/>
      <c r="BN135" s="21"/>
      <c r="BO135" s="21"/>
      <c r="BP135" s="22"/>
      <c r="BQ135" s="21"/>
      <c r="BR135" s="21"/>
      <c r="BS135" s="22"/>
      <c r="BT13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35" s="109" t="str">
        <f>IF(ISNUMBER(tblParticipants[[#This Row],[SvcStartDate]]),IF(AND(tblParticipants[[#This Row],[EnrollQtr]]=1,tblParticipants[[#This Row],[SvcStartDate]]&lt;DATE(conProgYear,7,1)),1,""),"")</f>
        <v/>
      </c>
      <c r="BV13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35" s="232" t="str">
        <f t="shared" ca="1" si="2"/>
        <v/>
      </c>
      <c r="BX135" s="9">
        <f>IF(SUM(IF(tblParticipants[[#This Row],[AmIndOrAkNtv]]=1,1,0),IF(tblParticipants[[#This Row],[Asian]]=1,1,0),IF(tblParticipants[[#This Row],[BlkOrAfAmer]]=1,1,0),IF(tblParticipants[[#This Row],[NtvHawOrPacIsl]]=1,1,0),IF(tblParticipants[[#This Row],[White]]=1,1,0))&gt;1,1,0)</f>
        <v>0</v>
      </c>
      <c r="BY13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3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3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35" s="11">
        <f>IF(tblParticipants[[#This Row],[EarnWg2Qae]]=1,IFERROR(tblParticipants[[#This Row],[HoursPerWk2Qae]]*tblParticipants[[#This Row],[HrlyWg2Qae]]*13,0),0)</f>
        <v>0</v>
      </c>
      <c r="CC135" s="11">
        <f>IF(tblParticipants[[#This Row],[EarnWg3Qae]]=1,IFERROR(tblParticipants[[#This Row],[HoursPerWk3Qae]]*tblParticipants[[#This Row],[HrlyWg3Qae]]*13,0),0)</f>
        <v>0</v>
      </c>
      <c r="CD135" s="9">
        <f>IFERROR(IF(SUM(tblParticipants[[#This Row],[EarnWg1Qae]],tblParticipants[[#This Row],[EarnWg2Qae]],tblParticipants[[#This Row],[EarnWg3Qae]])=3,1,0),0)</f>
        <v>0</v>
      </c>
      <c r="CE135" s="12">
        <f>IF(tblParticipants[[#This Row],[EmplAll3Qae]]=1,tblParticipants[[#This Row],[Earnings2Qae]]+tblParticipants[[#This Row],[Earnings3Qae]],0)</f>
        <v>0</v>
      </c>
      <c r="CF135" s="407"/>
    </row>
    <row r="136" spans="1:84" x14ac:dyDescent="0.3">
      <c r="A136" s="19"/>
      <c r="B136" s="19"/>
      <c r="C136" s="20"/>
      <c r="D136" s="20"/>
      <c r="E136" s="26"/>
      <c r="F136" s="26"/>
      <c r="G136" s="26"/>
      <c r="H136" s="26"/>
      <c r="I136" s="26"/>
      <c r="J136" s="26"/>
      <c r="K136" s="26"/>
      <c r="L136" s="26"/>
      <c r="M136" s="20"/>
      <c r="N136" s="26"/>
      <c r="O136" s="22"/>
      <c r="P136" s="21"/>
      <c r="Q136" s="23"/>
      <c r="R136" s="21"/>
      <c r="S136" s="21"/>
      <c r="T136" s="21"/>
      <c r="U136" s="21"/>
      <c r="V136" s="21"/>
      <c r="W136" s="24"/>
      <c r="X136" s="20"/>
      <c r="Y136" s="20"/>
      <c r="Z136" s="21"/>
      <c r="AA136" s="21"/>
      <c r="AB136" s="21"/>
      <c r="AC136" s="21"/>
      <c r="AD136" s="21"/>
      <c r="AE136" s="21"/>
      <c r="AF136" s="21"/>
      <c r="AG136" s="21"/>
      <c r="AH136" s="21"/>
      <c r="AI136" s="25"/>
      <c r="AJ136" s="20"/>
      <c r="AK136" s="21"/>
      <c r="AL136" s="20"/>
      <c r="AM136" s="20"/>
      <c r="AN136" s="20"/>
      <c r="AO136" s="20"/>
      <c r="AP136" s="446"/>
      <c r="AQ136" s="20"/>
      <c r="AR136" s="20"/>
      <c r="AS136" s="20"/>
      <c r="AT136" s="20"/>
      <c r="AU136" s="26"/>
      <c r="AV136" s="98"/>
      <c r="AW136" s="98"/>
      <c r="AX136" s="98"/>
      <c r="AY136" s="98"/>
      <c r="AZ136" s="98"/>
      <c r="BA136" s="217"/>
      <c r="BB136" s="98"/>
      <c r="BC136" s="98"/>
      <c r="BD136" s="98"/>
      <c r="BE136" s="98"/>
      <c r="BF136" s="98"/>
      <c r="BG136" s="219"/>
      <c r="BH136" s="219"/>
      <c r="BI136" s="219"/>
      <c r="BJ136" s="26"/>
      <c r="BK136" s="21"/>
      <c r="BL136" s="21"/>
      <c r="BM136" s="22"/>
      <c r="BN136" s="21"/>
      <c r="BO136" s="21"/>
      <c r="BP136" s="22"/>
      <c r="BQ136" s="21"/>
      <c r="BR136" s="21"/>
      <c r="BS136" s="22"/>
      <c r="BT13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36" s="109" t="str">
        <f>IF(ISNUMBER(tblParticipants[[#This Row],[SvcStartDate]]),IF(AND(tblParticipants[[#This Row],[EnrollQtr]]=1,tblParticipants[[#This Row],[SvcStartDate]]&lt;DATE(conProgYear,7,1)),1,""),"")</f>
        <v/>
      </c>
      <c r="BV13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36" s="232" t="str">
        <f t="shared" ca="1" si="2"/>
        <v/>
      </c>
      <c r="BX136" s="9">
        <f>IF(SUM(IF(tblParticipants[[#This Row],[AmIndOrAkNtv]]=1,1,0),IF(tblParticipants[[#This Row],[Asian]]=1,1,0),IF(tblParticipants[[#This Row],[BlkOrAfAmer]]=1,1,0),IF(tblParticipants[[#This Row],[NtvHawOrPacIsl]]=1,1,0),IF(tblParticipants[[#This Row],[White]]=1,1,0))&gt;1,1,0)</f>
        <v>0</v>
      </c>
      <c r="BY13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3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3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36" s="11">
        <f>IF(tblParticipants[[#This Row],[EarnWg2Qae]]=1,IFERROR(tblParticipants[[#This Row],[HoursPerWk2Qae]]*tblParticipants[[#This Row],[HrlyWg2Qae]]*13,0),0)</f>
        <v>0</v>
      </c>
      <c r="CC136" s="11">
        <f>IF(tblParticipants[[#This Row],[EarnWg3Qae]]=1,IFERROR(tblParticipants[[#This Row],[HoursPerWk3Qae]]*tblParticipants[[#This Row],[HrlyWg3Qae]]*13,0),0)</f>
        <v>0</v>
      </c>
      <c r="CD136" s="9">
        <f>IFERROR(IF(SUM(tblParticipants[[#This Row],[EarnWg1Qae]],tblParticipants[[#This Row],[EarnWg2Qae]],tblParticipants[[#This Row],[EarnWg3Qae]])=3,1,0),0)</f>
        <v>0</v>
      </c>
      <c r="CE136" s="12">
        <f>IF(tblParticipants[[#This Row],[EmplAll3Qae]]=1,tblParticipants[[#This Row],[Earnings2Qae]]+tblParticipants[[#This Row],[Earnings3Qae]],0)</f>
        <v>0</v>
      </c>
      <c r="CF136" s="407"/>
    </row>
    <row r="137" spans="1:84" x14ac:dyDescent="0.3">
      <c r="A137" s="19"/>
      <c r="B137" s="19"/>
      <c r="C137" s="20"/>
      <c r="D137" s="20"/>
      <c r="E137" s="26"/>
      <c r="F137" s="26"/>
      <c r="G137" s="26"/>
      <c r="H137" s="26"/>
      <c r="I137" s="26"/>
      <c r="J137" s="26"/>
      <c r="K137" s="26"/>
      <c r="L137" s="26"/>
      <c r="M137" s="20"/>
      <c r="N137" s="26"/>
      <c r="O137" s="22"/>
      <c r="P137" s="21"/>
      <c r="Q137" s="23"/>
      <c r="R137" s="21"/>
      <c r="S137" s="21"/>
      <c r="T137" s="21"/>
      <c r="U137" s="21"/>
      <c r="V137" s="21"/>
      <c r="W137" s="24"/>
      <c r="X137" s="20"/>
      <c r="Y137" s="20"/>
      <c r="Z137" s="21"/>
      <c r="AA137" s="21"/>
      <c r="AB137" s="21"/>
      <c r="AC137" s="21"/>
      <c r="AD137" s="21"/>
      <c r="AE137" s="21"/>
      <c r="AF137" s="21"/>
      <c r="AG137" s="21"/>
      <c r="AH137" s="21"/>
      <c r="AI137" s="25"/>
      <c r="AJ137" s="20"/>
      <c r="AK137" s="21"/>
      <c r="AL137" s="20"/>
      <c r="AM137" s="20"/>
      <c r="AN137" s="20"/>
      <c r="AO137" s="20"/>
      <c r="AP137" s="446"/>
      <c r="AQ137" s="20"/>
      <c r="AR137" s="20"/>
      <c r="AS137" s="20"/>
      <c r="AT137" s="20"/>
      <c r="AU137" s="26"/>
      <c r="AV137" s="98"/>
      <c r="AW137" s="98"/>
      <c r="AX137" s="98"/>
      <c r="AY137" s="98"/>
      <c r="AZ137" s="98"/>
      <c r="BA137" s="217"/>
      <c r="BB137" s="98"/>
      <c r="BC137" s="98"/>
      <c r="BD137" s="98"/>
      <c r="BE137" s="98"/>
      <c r="BF137" s="98"/>
      <c r="BG137" s="219"/>
      <c r="BH137" s="219"/>
      <c r="BI137" s="219"/>
      <c r="BJ137" s="26"/>
      <c r="BK137" s="21"/>
      <c r="BL137" s="21"/>
      <c r="BM137" s="22"/>
      <c r="BN137" s="21"/>
      <c r="BO137" s="21"/>
      <c r="BP137" s="22"/>
      <c r="BQ137" s="21"/>
      <c r="BR137" s="21"/>
      <c r="BS137" s="22"/>
      <c r="BT13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37" s="109" t="str">
        <f>IF(ISNUMBER(tblParticipants[[#This Row],[SvcStartDate]]),IF(AND(tblParticipants[[#This Row],[EnrollQtr]]=1,tblParticipants[[#This Row],[SvcStartDate]]&lt;DATE(conProgYear,7,1)),1,""),"")</f>
        <v/>
      </c>
      <c r="BV13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37" s="232" t="str">
        <f t="shared" ca="1" si="2"/>
        <v/>
      </c>
      <c r="BX137" s="9">
        <f>IF(SUM(IF(tblParticipants[[#This Row],[AmIndOrAkNtv]]=1,1,0),IF(tblParticipants[[#This Row],[Asian]]=1,1,0),IF(tblParticipants[[#This Row],[BlkOrAfAmer]]=1,1,0),IF(tblParticipants[[#This Row],[NtvHawOrPacIsl]]=1,1,0),IF(tblParticipants[[#This Row],[White]]=1,1,0))&gt;1,1,0)</f>
        <v>0</v>
      </c>
      <c r="BY13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3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3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37" s="11">
        <f>IF(tblParticipants[[#This Row],[EarnWg2Qae]]=1,IFERROR(tblParticipants[[#This Row],[HoursPerWk2Qae]]*tblParticipants[[#This Row],[HrlyWg2Qae]]*13,0),0)</f>
        <v>0</v>
      </c>
      <c r="CC137" s="11">
        <f>IF(tblParticipants[[#This Row],[EarnWg3Qae]]=1,IFERROR(tblParticipants[[#This Row],[HoursPerWk3Qae]]*tblParticipants[[#This Row],[HrlyWg3Qae]]*13,0),0)</f>
        <v>0</v>
      </c>
      <c r="CD137" s="9">
        <f>IFERROR(IF(SUM(tblParticipants[[#This Row],[EarnWg1Qae]],tblParticipants[[#This Row],[EarnWg2Qae]],tblParticipants[[#This Row],[EarnWg3Qae]])=3,1,0),0)</f>
        <v>0</v>
      </c>
      <c r="CE137" s="12">
        <f>IF(tblParticipants[[#This Row],[EmplAll3Qae]]=1,tblParticipants[[#This Row],[Earnings2Qae]]+tblParticipants[[#This Row],[Earnings3Qae]],0)</f>
        <v>0</v>
      </c>
      <c r="CF137" s="407"/>
    </row>
    <row r="138" spans="1:84" x14ac:dyDescent="0.3">
      <c r="A138" s="19"/>
      <c r="B138" s="19"/>
      <c r="C138" s="20"/>
      <c r="D138" s="20"/>
      <c r="E138" s="26"/>
      <c r="F138" s="26"/>
      <c r="G138" s="26"/>
      <c r="H138" s="26"/>
      <c r="I138" s="26"/>
      <c r="J138" s="26"/>
      <c r="K138" s="26"/>
      <c r="L138" s="26"/>
      <c r="M138" s="20"/>
      <c r="N138" s="26"/>
      <c r="O138" s="22"/>
      <c r="P138" s="21"/>
      <c r="Q138" s="23"/>
      <c r="R138" s="21"/>
      <c r="S138" s="21"/>
      <c r="T138" s="21"/>
      <c r="U138" s="21"/>
      <c r="V138" s="21"/>
      <c r="W138" s="24"/>
      <c r="X138" s="20"/>
      <c r="Y138" s="20"/>
      <c r="Z138" s="21"/>
      <c r="AA138" s="21"/>
      <c r="AB138" s="21"/>
      <c r="AC138" s="21"/>
      <c r="AD138" s="21"/>
      <c r="AE138" s="21"/>
      <c r="AF138" s="21"/>
      <c r="AG138" s="21"/>
      <c r="AH138" s="21"/>
      <c r="AI138" s="25"/>
      <c r="AJ138" s="20"/>
      <c r="AK138" s="21"/>
      <c r="AL138" s="20"/>
      <c r="AM138" s="20"/>
      <c r="AN138" s="20"/>
      <c r="AO138" s="20"/>
      <c r="AP138" s="446"/>
      <c r="AQ138" s="20"/>
      <c r="AR138" s="20"/>
      <c r="AS138" s="20"/>
      <c r="AT138" s="20"/>
      <c r="AU138" s="26"/>
      <c r="AV138" s="98"/>
      <c r="AW138" s="98"/>
      <c r="AX138" s="98"/>
      <c r="AY138" s="98"/>
      <c r="AZ138" s="98"/>
      <c r="BA138" s="217"/>
      <c r="BB138" s="98"/>
      <c r="BC138" s="98"/>
      <c r="BD138" s="98"/>
      <c r="BE138" s="98"/>
      <c r="BF138" s="98"/>
      <c r="BG138" s="219"/>
      <c r="BH138" s="219"/>
      <c r="BI138" s="219"/>
      <c r="BJ138" s="26"/>
      <c r="BK138" s="21"/>
      <c r="BL138" s="21"/>
      <c r="BM138" s="22"/>
      <c r="BN138" s="21"/>
      <c r="BO138" s="21"/>
      <c r="BP138" s="22"/>
      <c r="BQ138" s="21"/>
      <c r="BR138" s="21"/>
      <c r="BS138" s="22"/>
      <c r="BT13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38" s="109" t="str">
        <f>IF(ISNUMBER(tblParticipants[[#This Row],[SvcStartDate]]),IF(AND(tblParticipants[[#This Row],[EnrollQtr]]=1,tblParticipants[[#This Row],[SvcStartDate]]&lt;DATE(conProgYear,7,1)),1,""),"")</f>
        <v/>
      </c>
      <c r="BV13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38" s="232" t="str">
        <f t="shared" ca="1" si="2"/>
        <v/>
      </c>
      <c r="BX138" s="9">
        <f>IF(SUM(IF(tblParticipants[[#This Row],[AmIndOrAkNtv]]=1,1,0),IF(tblParticipants[[#This Row],[Asian]]=1,1,0),IF(tblParticipants[[#This Row],[BlkOrAfAmer]]=1,1,0),IF(tblParticipants[[#This Row],[NtvHawOrPacIsl]]=1,1,0),IF(tblParticipants[[#This Row],[White]]=1,1,0))&gt;1,1,0)</f>
        <v>0</v>
      </c>
      <c r="BY13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3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3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38" s="11">
        <f>IF(tblParticipants[[#This Row],[EarnWg2Qae]]=1,IFERROR(tblParticipants[[#This Row],[HoursPerWk2Qae]]*tblParticipants[[#This Row],[HrlyWg2Qae]]*13,0),0)</f>
        <v>0</v>
      </c>
      <c r="CC138" s="11">
        <f>IF(tblParticipants[[#This Row],[EarnWg3Qae]]=1,IFERROR(tblParticipants[[#This Row],[HoursPerWk3Qae]]*tblParticipants[[#This Row],[HrlyWg3Qae]]*13,0),0)</f>
        <v>0</v>
      </c>
      <c r="CD138" s="9">
        <f>IFERROR(IF(SUM(tblParticipants[[#This Row],[EarnWg1Qae]],tblParticipants[[#This Row],[EarnWg2Qae]],tblParticipants[[#This Row],[EarnWg3Qae]])=3,1,0),0)</f>
        <v>0</v>
      </c>
      <c r="CE138" s="12">
        <f>IF(tblParticipants[[#This Row],[EmplAll3Qae]]=1,tblParticipants[[#This Row],[Earnings2Qae]]+tblParticipants[[#This Row],[Earnings3Qae]],0)</f>
        <v>0</v>
      </c>
      <c r="CF138" s="407"/>
    </row>
    <row r="139" spans="1:84" x14ac:dyDescent="0.3">
      <c r="A139" s="19"/>
      <c r="B139" s="19"/>
      <c r="C139" s="20"/>
      <c r="D139" s="20"/>
      <c r="E139" s="26"/>
      <c r="F139" s="26"/>
      <c r="G139" s="26"/>
      <c r="H139" s="26"/>
      <c r="I139" s="26"/>
      <c r="J139" s="26"/>
      <c r="K139" s="26"/>
      <c r="L139" s="26"/>
      <c r="M139" s="20"/>
      <c r="N139" s="26"/>
      <c r="O139" s="22"/>
      <c r="P139" s="21"/>
      <c r="Q139" s="23"/>
      <c r="R139" s="21"/>
      <c r="S139" s="21"/>
      <c r="T139" s="21"/>
      <c r="U139" s="21"/>
      <c r="V139" s="21"/>
      <c r="W139" s="24"/>
      <c r="X139" s="20"/>
      <c r="Y139" s="20"/>
      <c r="Z139" s="21"/>
      <c r="AA139" s="21"/>
      <c r="AB139" s="21"/>
      <c r="AC139" s="21"/>
      <c r="AD139" s="21"/>
      <c r="AE139" s="21"/>
      <c r="AF139" s="21"/>
      <c r="AG139" s="21"/>
      <c r="AH139" s="21"/>
      <c r="AI139" s="25"/>
      <c r="AJ139" s="20"/>
      <c r="AK139" s="21"/>
      <c r="AL139" s="20"/>
      <c r="AM139" s="20"/>
      <c r="AN139" s="20"/>
      <c r="AO139" s="20"/>
      <c r="AP139" s="446"/>
      <c r="AQ139" s="20"/>
      <c r="AR139" s="20"/>
      <c r="AS139" s="20"/>
      <c r="AT139" s="20"/>
      <c r="AU139" s="26"/>
      <c r="AV139" s="98"/>
      <c r="AW139" s="98"/>
      <c r="AX139" s="98"/>
      <c r="AY139" s="98"/>
      <c r="AZ139" s="98"/>
      <c r="BA139" s="217"/>
      <c r="BB139" s="98"/>
      <c r="BC139" s="98"/>
      <c r="BD139" s="98"/>
      <c r="BE139" s="98"/>
      <c r="BF139" s="98"/>
      <c r="BG139" s="219"/>
      <c r="BH139" s="219"/>
      <c r="BI139" s="219"/>
      <c r="BJ139" s="26"/>
      <c r="BK139" s="21"/>
      <c r="BL139" s="21"/>
      <c r="BM139" s="22"/>
      <c r="BN139" s="21"/>
      <c r="BO139" s="21"/>
      <c r="BP139" s="22"/>
      <c r="BQ139" s="21"/>
      <c r="BR139" s="21"/>
      <c r="BS139" s="22"/>
      <c r="BT13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39" s="109" t="str">
        <f>IF(ISNUMBER(tblParticipants[[#This Row],[SvcStartDate]]),IF(AND(tblParticipants[[#This Row],[EnrollQtr]]=1,tblParticipants[[#This Row],[SvcStartDate]]&lt;DATE(conProgYear,7,1)),1,""),"")</f>
        <v/>
      </c>
      <c r="BV13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39" s="232" t="str">
        <f t="shared" ca="1" si="2"/>
        <v/>
      </c>
      <c r="BX139" s="9">
        <f>IF(SUM(IF(tblParticipants[[#This Row],[AmIndOrAkNtv]]=1,1,0),IF(tblParticipants[[#This Row],[Asian]]=1,1,0),IF(tblParticipants[[#This Row],[BlkOrAfAmer]]=1,1,0),IF(tblParticipants[[#This Row],[NtvHawOrPacIsl]]=1,1,0),IF(tblParticipants[[#This Row],[White]]=1,1,0))&gt;1,1,0)</f>
        <v>0</v>
      </c>
      <c r="BY13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3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3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39" s="11">
        <f>IF(tblParticipants[[#This Row],[EarnWg2Qae]]=1,IFERROR(tblParticipants[[#This Row],[HoursPerWk2Qae]]*tblParticipants[[#This Row],[HrlyWg2Qae]]*13,0),0)</f>
        <v>0</v>
      </c>
      <c r="CC139" s="11">
        <f>IF(tblParticipants[[#This Row],[EarnWg3Qae]]=1,IFERROR(tblParticipants[[#This Row],[HoursPerWk3Qae]]*tblParticipants[[#This Row],[HrlyWg3Qae]]*13,0),0)</f>
        <v>0</v>
      </c>
      <c r="CD139" s="9">
        <f>IFERROR(IF(SUM(tblParticipants[[#This Row],[EarnWg1Qae]],tblParticipants[[#This Row],[EarnWg2Qae]],tblParticipants[[#This Row],[EarnWg3Qae]])=3,1,0),0)</f>
        <v>0</v>
      </c>
      <c r="CE139" s="12">
        <f>IF(tblParticipants[[#This Row],[EmplAll3Qae]]=1,tblParticipants[[#This Row],[Earnings2Qae]]+tblParticipants[[#This Row],[Earnings3Qae]],0)</f>
        <v>0</v>
      </c>
      <c r="CF139" s="407"/>
    </row>
    <row r="140" spans="1:84" x14ac:dyDescent="0.3">
      <c r="A140" s="19"/>
      <c r="B140" s="19"/>
      <c r="C140" s="20"/>
      <c r="D140" s="20"/>
      <c r="E140" s="26"/>
      <c r="F140" s="26"/>
      <c r="G140" s="26"/>
      <c r="H140" s="26"/>
      <c r="I140" s="26"/>
      <c r="J140" s="26"/>
      <c r="K140" s="26"/>
      <c r="L140" s="26"/>
      <c r="M140" s="20"/>
      <c r="N140" s="26"/>
      <c r="O140" s="22"/>
      <c r="P140" s="21"/>
      <c r="Q140" s="23"/>
      <c r="R140" s="21"/>
      <c r="S140" s="21"/>
      <c r="T140" s="21"/>
      <c r="U140" s="21"/>
      <c r="V140" s="21"/>
      <c r="W140" s="24"/>
      <c r="X140" s="20"/>
      <c r="Y140" s="20"/>
      <c r="Z140" s="21"/>
      <c r="AA140" s="21"/>
      <c r="AB140" s="21"/>
      <c r="AC140" s="21"/>
      <c r="AD140" s="21"/>
      <c r="AE140" s="21"/>
      <c r="AF140" s="21"/>
      <c r="AG140" s="21"/>
      <c r="AH140" s="21"/>
      <c r="AI140" s="25"/>
      <c r="AJ140" s="20"/>
      <c r="AK140" s="21"/>
      <c r="AL140" s="20"/>
      <c r="AM140" s="20"/>
      <c r="AN140" s="20"/>
      <c r="AO140" s="20"/>
      <c r="AP140" s="446"/>
      <c r="AQ140" s="20"/>
      <c r="AR140" s="20"/>
      <c r="AS140" s="20"/>
      <c r="AT140" s="20"/>
      <c r="AU140" s="26"/>
      <c r="AV140" s="98"/>
      <c r="AW140" s="98"/>
      <c r="AX140" s="98"/>
      <c r="AY140" s="98"/>
      <c r="AZ140" s="98"/>
      <c r="BA140" s="217"/>
      <c r="BB140" s="98"/>
      <c r="BC140" s="98"/>
      <c r="BD140" s="98"/>
      <c r="BE140" s="98"/>
      <c r="BF140" s="98"/>
      <c r="BG140" s="219"/>
      <c r="BH140" s="219"/>
      <c r="BI140" s="219"/>
      <c r="BJ140" s="26"/>
      <c r="BK140" s="21"/>
      <c r="BL140" s="21"/>
      <c r="BM140" s="22"/>
      <c r="BN140" s="21"/>
      <c r="BO140" s="21"/>
      <c r="BP140" s="22"/>
      <c r="BQ140" s="21"/>
      <c r="BR140" s="21"/>
      <c r="BS140" s="22"/>
      <c r="BT14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40" s="109" t="str">
        <f>IF(ISNUMBER(tblParticipants[[#This Row],[SvcStartDate]]),IF(AND(tblParticipants[[#This Row],[EnrollQtr]]=1,tblParticipants[[#This Row],[SvcStartDate]]&lt;DATE(conProgYear,7,1)),1,""),"")</f>
        <v/>
      </c>
      <c r="BV14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40" s="232" t="str">
        <f t="shared" ca="1" si="2"/>
        <v/>
      </c>
      <c r="BX140" s="9">
        <f>IF(SUM(IF(tblParticipants[[#This Row],[AmIndOrAkNtv]]=1,1,0),IF(tblParticipants[[#This Row],[Asian]]=1,1,0),IF(tblParticipants[[#This Row],[BlkOrAfAmer]]=1,1,0),IF(tblParticipants[[#This Row],[NtvHawOrPacIsl]]=1,1,0),IF(tblParticipants[[#This Row],[White]]=1,1,0))&gt;1,1,0)</f>
        <v>0</v>
      </c>
      <c r="BY14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4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4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40" s="11">
        <f>IF(tblParticipants[[#This Row],[EarnWg2Qae]]=1,IFERROR(tblParticipants[[#This Row],[HoursPerWk2Qae]]*tblParticipants[[#This Row],[HrlyWg2Qae]]*13,0),0)</f>
        <v>0</v>
      </c>
      <c r="CC140" s="11">
        <f>IF(tblParticipants[[#This Row],[EarnWg3Qae]]=1,IFERROR(tblParticipants[[#This Row],[HoursPerWk3Qae]]*tblParticipants[[#This Row],[HrlyWg3Qae]]*13,0),0)</f>
        <v>0</v>
      </c>
      <c r="CD140" s="9">
        <f>IFERROR(IF(SUM(tblParticipants[[#This Row],[EarnWg1Qae]],tblParticipants[[#This Row],[EarnWg2Qae]],tblParticipants[[#This Row],[EarnWg3Qae]])=3,1,0),0)</f>
        <v>0</v>
      </c>
      <c r="CE140" s="12">
        <f>IF(tblParticipants[[#This Row],[EmplAll3Qae]]=1,tblParticipants[[#This Row],[Earnings2Qae]]+tblParticipants[[#This Row],[Earnings3Qae]],0)</f>
        <v>0</v>
      </c>
      <c r="CF140" s="407"/>
    </row>
    <row r="141" spans="1:84" x14ac:dyDescent="0.3">
      <c r="A141" s="19"/>
      <c r="B141" s="19"/>
      <c r="C141" s="20"/>
      <c r="D141" s="20"/>
      <c r="E141" s="26"/>
      <c r="F141" s="26"/>
      <c r="G141" s="26"/>
      <c r="H141" s="26"/>
      <c r="I141" s="26"/>
      <c r="J141" s="26"/>
      <c r="K141" s="26"/>
      <c r="L141" s="26"/>
      <c r="M141" s="20"/>
      <c r="N141" s="26"/>
      <c r="O141" s="22"/>
      <c r="P141" s="21"/>
      <c r="Q141" s="23"/>
      <c r="R141" s="21"/>
      <c r="S141" s="21"/>
      <c r="T141" s="21"/>
      <c r="U141" s="21"/>
      <c r="V141" s="21"/>
      <c r="W141" s="24"/>
      <c r="X141" s="20"/>
      <c r="Y141" s="20"/>
      <c r="Z141" s="21"/>
      <c r="AA141" s="21"/>
      <c r="AB141" s="21"/>
      <c r="AC141" s="21"/>
      <c r="AD141" s="21"/>
      <c r="AE141" s="21"/>
      <c r="AF141" s="21"/>
      <c r="AG141" s="21"/>
      <c r="AH141" s="21"/>
      <c r="AI141" s="25"/>
      <c r="AJ141" s="20"/>
      <c r="AK141" s="21"/>
      <c r="AL141" s="20"/>
      <c r="AM141" s="20"/>
      <c r="AN141" s="20"/>
      <c r="AO141" s="20"/>
      <c r="AP141" s="446"/>
      <c r="AQ141" s="20"/>
      <c r="AR141" s="20"/>
      <c r="AS141" s="20"/>
      <c r="AT141" s="20"/>
      <c r="AU141" s="26"/>
      <c r="AV141" s="98"/>
      <c r="AW141" s="98"/>
      <c r="AX141" s="98"/>
      <c r="AY141" s="98"/>
      <c r="AZ141" s="98"/>
      <c r="BA141" s="217"/>
      <c r="BB141" s="98"/>
      <c r="BC141" s="98"/>
      <c r="BD141" s="98"/>
      <c r="BE141" s="98"/>
      <c r="BF141" s="98"/>
      <c r="BG141" s="219"/>
      <c r="BH141" s="219"/>
      <c r="BI141" s="219"/>
      <c r="BJ141" s="26"/>
      <c r="BK141" s="21"/>
      <c r="BL141" s="21"/>
      <c r="BM141" s="22"/>
      <c r="BN141" s="21"/>
      <c r="BO141" s="21"/>
      <c r="BP141" s="22"/>
      <c r="BQ141" s="21"/>
      <c r="BR141" s="21"/>
      <c r="BS141" s="22"/>
      <c r="BT14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41" s="109" t="str">
        <f>IF(ISNUMBER(tblParticipants[[#This Row],[SvcStartDate]]),IF(AND(tblParticipants[[#This Row],[EnrollQtr]]=1,tblParticipants[[#This Row],[SvcStartDate]]&lt;DATE(conProgYear,7,1)),1,""),"")</f>
        <v/>
      </c>
      <c r="BV14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41" s="232" t="str">
        <f t="shared" ca="1" si="2"/>
        <v/>
      </c>
      <c r="BX141" s="9">
        <f>IF(SUM(IF(tblParticipants[[#This Row],[AmIndOrAkNtv]]=1,1,0),IF(tblParticipants[[#This Row],[Asian]]=1,1,0),IF(tblParticipants[[#This Row],[BlkOrAfAmer]]=1,1,0),IF(tblParticipants[[#This Row],[NtvHawOrPacIsl]]=1,1,0),IF(tblParticipants[[#This Row],[White]]=1,1,0))&gt;1,1,0)</f>
        <v>0</v>
      </c>
      <c r="BY14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4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4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41" s="11">
        <f>IF(tblParticipants[[#This Row],[EarnWg2Qae]]=1,IFERROR(tblParticipants[[#This Row],[HoursPerWk2Qae]]*tblParticipants[[#This Row],[HrlyWg2Qae]]*13,0),0)</f>
        <v>0</v>
      </c>
      <c r="CC141" s="11">
        <f>IF(tblParticipants[[#This Row],[EarnWg3Qae]]=1,IFERROR(tblParticipants[[#This Row],[HoursPerWk3Qae]]*tblParticipants[[#This Row],[HrlyWg3Qae]]*13,0),0)</f>
        <v>0</v>
      </c>
      <c r="CD141" s="9">
        <f>IFERROR(IF(SUM(tblParticipants[[#This Row],[EarnWg1Qae]],tblParticipants[[#This Row],[EarnWg2Qae]],tblParticipants[[#This Row],[EarnWg3Qae]])=3,1,0),0)</f>
        <v>0</v>
      </c>
      <c r="CE141" s="12">
        <f>IF(tblParticipants[[#This Row],[EmplAll3Qae]]=1,tblParticipants[[#This Row],[Earnings2Qae]]+tblParticipants[[#This Row],[Earnings3Qae]],0)</f>
        <v>0</v>
      </c>
      <c r="CF141" s="407"/>
    </row>
    <row r="142" spans="1:84" x14ac:dyDescent="0.3">
      <c r="A142" s="19"/>
      <c r="B142" s="19"/>
      <c r="C142" s="20"/>
      <c r="D142" s="20"/>
      <c r="E142" s="26"/>
      <c r="F142" s="26"/>
      <c r="G142" s="26"/>
      <c r="H142" s="26"/>
      <c r="I142" s="26"/>
      <c r="J142" s="26"/>
      <c r="K142" s="26"/>
      <c r="L142" s="26"/>
      <c r="M142" s="20"/>
      <c r="N142" s="26"/>
      <c r="O142" s="22"/>
      <c r="P142" s="21"/>
      <c r="Q142" s="23"/>
      <c r="R142" s="21"/>
      <c r="S142" s="21"/>
      <c r="T142" s="21"/>
      <c r="U142" s="21"/>
      <c r="V142" s="21"/>
      <c r="W142" s="24"/>
      <c r="X142" s="20"/>
      <c r="Y142" s="20"/>
      <c r="Z142" s="21"/>
      <c r="AA142" s="21"/>
      <c r="AB142" s="21"/>
      <c r="AC142" s="21"/>
      <c r="AD142" s="21"/>
      <c r="AE142" s="21"/>
      <c r="AF142" s="21"/>
      <c r="AG142" s="21"/>
      <c r="AH142" s="21"/>
      <c r="AI142" s="25"/>
      <c r="AJ142" s="20"/>
      <c r="AK142" s="21"/>
      <c r="AL142" s="20"/>
      <c r="AM142" s="20"/>
      <c r="AN142" s="20"/>
      <c r="AO142" s="20"/>
      <c r="AP142" s="446"/>
      <c r="AQ142" s="20"/>
      <c r="AR142" s="20"/>
      <c r="AS142" s="20"/>
      <c r="AT142" s="20"/>
      <c r="AU142" s="26"/>
      <c r="AV142" s="98"/>
      <c r="AW142" s="98"/>
      <c r="AX142" s="98"/>
      <c r="AY142" s="98"/>
      <c r="AZ142" s="98"/>
      <c r="BA142" s="217"/>
      <c r="BB142" s="98"/>
      <c r="BC142" s="98"/>
      <c r="BD142" s="98"/>
      <c r="BE142" s="98"/>
      <c r="BF142" s="98"/>
      <c r="BG142" s="219"/>
      <c r="BH142" s="219"/>
      <c r="BI142" s="219"/>
      <c r="BJ142" s="26"/>
      <c r="BK142" s="21"/>
      <c r="BL142" s="21"/>
      <c r="BM142" s="22"/>
      <c r="BN142" s="21"/>
      <c r="BO142" s="21"/>
      <c r="BP142" s="22"/>
      <c r="BQ142" s="21"/>
      <c r="BR142" s="21"/>
      <c r="BS142" s="22"/>
      <c r="BT14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42" s="109" t="str">
        <f>IF(ISNUMBER(tblParticipants[[#This Row],[SvcStartDate]]),IF(AND(tblParticipants[[#This Row],[EnrollQtr]]=1,tblParticipants[[#This Row],[SvcStartDate]]&lt;DATE(conProgYear,7,1)),1,""),"")</f>
        <v/>
      </c>
      <c r="BV14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42" s="232" t="str">
        <f t="shared" ca="1" si="2"/>
        <v/>
      </c>
      <c r="BX142" s="9">
        <f>IF(SUM(IF(tblParticipants[[#This Row],[AmIndOrAkNtv]]=1,1,0),IF(tblParticipants[[#This Row],[Asian]]=1,1,0),IF(tblParticipants[[#This Row],[BlkOrAfAmer]]=1,1,0),IF(tblParticipants[[#This Row],[NtvHawOrPacIsl]]=1,1,0),IF(tblParticipants[[#This Row],[White]]=1,1,0))&gt;1,1,0)</f>
        <v>0</v>
      </c>
      <c r="BY14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4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4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42" s="11">
        <f>IF(tblParticipants[[#This Row],[EarnWg2Qae]]=1,IFERROR(tblParticipants[[#This Row],[HoursPerWk2Qae]]*tblParticipants[[#This Row],[HrlyWg2Qae]]*13,0),0)</f>
        <v>0</v>
      </c>
      <c r="CC142" s="11">
        <f>IF(tblParticipants[[#This Row],[EarnWg3Qae]]=1,IFERROR(tblParticipants[[#This Row],[HoursPerWk3Qae]]*tblParticipants[[#This Row],[HrlyWg3Qae]]*13,0),0)</f>
        <v>0</v>
      </c>
      <c r="CD142" s="9">
        <f>IFERROR(IF(SUM(tblParticipants[[#This Row],[EarnWg1Qae]],tblParticipants[[#This Row],[EarnWg2Qae]],tblParticipants[[#This Row],[EarnWg3Qae]])=3,1,0),0)</f>
        <v>0</v>
      </c>
      <c r="CE142" s="12">
        <f>IF(tblParticipants[[#This Row],[EmplAll3Qae]]=1,tblParticipants[[#This Row],[Earnings2Qae]]+tblParticipants[[#This Row],[Earnings3Qae]],0)</f>
        <v>0</v>
      </c>
      <c r="CF142" s="407"/>
    </row>
    <row r="143" spans="1:84" x14ac:dyDescent="0.3">
      <c r="A143" s="19"/>
      <c r="B143" s="19"/>
      <c r="C143" s="20"/>
      <c r="D143" s="20"/>
      <c r="E143" s="26"/>
      <c r="F143" s="26"/>
      <c r="G143" s="26"/>
      <c r="H143" s="26"/>
      <c r="I143" s="26"/>
      <c r="J143" s="26"/>
      <c r="K143" s="26"/>
      <c r="L143" s="26"/>
      <c r="M143" s="20"/>
      <c r="N143" s="26"/>
      <c r="O143" s="22"/>
      <c r="P143" s="21"/>
      <c r="Q143" s="23"/>
      <c r="R143" s="21"/>
      <c r="S143" s="21"/>
      <c r="T143" s="21"/>
      <c r="U143" s="21"/>
      <c r="V143" s="21"/>
      <c r="W143" s="24"/>
      <c r="X143" s="20"/>
      <c r="Y143" s="20"/>
      <c r="Z143" s="21"/>
      <c r="AA143" s="21"/>
      <c r="AB143" s="21"/>
      <c r="AC143" s="21"/>
      <c r="AD143" s="21"/>
      <c r="AE143" s="21"/>
      <c r="AF143" s="21"/>
      <c r="AG143" s="21"/>
      <c r="AH143" s="21"/>
      <c r="AI143" s="25"/>
      <c r="AJ143" s="20"/>
      <c r="AK143" s="21"/>
      <c r="AL143" s="20"/>
      <c r="AM143" s="20"/>
      <c r="AN143" s="20"/>
      <c r="AO143" s="20"/>
      <c r="AP143" s="446"/>
      <c r="AQ143" s="20"/>
      <c r="AR143" s="20"/>
      <c r="AS143" s="20"/>
      <c r="AT143" s="20"/>
      <c r="AU143" s="26"/>
      <c r="AV143" s="98"/>
      <c r="AW143" s="98"/>
      <c r="AX143" s="98"/>
      <c r="AY143" s="98"/>
      <c r="AZ143" s="98"/>
      <c r="BA143" s="217"/>
      <c r="BB143" s="98"/>
      <c r="BC143" s="98"/>
      <c r="BD143" s="98"/>
      <c r="BE143" s="98"/>
      <c r="BF143" s="98"/>
      <c r="BG143" s="219"/>
      <c r="BH143" s="219"/>
      <c r="BI143" s="219"/>
      <c r="BJ143" s="26"/>
      <c r="BK143" s="21"/>
      <c r="BL143" s="21"/>
      <c r="BM143" s="22"/>
      <c r="BN143" s="21"/>
      <c r="BO143" s="21"/>
      <c r="BP143" s="22"/>
      <c r="BQ143" s="21"/>
      <c r="BR143" s="21"/>
      <c r="BS143" s="22"/>
      <c r="BT14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43" s="109" t="str">
        <f>IF(ISNUMBER(tblParticipants[[#This Row],[SvcStartDate]]),IF(AND(tblParticipants[[#This Row],[EnrollQtr]]=1,tblParticipants[[#This Row],[SvcStartDate]]&lt;DATE(conProgYear,7,1)),1,""),"")</f>
        <v/>
      </c>
      <c r="BV14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43" s="232" t="str">
        <f t="shared" ca="1" si="2"/>
        <v/>
      </c>
      <c r="BX143" s="9">
        <f>IF(SUM(IF(tblParticipants[[#This Row],[AmIndOrAkNtv]]=1,1,0),IF(tblParticipants[[#This Row],[Asian]]=1,1,0),IF(tblParticipants[[#This Row],[BlkOrAfAmer]]=1,1,0),IF(tblParticipants[[#This Row],[NtvHawOrPacIsl]]=1,1,0),IF(tblParticipants[[#This Row],[White]]=1,1,0))&gt;1,1,0)</f>
        <v>0</v>
      </c>
      <c r="BY14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4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4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43" s="11">
        <f>IF(tblParticipants[[#This Row],[EarnWg2Qae]]=1,IFERROR(tblParticipants[[#This Row],[HoursPerWk2Qae]]*tblParticipants[[#This Row],[HrlyWg2Qae]]*13,0),0)</f>
        <v>0</v>
      </c>
      <c r="CC143" s="11">
        <f>IF(tblParticipants[[#This Row],[EarnWg3Qae]]=1,IFERROR(tblParticipants[[#This Row],[HoursPerWk3Qae]]*tblParticipants[[#This Row],[HrlyWg3Qae]]*13,0),0)</f>
        <v>0</v>
      </c>
      <c r="CD143" s="9">
        <f>IFERROR(IF(SUM(tblParticipants[[#This Row],[EarnWg1Qae]],tblParticipants[[#This Row],[EarnWg2Qae]],tblParticipants[[#This Row],[EarnWg3Qae]])=3,1,0),0)</f>
        <v>0</v>
      </c>
      <c r="CE143" s="12">
        <f>IF(tblParticipants[[#This Row],[EmplAll3Qae]]=1,tblParticipants[[#This Row],[Earnings2Qae]]+tblParticipants[[#This Row],[Earnings3Qae]],0)</f>
        <v>0</v>
      </c>
      <c r="CF143" s="407"/>
    </row>
    <row r="144" spans="1:84" x14ac:dyDescent="0.3">
      <c r="A144" s="19"/>
      <c r="B144" s="19"/>
      <c r="C144" s="20"/>
      <c r="D144" s="20"/>
      <c r="E144" s="26"/>
      <c r="F144" s="26"/>
      <c r="G144" s="26"/>
      <c r="H144" s="26"/>
      <c r="I144" s="26"/>
      <c r="J144" s="26"/>
      <c r="K144" s="26"/>
      <c r="L144" s="26"/>
      <c r="M144" s="20"/>
      <c r="N144" s="26"/>
      <c r="O144" s="22"/>
      <c r="P144" s="21"/>
      <c r="Q144" s="23"/>
      <c r="R144" s="21"/>
      <c r="S144" s="21"/>
      <c r="T144" s="21"/>
      <c r="U144" s="21"/>
      <c r="V144" s="21"/>
      <c r="W144" s="24"/>
      <c r="X144" s="20"/>
      <c r="Y144" s="20"/>
      <c r="Z144" s="21"/>
      <c r="AA144" s="21"/>
      <c r="AB144" s="21"/>
      <c r="AC144" s="21"/>
      <c r="AD144" s="21"/>
      <c r="AE144" s="21"/>
      <c r="AF144" s="21"/>
      <c r="AG144" s="21"/>
      <c r="AH144" s="21"/>
      <c r="AI144" s="25"/>
      <c r="AJ144" s="20"/>
      <c r="AK144" s="21"/>
      <c r="AL144" s="20"/>
      <c r="AM144" s="20"/>
      <c r="AN144" s="20"/>
      <c r="AO144" s="20"/>
      <c r="AP144" s="446"/>
      <c r="AQ144" s="20"/>
      <c r="AR144" s="20"/>
      <c r="AS144" s="20"/>
      <c r="AT144" s="20"/>
      <c r="AU144" s="26"/>
      <c r="AV144" s="98"/>
      <c r="AW144" s="98"/>
      <c r="AX144" s="98"/>
      <c r="AY144" s="98"/>
      <c r="AZ144" s="98"/>
      <c r="BA144" s="217"/>
      <c r="BB144" s="98"/>
      <c r="BC144" s="98"/>
      <c r="BD144" s="98"/>
      <c r="BE144" s="98"/>
      <c r="BF144" s="98"/>
      <c r="BG144" s="219"/>
      <c r="BH144" s="219"/>
      <c r="BI144" s="219"/>
      <c r="BJ144" s="26"/>
      <c r="BK144" s="21"/>
      <c r="BL144" s="21"/>
      <c r="BM144" s="22"/>
      <c r="BN144" s="21"/>
      <c r="BO144" s="21"/>
      <c r="BP144" s="22"/>
      <c r="BQ144" s="21"/>
      <c r="BR144" s="21"/>
      <c r="BS144" s="22"/>
      <c r="BT14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44" s="109" t="str">
        <f>IF(ISNUMBER(tblParticipants[[#This Row],[SvcStartDate]]),IF(AND(tblParticipants[[#This Row],[EnrollQtr]]=1,tblParticipants[[#This Row],[SvcStartDate]]&lt;DATE(conProgYear,7,1)),1,""),"")</f>
        <v/>
      </c>
      <c r="BV14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44" s="232" t="str">
        <f t="shared" ca="1" si="2"/>
        <v/>
      </c>
      <c r="BX144" s="9">
        <f>IF(SUM(IF(tblParticipants[[#This Row],[AmIndOrAkNtv]]=1,1,0),IF(tblParticipants[[#This Row],[Asian]]=1,1,0),IF(tblParticipants[[#This Row],[BlkOrAfAmer]]=1,1,0),IF(tblParticipants[[#This Row],[NtvHawOrPacIsl]]=1,1,0),IF(tblParticipants[[#This Row],[White]]=1,1,0))&gt;1,1,0)</f>
        <v>0</v>
      </c>
      <c r="BY14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4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4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44" s="11">
        <f>IF(tblParticipants[[#This Row],[EarnWg2Qae]]=1,IFERROR(tblParticipants[[#This Row],[HoursPerWk2Qae]]*tblParticipants[[#This Row],[HrlyWg2Qae]]*13,0),0)</f>
        <v>0</v>
      </c>
      <c r="CC144" s="11">
        <f>IF(tblParticipants[[#This Row],[EarnWg3Qae]]=1,IFERROR(tblParticipants[[#This Row],[HoursPerWk3Qae]]*tblParticipants[[#This Row],[HrlyWg3Qae]]*13,0),0)</f>
        <v>0</v>
      </c>
      <c r="CD144" s="9">
        <f>IFERROR(IF(SUM(tblParticipants[[#This Row],[EarnWg1Qae]],tblParticipants[[#This Row],[EarnWg2Qae]],tblParticipants[[#This Row],[EarnWg3Qae]])=3,1,0),0)</f>
        <v>0</v>
      </c>
      <c r="CE144" s="12">
        <f>IF(tblParticipants[[#This Row],[EmplAll3Qae]]=1,tblParticipants[[#This Row],[Earnings2Qae]]+tblParticipants[[#This Row],[Earnings3Qae]],0)</f>
        <v>0</v>
      </c>
      <c r="CF144" s="407"/>
    </row>
    <row r="145" spans="1:84" x14ac:dyDescent="0.3">
      <c r="A145" s="19"/>
      <c r="B145" s="19"/>
      <c r="C145" s="20"/>
      <c r="D145" s="20"/>
      <c r="E145" s="26"/>
      <c r="F145" s="26"/>
      <c r="G145" s="26"/>
      <c r="H145" s="26"/>
      <c r="I145" s="26"/>
      <c r="J145" s="26"/>
      <c r="K145" s="26"/>
      <c r="L145" s="26"/>
      <c r="M145" s="20"/>
      <c r="N145" s="26"/>
      <c r="O145" s="22"/>
      <c r="P145" s="21"/>
      <c r="Q145" s="23"/>
      <c r="R145" s="21"/>
      <c r="S145" s="21"/>
      <c r="T145" s="21"/>
      <c r="U145" s="21"/>
      <c r="V145" s="21"/>
      <c r="W145" s="24"/>
      <c r="X145" s="20"/>
      <c r="Y145" s="20"/>
      <c r="Z145" s="21"/>
      <c r="AA145" s="21"/>
      <c r="AB145" s="21"/>
      <c r="AC145" s="21"/>
      <c r="AD145" s="21"/>
      <c r="AE145" s="21"/>
      <c r="AF145" s="21"/>
      <c r="AG145" s="21"/>
      <c r="AH145" s="21"/>
      <c r="AI145" s="25"/>
      <c r="AJ145" s="20"/>
      <c r="AK145" s="21"/>
      <c r="AL145" s="20"/>
      <c r="AM145" s="20"/>
      <c r="AN145" s="20"/>
      <c r="AO145" s="20"/>
      <c r="AP145" s="446"/>
      <c r="AQ145" s="20"/>
      <c r="AR145" s="20"/>
      <c r="AS145" s="20"/>
      <c r="AT145" s="20"/>
      <c r="AU145" s="26"/>
      <c r="AV145" s="98"/>
      <c r="AW145" s="98"/>
      <c r="AX145" s="98"/>
      <c r="AY145" s="98"/>
      <c r="AZ145" s="98"/>
      <c r="BA145" s="217"/>
      <c r="BB145" s="98"/>
      <c r="BC145" s="98"/>
      <c r="BD145" s="98"/>
      <c r="BE145" s="98"/>
      <c r="BF145" s="98"/>
      <c r="BG145" s="219"/>
      <c r="BH145" s="219"/>
      <c r="BI145" s="219"/>
      <c r="BJ145" s="26"/>
      <c r="BK145" s="21"/>
      <c r="BL145" s="21"/>
      <c r="BM145" s="22"/>
      <c r="BN145" s="21"/>
      <c r="BO145" s="21"/>
      <c r="BP145" s="22"/>
      <c r="BQ145" s="21"/>
      <c r="BR145" s="21"/>
      <c r="BS145" s="22"/>
      <c r="BT14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45" s="109" t="str">
        <f>IF(ISNUMBER(tblParticipants[[#This Row],[SvcStartDate]]),IF(AND(tblParticipants[[#This Row],[EnrollQtr]]=1,tblParticipants[[#This Row],[SvcStartDate]]&lt;DATE(conProgYear,7,1)),1,""),"")</f>
        <v/>
      </c>
      <c r="BV14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45" s="232" t="str">
        <f t="shared" ca="1" si="2"/>
        <v/>
      </c>
      <c r="BX145" s="9">
        <f>IF(SUM(IF(tblParticipants[[#This Row],[AmIndOrAkNtv]]=1,1,0),IF(tblParticipants[[#This Row],[Asian]]=1,1,0),IF(tblParticipants[[#This Row],[BlkOrAfAmer]]=1,1,0),IF(tblParticipants[[#This Row],[NtvHawOrPacIsl]]=1,1,0),IF(tblParticipants[[#This Row],[White]]=1,1,0))&gt;1,1,0)</f>
        <v>0</v>
      </c>
      <c r="BY14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4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4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45" s="11">
        <f>IF(tblParticipants[[#This Row],[EarnWg2Qae]]=1,IFERROR(tblParticipants[[#This Row],[HoursPerWk2Qae]]*tblParticipants[[#This Row],[HrlyWg2Qae]]*13,0),0)</f>
        <v>0</v>
      </c>
      <c r="CC145" s="11">
        <f>IF(tblParticipants[[#This Row],[EarnWg3Qae]]=1,IFERROR(tblParticipants[[#This Row],[HoursPerWk3Qae]]*tblParticipants[[#This Row],[HrlyWg3Qae]]*13,0),0)</f>
        <v>0</v>
      </c>
      <c r="CD145" s="9">
        <f>IFERROR(IF(SUM(tblParticipants[[#This Row],[EarnWg1Qae]],tblParticipants[[#This Row],[EarnWg2Qae]],tblParticipants[[#This Row],[EarnWg3Qae]])=3,1,0),0)</f>
        <v>0</v>
      </c>
      <c r="CE145" s="12">
        <f>IF(tblParticipants[[#This Row],[EmplAll3Qae]]=1,tblParticipants[[#This Row],[Earnings2Qae]]+tblParticipants[[#This Row],[Earnings3Qae]],0)</f>
        <v>0</v>
      </c>
      <c r="CF145" s="407"/>
    </row>
    <row r="146" spans="1:84" x14ac:dyDescent="0.3">
      <c r="A146" s="19"/>
      <c r="B146" s="19"/>
      <c r="C146" s="20"/>
      <c r="D146" s="20"/>
      <c r="E146" s="26"/>
      <c r="F146" s="26"/>
      <c r="G146" s="26"/>
      <c r="H146" s="26"/>
      <c r="I146" s="26"/>
      <c r="J146" s="26"/>
      <c r="K146" s="26"/>
      <c r="L146" s="26"/>
      <c r="M146" s="20"/>
      <c r="N146" s="26"/>
      <c r="O146" s="22"/>
      <c r="P146" s="21"/>
      <c r="Q146" s="23"/>
      <c r="R146" s="21"/>
      <c r="S146" s="21"/>
      <c r="T146" s="21"/>
      <c r="U146" s="21"/>
      <c r="V146" s="21"/>
      <c r="W146" s="24"/>
      <c r="X146" s="20"/>
      <c r="Y146" s="20"/>
      <c r="Z146" s="21"/>
      <c r="AA146" s="21"/>
      <c r="AB146" s="21"/>
      <c r="AC146" s="21"/>
      <c r="AD146" s="21"/>
      <c r="AE146" s="21"/>
      <c r="AF146" s="21"/>
      <c r="AG146" s="21"/>
      <c r="AH146" s="21"/>
      <c r="AI146" s="25"/>
      <c r="AJ146" s="20"/>
      <c r="AK146" s="21"/>
      <c r="AL146" s="20"/>
      <c r="AM146" s="20"/>
      <c r="AN146" s="20"/>
      <c r="AO146" s="20"/>
      <c r="AP146" s="446"/>
      <c r="AQ146" s="20"/>
      <c r="AR146" s="20"/>
      <c r="AS146" s="20"/>
      <c r="AT146" s="20"/>
      <c r="AU146" s="26"/>
      <c r="AV146" s="98"/>
      <c r="AW146" s="98"/>
      <c r="AX146" s="98"/>
      <c r="AY146" s="98"/>
      <c r="AZ146" s="98"/>
      <c r="BA146" s="217"/>
      <c r="BB146" s="98"/>
      <c r="BC146" s="98"/>
      <c r="BD146" s="98"/>
      <c r="BE146" s="98"/>
      <c r="BF146" s="98"/>
      <c r="BG146" s="219"/>
      <c r="BH146" s="219"/>
      <c r="BI146" s="219"/>
      <c r="BJ146" s="26"/>
      <c r="BK146" s="21"/>
      <c r="BL146" s="21"/>
      <c r="BM146" s="22"/>
      <c r="BN146" s="21"/>
      <c r="BO146" s="21"/>
      <c r="BP146" s="22"/>
      <c r="BQ146" s="21"/>
      <c r="BR146" s="21"/>
      <c r="BS146" s="22"/>
      <c r="BT14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46" s="109" t="str">
        <f>IF(ISNUMBER(tblParticipants[[#This Row],[SvcStartDate]]),IF(AND(tblParticipants[[#This Row],[EnrollQtr]]=1,tblParticipants[[#This Row],[SvcStartDate]]&lt;DATE(conProgYear,7,1)),1,""),"")</f>
        <v/>
      </c>
      <c r="BV14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46" s="232" t="str">
        <f t="shared" ca="1" si="2"/>
        <v/>
      </c>
      <c r="BX146" s="9">
        <f>IF(SUM(IF(tblParticipants[[#This Row],[AmIndOrAkNtv]]=1,1,0),IF(tblParticipants[[#This Row],[Asian]]=1,1,0),IF(tblParticipants[[#This Row],[BlkOrAfAmer]]=1,1,0),IF(tblParticipants[[#This Row],[NtvHawOrPacIsl]]=1,1,0),IF(tblParticipants[[#This Row],[White]]=1,1,0))&gt;1,1,0)</f>
        <v>0</v>
      </c>
      <c r="BY14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4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4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46" s="11">
        <f>IF(tblParticipants[[#This Row],[EarnWg2Qae]]=1,IFERROR(tblParticipants[[#This Row],[HoursPerWk2Qae]]*tblParticipants[[#This Row],[HrlyWg2Qae]]*13,0),0)</f>
        <v>0</v>
      </c>
      <c r="CC146" s="11">
        <f>IF(tblParticipants[[#This Row],[EarnWg3Qae]]=1,IFERROR(tblParticipants[[#This Row],[HoursPerWk3Qae]]*tblParticipants[[#This Row],[HrlyWg3Qae]]*13,0),0)</f>
        <v>0</v>
      </c>
      <c r="CD146" s="9">
        <f>IFERROR(IF(SUM(tblParticipants[[#This Row],[EarnWg1Qae]],tblParticipants[[#This Row],[EarnWg2Qae]],tblParticipants[[#This Row],[EarnWg3Qae]])=3,1,0),0)</f>
        <v>0</v>
      </c>
      <c r="CE146" s="12">
        <f>IF(tblParticipants[[#This Row],[EmplAll3Qae]]=1,tblParticipants[[#This Row],[Earnings2Qae]]+tblParticipants[[#This Row],[Earnings3Qae]],0)</f>
        <v>0</v>
      </c>
      <c r="CF146" s="407"/>
    </row>
    <row r="147" spans="1:84" x14ac:dyDescent="0.3">
      <c r="A147" s="19"/>
      <c r="B147" s="19"/>
      <c r="C147" s="20"/>
      <c r="D147" s="20"/>
      <c r="E147" s="26"/>
      <c r="F147" s="26"/>
      <c r="G147" s="26"/>
      <c r="H147" s="26"/>
      <c r="I147" s="26"/>
      <c r="J147" s="26"/>
      <c r="K147" s="26"/>
      <c r="L147" s="26"/>
      <c r="M147" s="20"/>
      <c r="N147" s="26"/>
      <c r="O147" s="22"/>
      <c r="P147" s="21"/>
      <c r="Q147" s="23"/>
      <c r="R147" s="21"/>
      <c r="S147" s="21"/>
      <c r="T147" s="21"/>
      <c r="U147" s="21"/>
      <c r="V147" s="21"/>
      <c r="W147" s="24"/>
      <c r="X147" s="20"/>
      <c r="Y147" s="20"/>
      <c r="Z147" s="21"/>
      <c r="AA147" s="21"/>
      <c r="AB147" s="21"/>
      <c r="AC147" s="21"/>
      <c r="AD147" s="21"/>
      <c r="AE147" s="21"/>
      <c r="AF147" s="21"/>
      <c r="AG147" s="21"/>
      <c r="AH147" s="21"/>
      <c r="AI147" s="25"/>
      <c r="AJ147" s="20"/>
      <c r="AK147" s="21"/>
      <c r="AL147" s="20"/>
      <c r="AM147" s="20"/>
      <c r="AN147" s="20"/>
      <c r="AO147" s="20"/>
      <c r="AP147" s="446"/>
      <c r="AQ147" s="20"/>
      <c r="AR147" s="20"/>
      <c r="AS147" s="20"/>
      <c r="AT147" s="20"/>
      <c r="AU147" s="26"/>
      <c r="AV147" s="98"/>
      <c r="AW147" s="98"/>
      <c r="AX147" s="98"/>
      <c r="AY147" s="98"/>
      <c r="AZ147" s="98"/>
      <c r="BA147" s="217"/>
      <c r="BB147" s="98"/>
      <c r="BC147" s="98"/>
      <c r="BD147" s="98"/>
      <c r="BE147" s="98"/>
      <c r="BF147" s="98"/>
      <c r="BG147" s="219"/>
      <c r="BH147" s="219"/>
      <c r="BI147" s="219"/>
      <c r="BJ147" s="26"/>
      <c r="BK147" s="21"/>
      <c r="BL147" s="21"/>
      <c r="BM147" s="22"/>
      <c r="BN147" s="21"/>
      <c r="BO147" s="21"/>
      <c r="BP147" s="22"/>
      <c r="BQ147" s="21"/>
      <c r="BR147" s="21"/>
      <c r="BS147" s="22"/>
      <c r="BT14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47" s="109" t="str">
        <f>IF(ISNUMBER(tblParticipants[[#This Row],[SvcStartDate]]),IF(AND(tblParticipants[[#This Row],[EnrollQtr]]=1,tblParticipants[[#This Row],[SvcStartDate]]&lt;DATE(conProgYear,7,1)),1,""),"")</f>
        <v/>
      </c>
      <c r="BV14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47" s="232" t="str">
        <f t="shared" ca="1" si="2"/>
        <v/>
      </c>
      <c r="BX147" s="9">
        <f>IF(SUM(IF(tblParticipants[[#This Row],[AmIndOrAkNtv]]=1,1,0),IF(tblParticipants[[#This Row],[Asian]]=1,1,0),IF(tblParticipants[[#This Row],[BlkOrAfAmer]]=1,1,0),IF(tblParticipants[[#This Row],[NtvHawOrPacIsl]]=1,1,0),IF(tblParticipants[[#This Row],[White]]=1,1,0))&gt;1,1,0)</f>
        <v>0</v>
      </c>
      <c r="BY14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4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4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47" s="11">
        <f>IF(tblParticipants[[#This Row],[EarnWg2Qae]]=1,IFERROR(tblParticipants[[#This Row],[HoursPerWk2Qae]]*tblParticipants[[#This Row],[HrlyWg2Qae]]*13,0),0)</f>
        <v>0</v>
      </c>
      <c r="CC147" s="11">
        <f>IF(tblParticipants[[#This Row],[EarnWg3Qae]]=1,IFERROR(tblParticipants[[#This Row],[HoursPerWk3Qae]]*tblParticipants[[#This Row],[HrlyWg3Qae]]*13,0),0)</f>
        <v>0</v>
      </c>
      <c r="CD147" s="9">
        <f>IFERROR(IF(SUM(tblParticipants[[#This Row],[EarnWg1Qae]],tblParticipants[[#This Row],[EarnWg2Qae]],tblParticipants[[#This Row],[EarnWg3Qae]])=3,1,0),0)</f>
        <v>0</v>
      </c>
      <c r="CE147" s="12">
        <f>IF(tblParticipants[[#This Row],[EmplAll3Qae]]=1,tblParticipants[[#This Row],[Earnings2Qae]]+tblParticipants[[#This Row],[Earnings3Qae]],0)</f>
        <v>0</v>
      </c>
      <c r="CF147" s="407"/>
    </row>
    <row r="148" spans="1:84" x14ac:dyDescent="0.3">
      <c r="A148" s="19"/>
      <c r="B148" s="19"/>
      <c r="C148" s="20"/>
      <c r="D148" s="20"/>
      <c r="E148" s="26"/>
      <c r="F148" s="26"/>
      <c r="G148" s="26"/>
      <c r="H148" s="26"/>
      <c r="I148" s="26"/>
      <c r="J148" s="26"/>
      <c r="K148" s="26"/>
      <c r="L148" s="26"/>
      <c r="M148" s="20"/>
      <c r="N148" s="26"/>
      <c r="O148" s="22"/>
      <c r="P148" s="21"/>
      <c r="Q148" s="23"/>
      <c r="R148" s="21"/>
      <c r="S148" s="21"/>
      <c r="T148" s="21"/>
      <c r="U148" s="21"/>
      <c r="V148" s="21"/>
      <c r="W148" s="24"/>
      <c r="X148" s="20"/>
      <c r="Y148" s="20"/>
      <c r="Z148" s="21"/>
      <c r="AA148" s="21"/>
      <c r="AB148" s="21"/>
      <c r="AC148" s="21"/>
      <c r="AD148" s="21"/>
      <c r="AE148" s="21"/>
      <c r="AF148" s="21"/>
      <c r="AG148" s="21"/>
      <c r="AH148" s="21"/>
      <c r="AI148" s="25"/>
      <c r="AJ148" s="20"/>
      <c r="AK148" s="21"/>
      <c r="AL148" s="20"/>
      <c r="AM148" s="20"/>
      <c r="AN148" s="20"/>
      <c r="AO148" s="20"/>
      <c r="AP148" s="446"/>
      <c r="AQ148" s="20"/>
      <c r="AR148" s="20"/>
      <c r="AS148" s="20"/>
      <c r="AT148" s="20"/>
      <c r="AU148" s="26"/>
      <c r="AV148" s="98"/>
      <c r="AW148" s="98"/>
      <c r="AX148" s="98"/>
      <c r="AY148" s="98"/>
      <c r="AZ148" s="98"/>
      <c r="BA148" s="217"/>
      <c r="BB148" s="98"/>
      <c r="BC148" s="98"/>
      <c r="BD148" s="98"/>
      <c r="BE148" s="98"/>
      <c r="BF148" s="98"/>
      <c r="BG148" s="219"/>
      <c r="BH148" s="219"/>
      <c r="BI148" s="219"/>
      <c r="BJ148" s="26"/>
      <c r="BK148" s="21"/>
      <c r="BL148" s="21"/>
      <c r="BM148" s="22"/>
      <c r="BN148" s="21"/>
      <c r="BO148" s="21"/>
      <c r="BP148" s="22"/>
      <c r="BQ148" s="21"/>
      <c r="BR148" s="21"/>
      <c r="BS148" s="22"/>
      <c r="BT14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48" s="109" t="str">
        <f>IF(ISNUMBER(tblParticipants[[#This Row],[SvcStartDate]]),IF(AND(tblParticipants[[#This Row],[EnrollQtr]]=1,tblParticipants[[#This Row],[SvcStartDate]]&lt;DATE(conProgYear,7,1)),1,""),"")</f>
        <v/>
      </c>
      <c r="BV14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48" s="232" t="str">
        <f t="shared" ca="1" si="2"/>
        <v/>
      </c>
      <c r="BX148" s="9">
        <f>IF(SUM(IF(tblParticipants[[#This Row],[AmIndOrAkNtv]]=1,1,0),IF(tblParticipants[[#This Row],[Asian]]=1,1,0),IF(tblParticipants[[#This Row],[BlkOrAfAmer]]=1,1,0),IF(tblParticipants[[#This Row],[NtvHawOrPacIsl]]=1,1,0),IF(tblParticipants[[#This Row],[White]]=1,1,0))&gt;1,1,0)</f>
        <v>0</v>
      </c>
      <c r="BY14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4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4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48" s="11">
        <f>IF(tblParticipants[[#This Row],[EarnWg2Qae]]=1,IFERROR(tblParticipants[[#This Row],[HoursPerWk2Qae]]*tblParticipants[[#This Row],[HrlyWg2Qae]]*13,0),0)</f>
        <v>0</v>
      </c>
      <c r="CC148" s="11">
        <f>IF(tblParticipants[[#This Row],[EarnWg3Qae]]=1,IFERROR(tblParticipants[[#This Row],[HoursPerWk3Qae]]*tblParticipants[[#This Row],[HrlyWg3Qae]]*13,0),0)</f>
        <v>0</v>
      </c>
      <c r="CD148" s="9">
        <f>IFERROR(IF(SUM(tblParticipants[[#This Row],[EarnWg1Qae]],tblParticipants[[#This Row],[EarnWg2Qae]],tblParticipants[[#This Row],[EarnWg3Qae]])=3,1,0),0)</f>
        <v>0</v>
      </c>
      <c r="CE148" s="12">
        <f>IF(tblParticipants[[#This Row],[EmplAll3Qae]]=1,tblParticipants[[#This Row],[Earnings2Qae]]+tblParticipants[[#This Row],[Earnings3Qae]],0)</f>
        <v>0</v>
      </c>
      <c r="CF148" s="407"/>
    </row>
    <row r="149" spans="1:84" x14ac:dyDescent="0.3">
      <c r="A149" s="19"/>
      <c r="B149" s="19"/>
      <c r="C149" s="20"/>
      <c r="D149" s="20"/>
      <c r="E149" s="26"/>
      <c r="F149" s="26"/>
      <c r="G149" s="26"/>
      <c r="H149" s="26"/>
      <c r="I149" s="26"/>
      <c r="J149" s="26"/>
      <c r="K149" s="26"/>
      <c r="L149" s="26"/>
      <c r="M149" s="20"/>
      <c r="N149" s="26"/>
      <c r="O149" s="22"/>
      <c r="P149" s="21"/>
      <c r="Q149" s="23"/>
      <c r="R149" s="21"/>
      <c r="S149" s="21"/>
      <c r="T149" s="21"/>
      <c r="U149" s="21"/>
      <c r="V149" s="21"/>
      <c r="W149" s="24"/>
      <c r="X149" s="20"/>
      <c r="Y149" s="20"/>
      <c r="Z149" s="21"/>
      <c r="AA149" s="21"/>
      <c r="AB149" s="21"/>
      <c r="AC149" s="21"/>
      <c r="AD149" s="21"/>
      <c r="AE149" s="21"/>
      <c r="AF149" s="21"/>
      <c r="AG149" s="21"/>
      <c r="AH149" s="21"/>
      <c r="AI149" s="25"/>
      <c r="AJ149" s="20"/>
      <c r="AK149" s="21"/>
      <c r="AL149" s="20"/>
      <c r="AM149" s="20"/>
      <c r="AN149" s="20"/>
      <c r="AO149" s="20"/>
      <c r="AP149" s="446"/>
      <c r="AQ149" s="20"/>
      <c r="AR149" s="20"/>
      <c r="AS149" s="20"/>
      <c r="AT149" s="20"/>
      <c r="AU149" s="26"/>
      <c r="AV149" s="98"/>
      <c r="AW149" s="98"/>
      <c r="AX149" s="98"/>
      <c r="AY149" s="98"/>
      <c r="AZ149" s="98"/>
      <c r="BA149" s="217"/>
      <c r="BB149" s="98"/>
      <c r="BC149" s="98"/>
      <c r="BD149" s="98"/>
      <c r="BE149" s="98"/>
      <c r="BF149" s="98"/>
      <c r="BG149" s="219"/>
      <c r="BH149" s="219"/>
      <c r="BI149" s="219"/>
      <c r="BJ149" s="26"/>
      <c r="BK149" s="21"/>
      <c r="BL149" s="21"/>
      <c r="BM149" s="22"/>
      <c r="BN149" s="21"/>
      <c r="BO149" s="21"/>
      <c r="BP149" s="22"/>
      <c r="BQ149" s="21"/>
      <c r="BR149" s="21"/>
      <c r="BS149" s="22"/>
      <c r="BT14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49" s="109" t="str">
        <f>IF(ISNUMBER(tblParticipants[[#This Row],[SvcStartDate]]),IF(AND(tblParticipants[[#This Row],[EnrollQtr]]=1,tblParticipants[[#This Row],[SvcStartDate]]&lt;DATE(conProgYear,7,1)),1,""),"")</f>
        <v/>
      </c>
      <c r="BV14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49" s="232" t="str">
        <f t="shared" ca="1" si="2"/>
        <v/>
      </c>
      <c r="BX149" s="9">
        <f>IF(SUM(IF(tblParticipants[[#This Row],[AmIndOrAkNtv]]=1,1,0),IF(tblParticipants[[#This Row],[Asian]]=1,1,0),IF(tblParticipants[[#This Row],[BlkOrAfAmer]]=1,1,0),IF(tblParticipants[[#This Row],[NtvHawOrPacIsl]]=1,1,0),IF(tblParticipants[[#This Row],[White]]=1,1,0))&gt;1,1,0)</f>
        <v>0</v>
      </c>
      <c r="BY14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4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4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49" s="11">
        <f>IF(tblParticipants[[#This Row],[EarnWg2Qae]]=1,IFERROR(tblParticipants[[#This Row],[HoursPerWk2Qae]]*tblParticipants[[#This Row],[HrlyWg2Qae]]*13,0),0)</f>
        <v>0</v>
      </c>
      <c r="CC149" s="11">
        <f>IF(tblParticipants[[#This Row],[EarnWg3Qae]]=1,IFERROR(tblParticipants[[#This Row],[HoursPerWk3Qae]]*tblParticipants[[#This Row],[HrlyWg3Qae]]*13,0),0)</f>
        <v>0</v>
      </c>
      <c r="CD149" s="9">
        <f>IFERROR(IF(SUM(tblParticipants[[#This Row],[EarnWg1Qae]],tblParticipants[[#This Row],[EarnWg2Qae]],tblParticipants[[#This Row],[EarnWg3Qae]])=3,1,0),0)</f>
        <v>0</v>
      </c>
      <c r="CE149" s="12">
        <f>IF(tblParticipants[[#This Row],[EmplAll3Qae]]=1,tblParticipants[[#This Row],[Earnings2Qae]]+tblParticipants[[#This Row],[Earnings3Qae]],0)</f>
        <v>0</v>
      </c>
      <c r="CF149" s="407"/>
    </row>
    <row r="150" spans="1:84" x14ac:dyDescent="0.3">
      <c r="A150" s="19"/>
      <c r="B150" s="19"/>
      <c r="C150" s="20"/>
      <c r="D150" s="20"/>
      <c r="E150" s="26"/>
      <c r="F150" s="26"/>
      <c r="G150" s="26"/>
      <c r="H150" s="26"/>
      <c r="I150" s="26"/>
      <c r="J150" s="26"/>
      <c r="K150" s="26"/>
      <c r="L150" s="26"/>
      <c r="M150" s="20"/>
      <c r="N150" s="26"/>
      <c r="O150" s="22"/>
      <c r="P150" s="21"/>
      <c r="Q150" s="23"/>
      <c r="R150" s="21"/>
      <c r="S150" s="21"/>
      <c r="T150" s="21"/>
      <c r="U150" s="21"/>
      <c r="V150" s="21"/>
      <c r="W150" s="24"/>
      <c r="X150" s="20"/>
      <c r="Y150" s="20"/>
      <c r="Z150" s="21"/>
      <c r="AA150" s="21"/>
      <c r="AB150" s="21"/>
      <c r="AC150" s="21"/>
      <c r="AD150" s="21"/>
      <c r="AE150" s="21"/>
      <c r="AF150" s="21"/>
      <c r="AG150" s="21"/>
      <c r="AH150" s="21"/>
      <c r="AI150" s="25"/>
      <c r="AJ150" s="20"/>
      <c r="AK150" s="21"/>
      <c r="AL150" s="20"/>
      <c r="AM150" s="20"/>
      <c r="AN150" s="20"/>
      <c r="AO150" s="20"/>
      <c r="AP150" s="446"/>
      <c r="AQ150" s="20"/>
      <c r="AR150" s="20"/>
      <c r="AS150" s="20"/>
      <c r="AT150" s="20"/>
      <c r="AU150" s="26"/>
      <c r="AV150" s="98"/>
      <c r="AW150" s="98"/>
      <c r="AX150" s="98"/>
      <c r="AY150" s="98"/>
      <c r="AZ150" s="98"/>
      <c r="BA150" s="217"/>
      <c r="BB150" s="98"/>
      <c r="BC150" s="98"/>
      <c r="BD150" s="98"/>
      <c r="BE150" s="98"/>
      <c r="BF150" s="98"/>
      <c r="BG150" s="219"/>
      <c r="BH150" s="219"/>
      <c r="BI150" s="219"/>
      <c r="BJ150" s="26"/>
      <c r="BK150" s="21"/>
      <c r="BL150" s="21"/>
      <c r="BM150" s="22"/>
      <c r="BN150" s="21"/>
      <c r="BO150" s="21"/>
      <c r="BP150" s="22"/>
      <c r="BQ150" s="21"/>
      <c r="BR150" s="21"/>
      <c r="BS150" s="22"/>
      <c r="BT15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50" s="109" t="str">
        <f>IF(ISNUMBER(tblParticipants[[#This Row],[SvcStartDate]]),IF(AND(tblParticipants[[#This Row],[EnrollQtr]]=1,tblParticipants[[#This Row],[SvcStartDate]]&lt;DATE(conProgYear,7,1)),1,""),"")</f>
        <v/>
      </c>
      <c r="BV15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50" s="232" t="str">
        <f t="shared" ca="1" si="2"/>
        <v/>
      </c>
      <c r="BX150" s="9">
        <f>IF(SUM(IF(tblParticipants[[#This Row],[AmIndOrAkNtv]]=1,1,0),IF(tblParticipants[[#This Row],[Asian]]=1,1,0),IF(tblParticipants[[#This Row],[BlkOrAfAmer]]=1,1,0),IF(tblParticipants[[#This Row],[NtvHawOrPacIsl]]=1,1,0),IF(tblParticipants[[#This Row],[White]]=1,1,0))&gt;1,1,0)</f>
        <v>0</v>
      </c>
      <c r="BY15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5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5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50" s="11">
        <f>IF(tblParticipants[[#This Row],[EarnWg2Qae]]=1,IFERROR(tblParticipants[[#This Row],[HoursPerWk2Qae]]*tblParticipants[[#This Row],[HrlyWg2Qae]]*13,0),0)</f>
        <v>0</v>
      </c>
      <c r="CC150" s="11">
        <f>IF(tblParticipants[[#This Row],[EarnWg3Qae]]=1,IFERROR(tblParticipants[[#This Row],[HoursPerWk3Qae]]*tblParticipants[[#This Row],[HrlyWg3Qae]]*13,0),0)</f>
        <v>0</v>
      </c>
      <c r="CD150" s="9">
        <f>IFERROR(IF(SUM(tblParticipants[[#This Row],[EarnWg1Qae]],tblParticipants[[#This Row],[EarnWg2Qae]],tblParticipants[[#This Row],[EarnWg3Qae]])=3,1,0),0)</f>
        <v>0</v>
      </c>
      <c r="CE150" s="12">
        <f>IF(tblParticipants[[#This Row],[EmplAll3Qae]]=1,tblParticipants[[#This Row],[Earnings2Qae]]+tblParticipants[[#This Row],[Earnings3Qae]],0)</f>
        <v>0</v>
      </c>
      <c r="CF150" s="407"/>
    </row>
    <row r="151" spans="1:84" x14ac:dyDescent="0.3">
      <c r="A151" s="19"/>
      <c r="B151" s="19"/>
      <c r="C151" s="20"/>
      <c r="D151" s="20"/>
      <c r="E151" s="26"/>
      <c r="F151" s="26"/>
      <c r="G151" s="26"/>
      <c r="H151" s="26"/>
      <c r="I151" s="26"/>
      <c r="J151" s="26"/>
      <c r="K151" s="26"/>
      <c r="L151" s="26"/>
      <c r="M151" s="20"/>
      <c r="N151" s="26"/>
      <c r="O151" s="22"/>
      <c r="P151" s="21"/>
      <c r="Q151" s="23"/>
      <c r="R151" s="21"/>
      <c r="S151" s="21"/>
      <c r="T151" s="21"/>
      <c r="U151" s="21"/>
      <c r="V151" s="21"/>
      <c r="W151" s="24"/>
      <c r="X151" s="20"/>
      <c r="Y151" s="20"/>
      <c r="Z151" s="21"/>
      <c r="AA151" s="21"/>
      <c r="AB151" s="21"/>
      <c r="AC151" s="21"/>
      <c r="AD151" s="21"/>
      <c r="AE151" s="21"/>
      <c r="AF151" s="21"/>
      <c r="AG151" s="21"/>
      <c r="AH151" s="21"/>
      <c r="AI151" s="25"/>
      <c r="AJ151" s="20"/>
      <c r="AK151" s="21"/>
      <c r="AL151" s="20"/>
      <c r="AM151" s="20"/>
      <c r="AN151" s="20"/>
      <c r="AO151" s="20"/>
      <c r="AP151" s="446"/>
      <c r="AQ151" s="20"/>
      <c r="AR151" s="20"/>
      <c r="AS151" s="20"/>
      <c r="AT151" s="20"/>
      <c r="AU151" s="26"/>
      <c r="AV151" s="98"/>
      <c r="AW151" s="98"/>
      <c r="AX151" s="98"/>
      <c r="AY151" s="98"/>
      <c r="AZ151" s="98"/>
      <c r="BA151" s="217"/>
      <c r="BB151" s="98"/>
      <c r="BC151" s="98"/>
      <c r="BD151" s="98"/>
      <c r="BE151" s="98"/>
      <c r="BF151" s="98"/>
      <c r="BG151" s="219"/>
      <c r="BH151" s="219"/>
      <c r="BI151" s="219"/>
      <c r="BJ151" s="26"/>
      <c r="BK151" s="21"/>
      <c r="BL151" s="21"/>
      <c r="BM151" s="22"/>
      <c r="BN151" s="21"/>
      <c r="BO151" s="21"/>
      <c r="BP151" s="22"/>
      <c r="BQ151" s="21"/>
      <c r="BR151" s="21"/>
      <c r="BS151" s="22"/>
      <c r="BT15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51" s="109" t="str">
        <f>IF(ISNUMBER(tblParticipants[[#This Row],[SvcStartDate]]),IF(AND(tblParticipants[[#This Row],[EnrollQtr]]=1,tblParticipants[[#This Row],[SvcStartDate]]&lt;DATE(conProgYear,7,1)),1,""),"")</f>
        <v/>
      </c>
      <c r="BV15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51" s="232" t="str">
        <f t="shared" ca="1" si="2"/>
        <v/>
      </c>
      <c r="BX151" s="9">
        <f>IF(SUM(IF(tblParticipants[[#This Row],[AmIndOrAkNtv]]=1,1,0),IF(tblParticipants[[#This Row],[Asian]]=1,1,0),IF(tblParticipants[[#This Row],[BlkOrAfAmer]]=1,1,0),IF(tblParticipants[[#This Row],[NtvHawOrPacIsl]]=1,1,0),IF(tblParticipants[[#This Row],[White]]=1,1,0))&gt;1,1,0)</f>
        <v>0</v>
      </c>
      <c r="BY15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5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5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51" s="11">
        <f>IF(tblParticipants[[#This Row],[EarnWg2Qae]]=1,IFERROR(tblParticipants[[#This Row],[HoursPerWk2Qae]]*tblParticipants[[#This Row],[HrlyWg2Qae]]*13,0),0)</f>
        <v>0</v>
      </c>
      <c r="CC151" s="11">
        <f>IF(tblParticipants[[#This Row],[EarnWg3Qae]]=1,IFERROR(tblParticipants[[#This Row],[HoursPerWk3Qae]]*tblParticipants[[#This Row],[HrlyWg3Qae]]*13,0),0)</f>
        <v>0</v>
      </c>
      <c r="CD151" s="9">
        <f>IFERROR(IF(SUM(tblParticipants[[#This Row],[EarnWg1Qae]],tblParticipants[[#This Row],[EarnWg2Qae]],tblParticipants[[#This Row],[EarnWg3Qae]])=3,1,0),0)</f>
        <v>0</v>
      </c>
      <c r="CE151" s="12">
        <f>IF(tblParticipants[[#This Row],[EmplAll3Qae]]=1,tblParticipants[[#This Row],[Earnings2Qae]]+tblParticipants[[#This Row],[Earnings3Qae]],0)</f>
        <v>0</v>
      </c>
      <c r="CF151" s="407"/>
    </row>
    <row r="152" spans="1:84" x14ac:dyDescent="0.3">
      <c r="A152" s="19"/>
      <c r="B152" s="19"/>
      <c r="C152" s="20"/>
      <c r="D152" s="20"/>
      <c r="E152" s="26"/>
      <c r="F152" s="26"/>
      <c r="G152" s="26"/>
      <c r="H152" s="26"/>
      <c r="I152" s="26"/>
      <c r="J152" s="26"/>
      <c r="K152" s="26"/>
      <c r="L152" s="26"/>
      <c r="M152" s="20"/>
      <c r="N152" s="26"/>
      <c r="O152" s="22"/>
      <c r="P152" s="21"/>
      <c r="Q152" s="23"/>
      <c r="R152" s="21"/>
      <c r="S152" s="21"/>
      <c r="T152" s="21"/>
      <c r="U152" s="21"/>
      <c r="V152" s="21"/>
      <c r="W152" s="24"/>
      <c r="X152" s="20"/>
      <c r="Y152" s="20"/>
      <c r="Z152" s="21"/>
      <c r="AA152" s="21"/>
      <c r="AB152" s="21"/>
      <c r="AC152" s="21"/>
      <c r="AD152" s="21"/>
      <c r="AE152" s="21"/>
      <c r="AF152" s="21"/>
      <c r="AG152" s="21"/>
      <c r="AH152" s="21"/>
      <c r="AI152" s="25"/>
      <c r="AJ152" s="20"/>
      <c r="AK152" s="21"/>
      <c r="AL152" s="20"/>
      <c r="AM152" s="20"/>
      <c r="AN152" s="20"/>
      <c r="AO152" s="20"/>
      <c r="AP152" s="446"/>
      <c r="AQ152" s="20"/>
      <c r="AR152" s="20"/>
      <c r="AS152" s="20"/>
      <c r="AT152" s="20"/>
      <c r="AU152" s="26"/>
      <c r="AV152" s="98"/>
      <c r="AW152" s="98"/>
      <c r="AX152" s="98"/>
      <c r="AY152" s="98"/>
      <c r="AZ152" s="98"/>
      <c r="BA152" s="217"/>
      <c r="BB152" s="98"/>
      <c r="BC152" s="98"/>
      <c r="BD152" s="98"/>
      <c r="BE152" s="98"/>
      <c r="BF152" s="98"/>
      <c r="BG152" s="219"/>
      <c r="BH152" s="219"/>
      <c r="BI152" s="219"/>
      <c r="BJ152" s="26"/>
      <c r="BK152" s="21"/>
      <c r="BL152" s="21"/>
      <c r="BM152" s="22"/>
      <c r="BN152" s="21"/>
      <c r="BO152" s="21"/>
      <c r="BP152" s="22"/>
      <c r="BQ152" s="21"/>
      <c r="BR152" s="21"/>
      <c r="BS152" s="22"/>
      <c r="BT15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52" s="109" t="str">
        <f>IF(ISNUMBER(tblParticipants[[#This Row],[SvcStartDate]]),IF(AND(tblParticipants[[#This Row],[EnrollQtr]]=1,tblParticipants[[#This Row],[SvcStartDate]]&lt;DATE(conProgYear,7,1)),1,""),"")</f>
        <v/>
      </c>
      <c r="BV15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52" s="232" t="str">
        <f t="shared" ca="1" si="2"/>
        <v/>
      </c>
      <c r="BX152" s="9">
        <f>IF(SUM(IF(tblParticipants[[#This Row],[AmIndOrAkNtv]]=1,1,0),IF(tblParticipants[[#This Row],[Asian]]=1,1,0),IF(tblParticipants[[#This Row],[BlkOrAfAmer]]=1,1,0),IF(tblParticipants[[#This Row],[NtvHawOrPacIsl]]=1,1,0),IF(tblParticipants[[#This Row],[White]]=1,1,0))&gt;1,1,0)</f>
        <v>0</v>
      </c>
      <c r="BY15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5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5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52" s="11">
        <f>IF(tblParticipants[[#This Row],[EarnWg2Qae]]=1,IFERROR(tblParticipants[[#This Row],[HoursPerWk2Qae]]*tblParticipants[[#This Row],[HrlyWg2Qae]]*13,0),0)</f>
        <v>0</v>
      </c>
      <c r="CC152" s="11">
        <f>IF(tblParticipants[[#This Row],[EarnWg3Qae]]=1,IFERROR(tblParticipants[[#This Row],[HoursPerWk3Qae]]*tblParticipants[[#This Row],[HrlyWg3Qae]]*13,0),0)</f>
        <v>0</v>
      </c>
      <c r="CD152" s="9">
        <f>IFERROR(IF(SUM(tblParticipants[[#This Row],[EarnWg1Qae]],tblParticipants[[#This Row],[EarnWg2Qae]],tblParticipants[[#This Row],[EarnWg3Qae]])=3,1,0),0)</f>
        <v>0</v>
      </c>
      <c r="CE152" s="12">
        <f>IF(tblParticipants[[#This Row],[EmplAll3Qae]]=1,tblParticipants[[#This Row],[Earnings2Qae]]+tblParticipants[[#This Row],[Earnings3Qae]],0)</f>
        <v>0</v>
      </c>
      <c r="CF152" s="407"/>
    </row>
    <row r="153" spans="1:84" x14ac:dyDescent="0.3">
      <c r="A153" s="19"/>
      <c r="B153" s="19"/>
      <c r="C153" s="20"/>
      <c r="D153" s="20"/>
      <c r="E153" s="26"/>
      <c r="F153" s="26"/>
      <c r="G153" s="26"/>
      <c r="H153" s="26"/>
      <c r="I153" s="26"/>
      <c r="J153" s="26"/>
      <c r="K153" s="26"/>
      <c r="L153" s="26"/>
      <c r="M153" s="20"/>
      <c r="N153" s="26"/>
      <c r="O153" s="22"/>
      <c r="P153" s="21"/>
      <c r="Q153" s="23"/>
      <c r="R153" s="21"/>
      <c r="S153" s="21"/>
      <c r="T153" s="21"/>
      <c r="U153" s="21"/>
      <c r="V153" s="21"/>
      <c r="W153" s="24"/>
      <c r="X153" s="20"/>
      <c r="Y153" s="20"/>
      <c r="Z153" s="21"/>
      <c r="AA153" s="21"/>
      <c r="AB153" s="21"/>
      <c r="AC153" s="21"/>
      <c r="AD153" s="21"/>
      <c r="AE153" s="21"/>
      <c r="AF153" s="21"/>
      <c r="AG153" s="21"/>
      <c r="AH153" s="21"/>
      <c r="AI153" s="25"/>
      <c r="AJ153" s="20"/>
      <c r="AK153" s="21"/>
      <c r="AL153" s="20"/>
      <c r="AM153" s="20"/>
      <c r="AN153" s="20"/>
      <c r="AO153" s="20"/>
      <c r="AP153" s="446"/>
      <c r="AQ153" s="20"/>
      <c r="AR153" s="20"/>
      <c r="AS153" s="20"/>
      <c r="AT153" s="20"/>
      <c r="AU153" s="26"/>
      <c r="AV153" s="98"/>
      <c r="AW153" s="98"/>
      <c r="AX153" s="98"/>
      <c r="AY153" s="98"/>
      <c r="AZ153" s="98"/>
      <c r="BA153" s="217"/>
      <c r="BB153" s="98"/>
      <c r="BC153" s="98"/>
      <c r="BD153" s="98"/>
      <c r="BE153" s="98"/>
      <c r="BF153" s="98"/>
      <c r="BG153" s="219"/>
      <c r="BH153" s="219"/>
      <c r="BI153" s="219"/>
      <c r="BJ153" s="26"/>
      <c r="BK153" s="21"/>
      <c r="BL153" s="21"/>
      <c r="BM153" s="22"/>
      <c r="BN153" s="21"/>
      <c r="BO153" s="21"/>
      <c r="BP153" s="22"/>
      <c r="BQ153" s="21"/>
      <c r="BR153" s="21"/>
      <c r="BS153" s="22"/>
      <c r="BT15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53" s="109" t="str">
        <f>IF(ISNUMBER(tblParticipants[[#This Row],[SvcStartDate]]),IF(AND(tblParticipants[[#This Row],[EnrollQtr]]=1,tblParticipants[[#This Row],[SvcStartDate]]&lt;DATE(conProgYear,7,1)),1,""),"")</f>
        <v/>
      </c>
      <c r="BV15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53" s="232" t="str">
        <f t="shared" ca="1" si="2"/>
        <v/>
      </c>
      <c r="BX153" s="9">
        <f>IF(SUM(IF(tblParticipants[[#This Row],[AmIndOrAkNtv]]=1,1,0),IF(tblParticipants[[#This Row],[Asian]]=1,1,0),IF(tblParticipants[[#This Row],[BlkOrAfAmer]]=1,1,0),IF(tblParticipants[[#This Row],[NtvHawOrPacIsl]]=1,1,0),IF(tblParticipants[[#This Row],[White]]=1,1,0))&gt;1,1,0)</f>
        <v>0</v>
      </c>
      <c r="BY15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5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5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53" s="11">
        <f>IF(tblParticipants[[#This Row],[EarnWg2Qae]]=1,IFERROR(tblParticipants[[#This Row],[HoursPerWk2Qae]]*tblParticipants[[#This Row],[HrlyWg2Qae]]*13,0),0)</f>
        <v>0</v>
      </c>
      <c r="CC153" s="11">
        <f>IF(tblParticipants[[#This Row],[EarnWg3Qae]]=1,IFERROR(tblParticipants[[#This Row],[HoursPerWk3Qae]]*tblParticipants[[#This Row],[HrlyWg3Qae]]*13,0),0)</f>
        <v>0</v>
      </c>
      <c r="CD153" s="9">
        <f>IFERROR(IF(SUM(tblParticipants[[#This Row],[EarnWg1Qae]],tblParticipants[[#This Row],[EarnWg2Qae]],tblParticipants[[#This Row],[EarnWg3Qae]])=3,1,0),0)</f>
        <v>0</v>
      </c>
      <c r="CE153" s="12">
        <f>IF(tblParticipants[[#This Row],[EmplAll3Qae]]=1,tblParticipants[[#This Row],[Earnings2Qae]]+tblParticipants[[#This Row],[Earnings3Qae]],0)</f>
        <v>0</v>
      </c>
      <c r="CF153" s="407"/>
    </row>
    <row r="154" spans="1:84" x14ac:dyDescent="0.3">
      <c r="A154" s="19"/>
      <c r="B154" s="19"/>
      <c r="C154" s="20"/>
      <c r="D154" s="20"/>
      <c r="E154" s="26"/>
      <c r="F154" s="26"/>
      <c r="G154" s="26"/>
      <c r="H154" s="26"/>
      <c r="I154" s="26"/>
      <c r="J154" s="26"/>
      <c r="K154" s="26"/>
      <c r="L154" s="26"/>
      <c r="M154" s="20"/>
      <c r="N154" s="26"/>
      <c r="O154" s="22"/>
      <c r="P154" s="21"/>
      <c r="Q154" s="23"/>
      <c r="R154" s="21"/>
      <c r="S154" s="21"/>
      <c r="T154" s="21"/>
      <c r="U154" s="21"/>
      <c r="V154" s="21"/>
      <c r="W154" s="24"/>
      <c r="X154" s="20"/>
      <c r="Y154" s="20"/>
      <c r="Z154" s="21"/>
      <c r="AA154" s="21"/>
      <c r="AB154" s="21"/>
      <c r="AC154" s="21"/>
      <c r="AD154" s="21"/>
      <c r="AE154" s="21"/>
      <c r="AF154" s="21"/>
      <c r="AG154" s="21"/>
      <c r="AH154" s="21"/>
      <c r="AI154" s="25"/>
      <c r="AJ154" s="20"/>
      <c r="AK154" s="21"/>
      <c r="AL154" s="20"/>
      <c r="AM154" s="20"/>
      <c r="AN154" s="20"/>
      <c r="AO154" s="20"/>
      <c r="AP154" s="446"/>
      <c r="AQ154" s="20"/>
      <c r="AR154" s="20"/>
      <c r="AS154" s="20"/>
      <c r="AT154" s="20"/>
      <c r="AU154" s="26"/>
      <c r="AV154" s="98"/>
      <c r="AW154" s="98"/>
      <c r="AX154" s="98"/>
      <c r="AY154" s="98"/>
      <c r="AZ154" s="98"/>
      <c r="BA154" s="217"/>
      <c r="BB154" s="98"/>
      <c r="BC154" s="98"/>
      <c r="BD154" s="98"/>
      <c r="BE154" s="98"/>
      <c r="BF154" s="98"/>
      <c r="BG154" s="219"/>
      <c r="BH154" s="219"/>
      <c r="BI154" s="219"/>
      <c r="BJ154" s="26"/>
      <c r="BK154" s="21"/>
      <c r="BL154" s="21"/>
      <c r="BM154" s="22"/>
      <c r="BN154" s="21"/>
      <c r="BO154" s="21"/>
      <c r="BP154" s="22"/>
      <c r="BQ154" s="21"/>
      <c r="BR154" s="21"/>
      <c r="BS154" s="22"/>
      <c r="BT15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54" s="109" t="str">
        <f>IF(ISNUMBER(tblParticipants[[#This Row],[SvcStartDate]]),IF(AND(tblParticipants[[#This Row],[EnrollQtr]]=1,tblParticipants[[#This Row],[SvcStartDate]]&lt;DATE(conProgYear,7,1)),1,""),"")</f>
        <v/>
      </c>
      <c r="BV15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54" s="232" t="str">
        <f t="shared" ca="1" si="2"/>
        <v/>
      </c>
      <c r="BX154" s="9">
        <f>IF(SUM(IF(tblParticipants[[#This Row],[AmIndOrAkNtv]]=1,1,0),IF(tblParticipants[[#This Row],[Asian]]=1,1,0),IF(tblParticipants[[#This Row],[BlkOrAfAmer]]=1,1,0),IF(tblParticipants[[#This Row],[NtvHawOrPacIsl]]=1,1,0),IF(tblParticipants[[#This Row],[White]]=1,1,0))&gt;1,1,0)</f>
        <v>0</v>
      </c>
      <c r="BY15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5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5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54" s="11">
        <f>IF(tblParticipants[[#This Row],[EarnWg2Qae]]=1,IFERROR(tblParticipants[[#This Row],[HoursPerWk2Qae]]*tblParticipants[[#This Row],[HrlyWg2Qae]]*13,0),0)</f>
        <v>0</v>
      </c>
      <c r="CC154" s="11">
        <f>IF(tblParticipants[[#This Row],[EarnWg3Qae]]=1,IFERROR(tblParticipants[[#This Row],[HoursPerWk3Qae]]*tblParticipants[[#This Row],[HrlyWg3Qae]]*13,0),0)</f>
        <v>0</v>
      </c>
      <c r="CD154" s="9">
        <f>IFERROR(IF(SUM(tblParticipants[[#This Row],[EarnWg1Qae]],tblParticipants[[#This Row],[EarnWg2Qae]],tblParticipants[[#This Row],[EarnWg3Qae]])=3,1,0),0)</f>
        <v>0</v>
      </c>
      <c r="CE154" s="12">
        <f>IF(tblParticipants[[#This Row],[EmplAll3Qae]]=1,tblParticipants[[#This Row],[Earnings2Qae]]+tblParticipants[[#This Row],[Earnings3Qae]],0)</f>
        <v>0</v>
      </c>
      <c r="CF154" s="407"/>
    </row>
    <row r="155" spans="1:84" x14ac:dyDescent="0.3">
      <c r="A155" s="19"/>
      <c r="B155" s="19"/>
      <c r="C155" s="20"/>
      <c r="D155" s="20"/>
      <c r="E155" s="26"/>
      <c r="F155" s="26"/>
      <c r="G155" s="26"/>
      <c r="H155" s="26"/>
      <c r="I155" s="26"/>
      <c r="J155" s="26"/>
      <c r="K155" s="26"/>
      <c r="L155" s="26"/>
      <c r="M155" s="20"/>
      <c r="N155" s="26"/>
      <c r="O155" s="22"/>
      <c r="P155" s="21"/>
      <c r="Q155" s="23"/>
      <c r="R155" s="21"/>
      <c r="S155" s="21"/>
      <c r="T155" s="21"/>
      <c r="U155" s="21"/>
      <c r="V155" s="21"/>
      <c r="W155" s="24"/>
      <c r="X155" s="20"/>
      <c r="Y155" s="20"/>
      <c r="Z155" s="21"/>
      <c r="AA155" s="21"/>
      <c r="AB155" s="21"/>
      <c r="AC155" s="21"/>
      <c r="AD155" s="21"/>
      <c r="AE155" s="21"/>
      <c r="AF155" s="21"/>
      <c r="AG155" s="21"/>
      <c r="AH155" s="21"/>
      <c r="AI155" s="25"/>
      <c r="AJ155" s="20"/>
      <c r="AK155" s="21"/>
      <c r="AL155" s="20"/>
      <c r="AM155" s="20"/>
      <c r="AN155" s="20"/>
      <c r="AO155" s="20"/>
      <c r="AP155" s="446"/>
      <c r="AQ155" s="20"/>
      <c r="AR155" s="20"/>
      <c r="AS155" s="20"/>
      <c r="AT155" s="20"/>
      <c r="AU155" s="26"/>
      <c r="AV155" s="98"/>
      <c r="AW155" s="98"/>
      <c r="AX155" s="98"/>
      <c r="AY155" s="98"/>
      <c r="AZ155" s="98"/>
      <c r="BA155" s="217"/>
      <c r="BB155" s="98"/>
      <c r="BC155" s="98"/>
      <c r="BD155" s="98"/>
      <c r="BE155" s="98"/>
      <c r="BF155" s="98"/>
      <c r="BG155" s="219"/>
      <c r="BH155" s="219"/>
      <c r="BI155" s="219"/>
      <c r="BJ155" s="26"/>
      <c r="BK155" s="21"/>
      <c r="BL155" s="21"/>
      <c r="BM155" s="22"/>
      <c r="BN155" s="21"/>
      <c r="BO155" s="21"/>
      <c r="BP155" s="22"/>
      <c r="BQ155" s="21"/>
      <c r="BR155" s="21"/>
      <c r="BS155" s="22"/>
      <c r="BT15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55" s="109" t="str">
        <f>IF(ISNUMBER(tblParticipants[[#This Row],[SvcStartDate]]),IF(AND(tblParticipants[[#This Row],[EnrollQtr]]=1,tblParticipants[[#This Row],[SvcStartDate]]&lt;DATE(conProgYear,7,1)),1,""),"")</f>
        <v/>
      </c>
      <c r="BV15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55" s="232" t="str">
        <f t="shared" ca="1" si="2"/>
        <v/>
      </c>
      <c r="BX155" s="9">
        <f>IF(SUM(IF(tblParticipants[[#This Row],[AmIndOrAkNtv]]=1,1,0),IF(tblParticipants[[#This Row],[Asian]]=1,1,0),IF(tblParticipants[[#This Row],[BlkOrAfAmer]]=1,1,0),IF(tblParticipants[[#This Row],[NtvHawOrPacIsl]]=1,1,0),IF(tblParticipants[[#This Row],[White]]=1,1,0))&gt;1,1,0)</f>
        <v>0</v>
      </c>
      <c r="BY15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5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5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55" s="11">
        <f>IF(tblParticipants[[#This Row],[EarnWg2Qae]]=1,IFERROR(tblParticipants[[#This Row],[HoursPerWk2Qae]]*tblParticipants[[#This Row],[HrlyWg2Qae]]*13,0),0)</f>
        <v>0</v>
      </c>
      <c r="CC155" s="11">
        <f>IF(tblParticipants[[#This Row],[EarnWg3Qae]]=1,IFERROR(tblParticipants[[#This Row],[HoursPerWk3Qae]]*tblParticipants[[#This Row],[HrlyWg3Qae]]*13,0),0)</f>
        <v>0</v>
      </c>
      <c r="CD155" s="9">
        <f>IFERROR(IF(SUM(tblParticipants[[#This Row],[EarnWg1Qae]],tblParticipants[[#This Row],[EarnWg2Qae]],tblParticipants[[#This Row],[EarnWg3Qae]])=3,1,0),0)</f>
        <v>0</v>
      </c>
      <c r="CE155" s="12">
        <f>IF(tblParticipants[[#This Row],[EmplAll3Qae]]=1,tblParticipants[[#This Row],[Earnings2Qae]]+tblParticipants[[#This Row],[Earnings3Qae]],0)</f>
        <v>0</v>
      </c>
      <c r="CF155" s="407"/>
    </row>
    <row r="156" spans="1:84" x14ac:dyDescent="0.3">
      <c r="A156" s="19"/>
      <c r="B156" s="19"/>
      <c r="C156" s="20"/>
      <c r="D156" s="20"/>
      <c r="E156" s="26"/>
      <c r="F156" s="26"/>
      <c r="G156" s="26"/>
      <c r="H156" s="26"/>
      <c r="I156" s="26"/>
      <c r="J156" s="26"/>
      <c r="K156" s="26"/>
      <c r="L156" s="26"/>
      <c r="M156" s="20"/>
      <c r="N156" s="26"/>
      <c r="O156" s="22"/>
      <c r="P156" s="21"/>
      <c r="Q156" s="23"/>
      <c r="R156" s="21"/>
      <c r="S156" s="21"/>
      <c r="T156" s="21"/>
      <c r="U156" s="21"/>
      <c r="V156" s="21"/>
      <c r="W156" s="24"/>
      <c r="X156" s="20"/>
      <c r="Y156" s="20"/>
      <c r="Z156" s="21"/>
      <c r="AA156" s="21"/>
      <c r="AB156" s="21"/>
      <c r="AC156" s="21"/>
      <c r="AD156" s="21"/>
      <c r="AE156" s="21"/>
      <c r="AF156" s="21"/>
      <c r="AG156" s="21"/>
      <c r="AH156" s="21"/>
      <c r="AI156" s="25"/>
      <c r="AJ156" s="20"/>
      <c r="AK156" s="21"/>
      <c r="AL156" s="20"/>
      <c r="AM156" s="20"/>
      <c r="AN156" s="20"/>
      <c r="AO156" s="20"/>
      <c r="AP156" s="446"/>
      <c r="AQ156" s="20"/>
      <c r="AR156" s="20"/>
      <c r="AS156" s="20"/>
      <c r="AT156" s="20"/>
      <c r="AU156" s="26"/>
      <c r="AV156" s="98"/>
      <c r="AW156" s="98"/>
      <c r="AX156" s="98"/>
      <c r="AY156" s="98"/>
      <c r="AZ156" s="98"/>
      <c r="BA156" s="217"/>
      <c r="BB156" s="98"/>
      <c r="BC156" s="98"/>
      <c r="BD156" s="98"/>
      <c r="BE156" s="98"/>
      <c r="BF156" s="98"/>
      <c r="BG156" s="219"/>
      <c r="BH156" s="219"/>
      <c r="BI156" s="219"/>
      <c r="BJ156" s="26"/>
      <c r="BK156" s="21"/>
      <c r="BL156" s="21"/>
      <c r="BM156" s="22"/>
      <c r="BN156" s="21"/>
      <c r="BO156" s="21"/>
      <c r="BP156" s="22"/>
      <c r="BQ156" s="21"/>
      <c r="BR156" s="21"/>
      <c r="BS156" s="22"/>
      <c r="BT15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56" s="109" t="str">
        <f>IF(ISNUMBER(tblParticipants[[#This Row],[SvcStartDate]]),IF(AND(tblParticipants[[#This Row],[EnrollQtr]]=1,tblParticipants[[#This Row],[SvcStartDate]]&lt;DATE(conProgYear,7,1)),1,""),"")</f>
        <v/>
      </c>
      <c r="BV15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56" s="232" t="str">
        <f t="shared" ca="1" si="2"/>
        <v/>
      </c>
      <c r="BX156" s="9">
        <f>IF(SUM(IF(tblParticipants[[#This Row],[AmIndOrAkNtv]]=1,1,0),IF(tblParticipants[[#This Row],[Asian]]=1,1,0),IF(tblParticipants[[#This Row],[BlkOrAfAmer]]=1,1,0),IF(tblParticipants[[#This Row],[NtvHawOrPacIsl]]=1,1,0),IF(tblParticipants[[#This Row],[White]]=1,1,0))&gt;1,1,0)</f>
        <v>0</v>
      </c>
      <c r="BY15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5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5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56" s="11">
        <f>IF(tblParticipants[[#This Row],[EarnWg2Qae]]=1,IFERROR(tblParticipants[[#This Row],[HoursPerWk2Qae]]*tblParticipants[[#This Row],[HrlyWg2Qae]]*13,0),0)</f>
        <v>0</v>
      </c>
      <c r="CC156" s="11">
        <f>IF(tblParticipants[[#This Row],[EarnWg3Qae]]=1,IFERROR(tblParticipants[[#This Row],[HoursPerWk3Qae]]*tblParticipants[[#This Row],[HrlyWg3Qae]]*13,0),0)</f>
        <v>0</v>
      </c>
      <c r="CD156" s="9">
        <f>IFERROR(IF(SUM(tblParticipants[[#This Row],[EarnWg1Qae]],tblParticipants[[#This Row],[EarnWg2Qae]],tblParticipants[[#This Row],[EarnWg3Qae]])=3,1,0),0)</f>
        <v>0</v>
      </c>
      <c r="CE156" s="12">
        <f>IF(tblParticipants[[#This Row],[EmplAll3Qae]]=1,tblParticipants[[#This Row],[Earnings2Qae]]+tblParticipants[[#This Row],[Earnings3Qae]],0)</f>
        <v>0</v>
      </c>
      <c r="CF156" s="407"/>
    </row>
    <row r="157" spans="1:84" x14ac:dyDescent="0.3">
      <c r="A157" s="19"/>
      <c r="B157" s="19"/>
      <c r="C157" s="20"/>
      <c r="D157" s="20"/>
      <c r="E157" s="26"/>
      <c r="F157" s="26"/>
      <c r="G157" s="26"/>
      <c r="H157" s="26"/>
      <c r="I157" s="26"/>
      <c r="J157" s="26"/>
      <c r="K157" s="26"/>
      <c r="L157" s="26"/>
      <c r="M157" s="20"/>
      <c r="N157" s="26"/>
      <c r="O157" s="22"/>
      <c r="P157" s="21"/>
      <c r="Q157" s="23"/>
      <c r="R157" s="21"/>
      <c r="S157" s="21"/>
      <c r="T157" s="21"/>
      <c r="U157" s="21"/>
      <c r="V157" s="21"/>
      <c r="W157" s="24"/>
      <c r="X157" s="20"/>
      <c r="Y157" s="20"/>
      <c r="Z157" s="21"/>
      <c r="AA157" s="21"/>
      <c r="AB157" s="21"/>
      <c r="AC157" s="21"/>
      <c r="AD157" s="21"/>
      <c r="AE157" s="21"/>
      <c r="AF157" s="21"/>
      <c r="AG157" s="21"/>
      <c r="AH157" s="21"/>
      <c r="AI157" s="25"/>
      <c r="AJ157" s="20"/>
      <c r="AK157" s="21"/>
      <c r="AL157" s="20"/>
      <c r="AM157" s="20"/>
      <c r="AN157" s="20"/>
      <c r="AO157" s="20"/>
      <c r="AP157" s="446"/>
      <c r="AQ157" s="20"/>
      <c r="AR157" s="20"/>
      <c r="AS157" s="20"/>
      <c r="AT157" s="20"/>
      <c r="AU157" s="26"/>
      <c r="AV157" s="98"/>
      <c r="AW157" s="98"/>
      <c r="AX157" s="98"/>
      <c r="AY157" s="98"/>
      <c r="AZ157" s="98"/>
      <c r="BA157" s="217"/>
      <c r="BB157" s="98"/>
      <c r="BC157" s="98"/>
      <c r="BD157" s="98"/>
      <c r="BE157" s="98"/>
      <c r="BF157" s="98"/>
      <c r="BG157" s="219"/>
      <c r="BH157" s="219"/>
      <c r="BI157" s="219"/>
      <c r="BJ157" s="26"/>
      <c r="BK157" s="21"/>
      <c r="BL157" s="21"/>
      <c r="BM157" s="22"/>
      <c r="BN157" s="21"/>
      <c r="BO157" s="21"/>
      <c r="BP157" s="22"/>
      <c r="BQ157" s="21"/>
      <c r="BR157" s="21"/>
      <c r="BS157" s="22"/>
      <c r="BT15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57" s="109" t="str">
        <f>IF(ISNUMBER(tblParticipants[[#This Row],[SvcStartDate]]),IF(AND(tblParticipants[[#This Row],[EnrollQtr]]=1,tblParticipants[[#This Row],[SvcStartDate]]&lt;DATE(conProgYear,7,1)),1,""),"")</f>
        <v/>
      </c>
      <c r="BV15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57" s="232" t="str">
        <f t="shared" ca="1" si="2"/>
        <v/>
      </c>
      <c r="BX157" s="9">
        <f>IF(SUM(IF(tblParticipants[[#This Row],[AmIndOrAkNtv]]=1,1,0),IF(tblParticipants[[#This Row],[Asian]]=1,1,0),IF(tblParticipants[[#This Row],[BlkOrAfAmer]]=1,1,0),IF(tblParticipants[[#This Row],[NtvHawOrPacIsl]]=1,1,0),IF(tblParticipants[[#This Row],[White]]=1,1,0))&gt;1,1,0)</f>
        <v>0</v>
      </c>
      <c r="BY15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5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5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57" s="11">
        <f>IF(tblParticipants[[#This Row],[EarnWg2Qae]]=1,IFERROR(tblParticipants[[#This Row],[HoursPerWk2Qae]]*tblParticipants[[#This Row],[HrlyWg2Qae]]*13,0),0)</f>
        <v>0</v>
      </c>
      <c r="CC157" s="11">
        <f>IF(tblParticipants[[#This Row],[EarnWg3Qae]]=1,IFERROR(tblParticipants[[#This Row],[HoursPerWk3Qae]]*tblParticipants[[#This Row],[HrlyWg3Qae]]*13,0),0)</f>
        <v>0</v>
      </c>
      <c r="CD157" s="9">
        <f>IFERROR(IF(SUM(tblParticipants[[#This Row],[EarnWg1Qae]],tblParticipants[[#This Row],[EarnWg2Qae]],tblParticipants[[#This Row],[EarnWg3Qae]])=3,1,0),0)</f>
        <v>0</v>
      </c>
      <c r="CE157" s="12">
        <f>IF(tblParticipants[[#This Row],[EmplAll3Qae]]=1,tblParticipants[[#This Row],[Earnings2Qae]]+tblParticipants[[#This Row],[Earnings3Qae]],0)</f>
        <v>0</v>
      </c>
      <c r="CF157" s="407"/>
    </row>
    <row r="158" spans="1:84" x14ac:dyDescent="0.3">
      <c r="A158" s="19"/>
      <c r="B158" s="19"/>
      <c r="C158" s="20"/>
      <c r="D158" s="20"/>
      <c r="E158" s="26"/>
      <c r="F158" s="26"/>
      <c r="G158" s="26"/>
      <c r="H158" s="26"/>
      <c r="I158" s="26"/>
      <c r="J158" s="26"/>
      <c r="K158" s="26"/>
      <c r="L158" s="26"/>
      <c r="M158" s="20"/>
      <c r="N158" s="26"/>
      <c r="O158" s="22"/>
      <c r="P158" s="21"/>
      <c r="Q158" s="23"/>
      <c r="R158" s="21"/>
      <c r="S158" s="21"/>
      <c r="T158" s="21"/>
      <c r="U158" s="21"/>
      <c r="V158" s="21"/>
      <c r="W158" s="24"/>
      <c r="X158" s="20"/>
      <c r="Y158" s="20"/>
      <c r="Z158" s="21"/>
      <c r="AA158" s="21"/>
      <c r="AB158" s="21"/>
      <c r="AC158" s="21"/>
      <c r="AD158" s="21"/>
      <c r="AE158" s="21"/>
      <c r="AF158" s="21"/>
      <c r="AG158" s="21"/>
      <c r="AH158" s="21"/>
      <c r="AI158" s="25"/>
      <c r="AJ158" s="20"/>
      <c r="AK158" s="21"/>
      <c r="AL158" s="20"/>
      <c r="AM158" s="20"/>
      <c r="AN158" s="20"/>
      <c r="AO158" s="20"/>
      <c r="AP158" s="446"/>
      <c r="AQ158" s="20"/>
      <c r="AR158" s="20"/>
      <c r="AS158" s="20"/>
      <c r="AT158" s="20"/>
      <c r="AU158" s="26"/>
      <c r="AV158" s="98"/>
      <c r="AW158" s="98"/>
      <c r="AX158" s="98"/>
      <c r="AY158" s="98"/>
      <c r="AZ158" s="98"/>
      <c r="BA158" s="217"/>
      <c r="BB158" s="98"/>
      <c r="BC158" s="98"/>
      <c r="BD158" s="98"/>
      <c r="BE158" s="98"/>
      <c r="BF158" s="98"/>
      <c r="BG158" s="219"/>
      <c r="BH158" s="219"/>
      <c r="BI158" s="219"/>
      <c r="BJ158" s="26"/>
      <c r="BK158" s="21"/>
      <c r="BL158" s="21"/>
      <c r="BM158" s="22"/>
      <c r="BN158" s="21"/>
      <c r="BO158" s="21"/>
      <c r="BP158" s="22"/>
      <c r="BQ158" s="21"/>
      <c r="BR158" s="21"/>
      <c r="BS158" s="22"/>
      <c r="BT15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58" s="109" t="str">
        <f>IF(ISNUMBER(tblParticipants[[#This Row],[SvcStartDate]]),IF(AND(tblParticipants[[#This Row],[EnrollQtr]]=1,tblParticipants[[#This Row],[SvcStartDate]]&lt;DATE(conProgYear,7,1)),1,""),"")</f>
        <v/>
      </c>
      <c r="BV15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58" s="232" t="str">
        <f t="shared" ca="1" si="2"/>
        <v/>
      </c>
      <c r="BX158" s="9">
        <f>IF(SUM(IF(tblParticipants[[#This Row],[AmIndOrAkNtv]]=1,1,0),IF(tblParticipants[[#This Row],[Asian]]=1,1,0),IF(tblParticipants[[#This Row],[BlkOrAfAmer]]=1,1,0),IF(tblParticipants[[#This Row],[NtvHawOrPacIsl]]=1,1,0),IF(tblParticipants[[#This Row],[White]]=1,1,0))&gt;1,1,0)</f>
        <v>0</v>
      </c>
      <c r="BY15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5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5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58" s="11">
        <f>IF(tblParticipants[[#This Row],[EarnWg2Qae]]=1,IFERROR(tblParticipants[[#This Row],[HoursPerWk2Qae]]*tblParticipants[[#This Row],[HrlyWg2Qae]]*13,0),0)</f>
        <v>0</v>
      </c>
      <c r="CC158" s="11">
        <f>IF(tblParticipants[[#This Row],[EarnWg3Qae]]=1,IFERROR(tblParticipants[[#This Row],[HoursPerWk3Qae]]*tblParticipants[[#This Row],[HrlyWg3Qae]]*13,0),0)</f>
        <v>0</v>
      </c>
      <c r="CD158" s="9">
        <f>IFERROR(IF(SUM(tblParticipants[[#This Row],[EarnWg1Qae]],tblParticipants[[#This Row],[EarnWg2Qae]],tblParticipants[[#This Row],[EarnWg3Qae]])=3,1,0),0)</f>
        <v>0</v>
      </c>
      <c r="CE158" s="12">
        <f>IF(tblParticipants[[#This Row],[EmplAll3Qae]]=1,tblParticipants[[#This Row],[Earnings2Qae]]+tblParticipants[[#This Row],[Earnings3Qae]],0)</f>
        <v>0</v>
      </c>
      <c r="CF158" s="407"/>
    </row>
    <row r="159" spans="1:84" x14ac:dyDescent="0.3">
      <c r="A159" s="19"/>
      <c r="B159" s="19"/>
      <c r="C159" s="20"/>
      <c r="D159" s="20"/>
      <c r="E159" s="26"/>
      <c r="F159" s="26"/>
      <c r="G159" s="26"/>
      <c r="H159" s="26"/>
      <c r="I159" s="26"/>
      <c r="J159" s="26"/>
      <c r="K159" s="26"/>
      <c r="L159" s="26"/>
      <c r="M159" s="20"/>
      <c r="N159" s="26"/>
      <c r="O159" s="22"/>
      <c r="P159" s="21"/>
      <c r="Q159" s="23"/>
      <c r="R159" s="21"/>
      <c r="S159" s="21"/>
      <c r="T159" s="21"/>
      <c r="U159" s="21"/>
      <c r="V159" s="21"/>
      <c r="W159" s="24"/>
      <c r="X159" s="20"/>
      <c r="Y159" s="20"/>
      <c r="Z159" s="21"/>
      <c r="AA159" s="21"/>
      <c r="AB159" s="21"/>
      <c r="AC159" s="21"/>
      <c r="AD159" s="21"/>
      <c r="AE159" s="21"/>
      <c r="AF159" s="21"/>
      <c r="AG159" s="21"/>
      <c r="AH159" s="21"/>
      <c r="AI159" s="25"/>
      <c r="AJ159" s="20"/>
      <c r="AK159" s="21"/>
      <c r="AL159" s="20"/>
      <c r="AM159" s="20"/>
      <c r="AN159" s="20"/>
      <c r="AO159" s="20"/>
      <c r="AP159" s="446"/>
      <c r="AQ159" s="20"/>
      <c r="AR159" s="20"/>
      <c r="AS159" s="20"/>
      <c r="AT159" s="20"/>
      <c r="AU159" s="26"/>
      <c r="AV159" s="98"/>
      <c r="AW159" s="98"/>
      <c r="AX159" s="98"/>
      <c r="AY159" s="98"/>
      <c r="AZ159" s="98"/>
      <c r="BA159" s="217"/>
      <c r="BB159" s="98"/>
      <c r="BC159" s="98"/>
      <c r="BD159" s="98"/>
      <c r="BE159" s="98"/>
      <c r="BF159" s="98"/>
      <c r="BG159" s="219"/>
      <c r="BH159" s="219"/>
      <c r="BI159" s="219"/>
      <c r="BJ159" s="26"/>
      <c r="BK159" s="21"/>
      <c r="BL159" s="21"/>
      <c r="BM159" s="22"/>
      <c r="BN159" s="21"/>
      <c r="BO159" s="21"/>
      <c r="BP159" s="22"/>
      <c r="BQ159" s="21"/>
      <c r="BR159" s="21"/>
      <c r="BS159" s="22"/>
      <c r="BT15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59" s="109" t="str">
        <f>IF(ISNUMBER(tblParticipants[[#This Row],[SvcStartDate]]),IF(AND(tblParticipants[[#This Row],[EnrollQtr]]=1,tblParticipants[[#This Row],[SvcStartDate]]&lt;DATE(conProgYear,7,1)),1,""),"")</f>
        <v/>
      </c>
      <c r="BV15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59" s="232" t="str">
        <f t="shared" ca="1" si="2"/>
        <v/>
      </c>
      <c r="BX159" s="9">
        <f>IF(SUM(IF(tblParticipants[[#This Row],[AmIndOrAkNtv]]=1,1,0),IF(tblParticipants[[#This Row],[Asian]]=1,1,0),IF(tblParticipants[[#This Row],[BlkOrAfAmer]]=1,1,0),IF(tblParticipants[[#This Row],[NtvHawOrPacIsl]]=1,1,0),IF(tblParticipants[[#This Row],[White]]=1,1,0))&gt;1,1,0)</f>
        <v>0</v>
      </c>
      <c r="BY15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5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5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59" s="11">
        <f>IF(tblParticipants[[#This Row],[EarnWg2Qae]]=1,IFERROR(tblParticipants[[#This Row],[HoursPerWk2Qae]]*tblParticipants[[#This Row],[HrlyWg2Qae]]*13,0),0)</f>
        <v>0</v>
      </c>
      <c r="CC159" s="11">
        <f>IF(tblParticipants[[#This Row],[EarnWg3Qae]]=1,IFERROR(tblParticipants[[#This Row],[HoursPerWk3Qae]]*tblParticipants[[#This Row],[HrlyWg3Qae]]*13,0),0)</f>
        <v>0</v>
      </c>
      <c r="CD159" s="9">
        <f>IFERROR(IF(SUM(tblParticipants[[#This Row],[EarnWg1Qae]],tblParticipants[[#This Row],[EarnWg2Qae]],tblParticipants[[#This Row],[EarnWg3Qae]])=3,1,0),0)</f>
        <v>0</v>
      </c>
      <c r="CE159" s="12">
        <f>IF(tblParticipants[[#This Row],[EmplAll3Qae]]=1,tblParticipants[[#This Row],[Earnings2Qae]]+tblParticipants[[#This Row],[Earnings3Qae]],0)</f>
        <v>0</v>
      </c>
      <c r="CF159" s="407"/>
    </row>
    <row r="160" spans="1:84" x14ac:dyDescent="0.3">
      <c r="A160" s="19"/>
      <c r="B160" s="19"/>
      <c r="C160" s="20"/>
      <c r="D160" s="20"/>
      <c r="E160" s="26"/>
      <c r="F160" s="26"/>
      <c r="G160" s="26"/>
      <c r="H160" s="26"/>
      <c r="I160" s="26"/>
      <c r="J160" s="26"/>
      <c r="K160" s="26"/>
      <c r="L160" s="26"/>
      <c r="M160" s="20"/>
      <c r="N160" s="26"/>
      <c r="O160" s="22"/>
      <c r="P160" s="21"/>
      <c r="Q160" s="23"/>
      <c r="R160" s="21"/>
      <c r="S160" s="21"/>
      <c r="T160" s="21"/>
      <c r="U160" s="21"/>
      <c r="V160" s="21"/>
      <c r="W160" s="24"/>
      <c r="X160" s="20"/>
      <c r="Y160" s="20"/>
      <c r="Z160" s="21"/>
      <c r="AA160" s="21"/>
      <c r="AB160" s="21"/>
      <c r="AC160" s="21"/>
      <c r="AD160" s="21"/>
      <c r="AE160" s="21"/>
      <c r="AF160" s="21"/>
      <c r="AG160" s="21"/>
      <c r="AH160" s="21"/>
      <c r="AI160" s="25"/>
      <c r="AJ160" s="20"/>
      <c r="AK160" s="21"/>
      <c r="AL160" s="20"/>
      <c r="AM160" s="20"/>
      <c r="AN160" s="20"/>
      <c r="AO160" s="20"/>
      <c r="AP160" s="446"/>
      <c r="AQ160" s="20"/>
      <c r="AR160" s="20"/>
      <c r="AS160" s="20"/>
      <c r="AT160" s="20"/>
      <c r="AU160" s="26"/>
      <c r="AV160" s="98"/>
      <c r="AW160" s="98"/>
      <c r="AX160" s="98"/>
      <c r="AY160" s="98"/>
      <c r="AZ160" s="98"/>
      <c r="BA160" s="217"/>
      <c r="BB160" s="98"/>
      <c r="BC160" s="98"/>
      <c r="BD160" s="98"/>
      <c r="BE160" s="98"/>
      <c r="BF160" s="98"/>
      <c r="BG160" s="219"/>
      <c r="BH160" s="219"/>
      <c r="BI160" s="219"/>
      <c r="BJ160" s="26"/>
      <c r="BK160" s="21"/>
      <c r="BL160" s="21"/>
      <c r="BM160" s="22"/>
      <c r="BN160" s="21"/>
      <c r="BO160" s="21"/>
      <c r="BP160" s="22"/>
      <c r="BQ160" s="21"/>
      <c r="BR160" s="21"/>
      <c r="BS160" s="22"/>
      <c r="BT16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60" s="109" t="str">
        <f>IF(ISNUMBER(tblParticipants[[#This Row],[SvcStartDate]]),IF(AND(tblParticipants[[#This Row],[EnrollQtr]]=1,tblParticipants[[#This Row],[SvcStartDate]]&lt;DATE(conProgYear,7,1)),1,""),"")</f>
        <v/>
      </c>
      <c r="BV16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60" s="232" t="str">
        <f t="shared" ca="1" si="2"/>
        <v/>
      </c>
      <c r="BX160" s="9">
        <f>IF(SUM(IF(tblParticipants[[#This Row],[AmIndOrAkNtv]]=1,1,0),IF(tblParticipants[[#This Row],[Asian]]=1,1,0),IF(tblParticipants[[#This Row],[BlkOrAfAmer]]=1,1,0),IF(tblParticipants[[#This Row],[NtvHawOrPacIsl]]=1,1,0),IF(tblParticipants[[#This Row],[White]]=1,1,0))&gt;1,1,0)</f>
        <v>0</v>
      </c>
      <c r="BY16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6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6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60" s="11">
        <f>IF(tblParticipants[[#This Row],[EarnWg2Qae]]=1,IFERROR(tblParticipants[[#This Row],[HoursPerWk2Qae]]*tblParticipants[[#This Row],[HrlyWg2Qae]]*13,0),0)</f>
        <v>0</v>
      </c>
      <c r="CC160" s="11">
        <f>IF(tblParticipants[[#This Row],[EarnWg3Qae]]=1,IFERROR(tblParticipants[[#This Row],[HoursPerWk3Qae]]*tblParticipants[[#This Row],[HrlyWg3Qae]]*13,0),0)</f>
        <v>0</v>
      </c>
      <c r="CD160" s="9">
        <f>IFERROR(IF(SUM(tblParticipants[[#This Row],[EarnWg1Qae]],tblParticipants[[#This Row],[EarnWg2Qae]],tblParticipants[[#This Row],[EarnWg3Qae]])=3,1,0),0)</f>
        <v>0</v>
      </c>
      <c r="CE160" s="12">
        <f>IF(tblParticipants[[#This Row],[EmplAll3Qae]]=1,tblParticipants[[#This Row],[Earnings2Qae]]+tblParticipants[[#This Row],[Earnings3Qae]],0)</f>
        <v>0</v>
      </c>
      <c r="CF160" s="407"/>
    </row>
    <row r="161" spans="1:84" x14ac:dyDescent="0.3">
      <c r="A161" s="19"/>
      <c r="B161" s="19"/>
      <c r="C161" s="20"/>
      <c r="D161" s="20"/>
      <c r="E161" s="26"/>
      <c r="F161" s="26"/>
      <c r="G161" s="26"/>
      <c r="H161" s="26"/>
      <c r="I161" s="26"/>
      <c r="J161" s="26"/>
      <c r="K161" s="26"/>
      <c r="L161" s="26"/>
      <c r="M161" s="20"/>
      <c r="N161" s="26"/>
      <c r="O161" s="22"/>
      <c r="P161" s="21"/>
      <c r="Q161" s="23"/>
      <c r="R161" s="21"/>
      <c r="S161" s="21"/>
      <c r="T161" s="21"/>
      <c r="U161" s="21"/>
      <c r="V161" s="21"/>
      <c r="W161" s="24"/>
      <c r="X161" s="20"/>
      <c r="Y161" s="20"/>
      <c r="Z161" s="21"/>
      <c r="AA161" s="21"/>
      <c r="AB161" s="21"/>
      <c r="AC161" s="21"/>
      <c r="AD161" s="21"/>
      <c r="AE161" s="21"/>
      <c r="AF161" s="21"/>
      <c r="AG161" s="21"/>
      <c r="AH161" s="21"/>
      <c r="AI161" s="25"/>
      <c r="AJ161" s="20"/>
      <c r="AK161" s="21"/>
      <c r="AL161" s="20"/>
      <c r="AM161" s="20"/>
      <c r="AN161" s="20"/>
      <c r="AO161" s="20"/>
      <c r="AP161" s="446"/>
      <c r="AQ161" s="20"/>
      <c r="AR161" s="20"/>
      <c r="AS161" s="20"/>
      <c r="AT161" s="20"/>
      <c r="AU161" s="26"/>
      <c r="AV161" s="98"/>
      <c r="AW161" s="98"/>
      <c r="AX161" s="98"/>
      <c r="AY161" s="98"/>
      <c r="AZ161" s="98"/>
      <c r="BA161" s="217"/>
      <c r="BB161" s="98"/>
      <c r="BC161" s="98"/>
      <c r="BD161" s="98"/>
      <c r="BE161" s="98"/>
      <c r="BF161" s="98"/>
      <c r="BG161" s="219"/>
      <c r="BH161" s="219"/>
      <c r="BI161" s="219"/>
      <c r="BJ161" s="26"/>
      <c r="BK161" s="21"/>
      <c r="BL161" s="21"/>
      <c r="BM161" s="22"/>
      <c r="BN161" s="21"/>
      <c r="BO161" s="21"/>
      <c r="BP161" s="22"/>
      <c r="BQ161" s="21"/>
      <c r="BR161" s="21"/>
      <c r="BS161" s="22"/>
      <c r="BT16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61" s="109" t="str">
        <f>IF(ISNUMBER(tblParticipants[[#This Row],[SvcStartDate]]),IF(AND(tblParticipants[[#This Row],[EnrollQtr]]=1,tblParticipants[[#This Row],[SvcStartDate]]&lt;DATE(conProgYear,7,1)),1,""),"")</f>
        <v/>
      </c>
      <c r="BV16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61" s="232" t="str">
        <f t="shared" ca="1" si="2"/>
        <v/>
      </c>
      <c r="BX161" s="9">
        <f>IF(SUM(IF(tblParticipants[[#This Row],[AmIndOrAkNtv]]=1,1,0),IF(tblParticipants[[#This Row],[Asian]]=1,1,0),IF(tblParticipants[[#This Row],[BlkOrAfAmer]]=1,1,0),IF(tblParticipants[[#This Row],[NtvHawOrPacIsl]]=1,1,0),IF(tblParticipants[[#This Row],[White]]=1,1,0))&gt;1,1,0)</f>
        <v>0</v>
      </c>
      <c r="BY16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6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6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61" s="11">
        <f>IF(tblParticipants[[#This Row],[EarnWg2Qae]]=1,IFERROR(tblParticipants[[#This Row],[HoursPerWk2Qae]]*tblParticipants[[#This Row],[HrlyWg2Qae]]*13,0),0)</f>
        <v>0</v>
      </c>
      <c r="CC161" s="11">
        <f>IF(tblParticipants[[#This Row],[EarnWg3Qae]]=1,IFERROR(tblParticipants[[#This Row],[HoursPerWk3Qae]]*tblParticipants[[#This Row],[HrlyWg3Qae]]*13,0),0)</f>
        <v>0</v>
      </c>
      <c r="CD161" s="9">
        <f>IFERROR(IF(SUM(tblParticipants[[#This Row],[EarnWg1Qae]],tblParticipants[[#This Row],[EarnWg2Qae]],tblParticipants[[#This Row],[EarnWg3Qae]])=3,1,0),0)</f>
        <v>0</v>
      </c>
      <c r="CE161" s="12">
        <f>IF(tblParticipants[[#This Row],[EmplAll3Qae]]=1,tblParticipants[[#This Row],[Earnings2Qae]]+tblParticipants[[#This Row],[Earnings3Qae]],0)</f>
        <v>0</v>
      </c>
      <c r="CF161" s="407"/>
    </row>
    <row r="162" spans="1:84" x14ac:dyDescent="0.3">
      <c r="A162" s="19"/>
      <c r="B162" s="19"/>
      <c r="C162" s="20"/>
      <c r="D162" s="20"/>
      <c r="E162" s="26"/>
      <c r="F162" s="26"/>
      <c r="G162" s="26"/>
      <c r="H162" s="26"/>
      <c r="I162" s="26"/>
      <c r="J162" s="26"/>
      <c r="K162" s="26"/>
      <c r="L162" s="26"/>
      <c r="M162" s="20"/>
      <c r="N162" s="26"/>
      <c r="O162" s="22"/>
      <c r="P162" s="21"/>
      <c r="Q162" s="23"/>
      <c r="R162" s="21"/>
      <c r="S162" s="21"/>
      <c r="T162" s="21"/>
      <c r="U162" s="21"/>
      <c r="V162" s="21"/>
      <c r="W162" s="24"/>
      <c r="X162" s="20"/>
      <c r="Y162" s="20"/>
      <c r="Z162" s="21"/>
      <c r="AA162" s="21"/>
      <c r="AB162" s="21"/>
      <c r="AC162" s="21"/>
      <c r="AD162" s="21"/>
      <c r="AE162" s="21"/>
      <c r="AF162" s="21"/>
      <c r="AG162" s="21"/>
      <c r="AH162" s="21"/>
      <c r="AI162" s="25"/>
      <c r="AJ162" s="20"/>
      <c r="AK162" s="21"/>
      <c r="AL162" s="20"/>
      <c r="AM162" s="20"/>
      <c r="AN162" s="20"/>
      <c r="AO162" s="20"/>
      <c r="AP162" s="446"/>
      <c r="AQ162" s="20"/>
      <c r="AR162" s="20"/>
      <c r="AS162" s="20"/>
      <c r="AT162" s="20"/>
      <c r="AU162" s="26"/>
      <c r="AV162" s="98"/>
      <c r="AW162" s="98"/>
      <c r="AX162" s="98"/>
      <c r="AY162" s="98"/>
      <c r="AZ162" s="98"/>
      <c r="BA162" s="217"/>
      <c r="BB162" s="98"/>
      <c r="BC162" s="98"/>
      <c r="BD162" s="98"/>
      <c r="BE162" s="98"/>
      <c r="BF162" s="98"/>
      <c r="BG162" s="219"/>
      <c r="BH162" s="219"/>
      <c r="BI162" s="219"/>
      <c r="BJ162" s="26"/>
      <c r="BK162" s="21"/>
      <c r="BL162" s="21"/>
      <c r="BM162" s="22"/>
      <c r="BN162" s="21"/>
      <c r="BO162" s="21"/>
      <c r="BP162" s="22"/>
      <c r="BQ162" s="21"/>
      <c r="BR162" s="21"/>
      <c r="BS162" s="22"/>
      <c r="BT16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62" s="109" t="str">
        <f>IF(ISNUMBER(tblParticipants[[#This Row],[SvcStartDate]]),IF(AND(tblParticipants[[#This Row],[EnrollQtr]]=1,tblParticipants[[#This Row],[SvcStartDate]]&lt;DATE(conProgYear,7,1)),1,""),"")</f>
        <v/>
      </c>
      <c r="BV16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62" s="232" t="str">
        <f t="shared" ca="1" si="2"/>
        <v/>
      </c>
      <c r="BX162" s="9">
        <f>IF(SUM(IF(tblParticipants[[#This Row],[AmIndOrAkNtv]]=1,1,0),IF(tblParticipants[[#This Row],[Asian]]=1,1,0),IF(tblParticipants[[#This Row],[BlkOrAfAmer]]=1,1,0),IF(tblParticipants[[#This Row],[NtvHawOrPacIsl]]=1,1,0),IF(tblParticipants[[#This Row],[White]]=1,1,0))&gt;1,1,0)</f>
        <v>0</v>
      </c>
      <c r="BY16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6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6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62" s="11">
        <f>IF(tblParticipants[[#This Row],[EarnWg2Qae]]=1,IFERROR(tblParticipants[[#This Row],[HoursPerWk2Qae]]*tblParticipants[[#This Row],[HrlyWg2Qae]]*13,0),0)</f>
        <v>0</v>
      </c>
      <c r="CC162" s="11">
        <f>IF(tblParticipants[[#This Row],[EarnWg3Qae]]=1,IFERROR(tblParticipants[[#This Row],[HoursPerWk3Qae]]*tblParticipants[[#This Row],[HrlyWg3Qae]]*13,0),0)</f>
        <v>0</v>
      </c>
      <c r="CD162" s="9">
        <f>IFERROR(IF(SUM(tblParticipants[[#This Row],[EarnWg1Qae]],tblParticipants[[#This Row],[EarnWg2Qae]],tblParticipants[[#This Row],[EarnWg3Qae]])=3,1,0),0)</f>
        <v>0</v>
      </c>
      <c r="CE162" s="12">
        <f>IF(tblParticipants[[#This Row],[EmplAll3Qae]]=1,tblParticipants[[#This Row],[Earnings2Qae]]+tblParticipants[[#This Row],[Earnings3Qae]],0)</f>
        <v>0</v>
      </c>
      <c r="CF162" s="407"/>
    </row>
    <row r="163" spans="1:84" x14ac:dyDescent="0.3">
      <c r="A163" s="19"/>
      <c r="B163" s="19"/>
      <c r="C163" s="20"/>
      <c r="D163" s="20"/>
      <c r="E163" s="26"/>
      <c r="F163" s="26"/>
      <c r="G163" s="26"/>
      <c r="H163" s="26"/>
      <c r="I163" s="26"/>
      <c r="J163" s="26"/>
      <c r="K163" s="26"/>
      <c r="L163" s="26"/>
      <c r="M163" s="20"/>
      <c r="N163" s="26"/>
      <c r="O163" s="22"/>
      <c r="P163" s="21"/>
      <c r="Q163" s="23"/>
      <c r="R163" s="21"/>
      <c r="S163" s="21"/>
      <c r="T163" s="21"/>
      <c r="U163" s="21"/>
      <c r="V163" s="21"/>
      <c r="W163" s="24"/>
      <c r="X163" s="20"/>
      <c r="Y163" s="20"/>
      <c r="Z163" s="21"/>
      <c r="AA163" s="21"/>
      <c r="AB163" s="21"/>
      <c r="AC163" s="21"/>
      <c r="AD163" s="21"/>
      <c r="AE163" s="21"/>
      <c r="AF163" s="21"/>
      <c r="AG163" s="21"/>
      <c r="AH163" s="21"/>
      <c r="AI163" s="25"/>
      <c r="AJ163" s="20"/>
      <c r="AK163" s="21"/>
      <c r="AL163" s="20"/>
      <c r="AM163" s="20"/>
      <c r="AN163" s="20"/>
      <c r="AO163" s="20"/>
      <c r="AP163" s="446"/>
      <c r="AQ163" s="20"/>
      <c r="AR163" s="20"/>
      <c r="AS163" s="20"/>
      <c r="AT163" s="20"/>
      <c r="AU163" s="26"/>
      <c r="AV163" s="98"/>
      <c r="AW163" s="98"/>
      <c r="AX163" s="98"/>
      <c r="AY163" s="98"/>
      <c r="AZ163" s="98"/>
      <c r="BA163" s="217"/>
      <c r="BB163" s="98"/>
      <c r="BC163" s="98"/>
      <c r="BD163" s="98"/>
      <c r="BE163" s="98"/>
      <c r="BF163" s="98"/>
      <c r="BG163" s="219"/>
      <c r="BH163" s="219"/>
      <c r="BI163" s="219"/>
      <c r="BJ163" s="26"/>
      <c r="BK163" s="21"/>
      <c r="BL163" s="21"/>
      <c r="BM163" s="22"/>
      <c r="BN163" s="21"/>
      <c r="BO163" s="21"/>
      <c r="BP163" s="22"/>
      <c r="BQ163" s="21"/>
      <c r="BR163" s="21"/>
      <c r="BS163" s="22"/>
      <c r="BT16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63" s="109" t="str">
        <f>IF(ISNUMBER(tblParticipants[[#This Row],[SvcStartDate]]),IF(AND(tblParticipants[[#This Row],[EnrollQtr]]=1,tblParticipants[[#This Row],[SvcStartDate]]&lt;DATE(conProgYear,7,1)),1,""),"")</f>
        <v/>
      </c>
      <c r="BV16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63" s="232" t="str">
        <f t="shared" ca="1" si="2"/>
        <v/>
      </c>
      <c r="BX163" s="9">
        <f>IF(SUM(IF(tblParticipants[[#This Row],[AmIndOrAkNtv]]=1,1,0),IF(tblParticipants[[#This Row],[Asian]]=1,1,0),IF(tblParticipants[[#This Row],[BlkOrAfAmer]]=1,1,0),IF(tblParticipants[[#This Row],[NtvHawOrPacIsl]]=1,1,0),IF(tblParticipants[[#This Row],[White]]=1,1,0))&gt;1,1,0)</f>
        <v>0</v>
      </c>
      <c r="BY16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6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6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63" s="11">
        <f>IF(tblParticipants[[#This Row],[EarnWg2Qae]]=1,IFERROR(tblParticipants[[#This Row],[HoursPerWk2Qae]]*tblParticipants[[#This Row],[HrlyWg2Qae]]*13,0),0)</f>
        <v>0</v>
      </c>
      <c r="CC163" s="11">
        <f>IF(tblParticipants[[#This Row],[EarnWg3Qae]]=1,IFERROR(tblParticipants[[#This Row],[HoursPerWk3Qae]]*tblParticipants[[#This Row],[HrlyWg3Qae]]*13,0),0)</f>
        <v>0</v>
      </c>
      <c r="CD163" s="9">
        <f>IFERROR(IF(SUM(tblParticipants[[#This Row],[EarnWg1Qae]],tblParticipants[[#This Row],[EarnWg2Qae]],tblParticipants[[#This Row],[EarnWg3Qae]])=3,1,0),0)</f>
        <v>0</v>
      </c>
      <c r="CE163" s="12">
        <f>IF(tblParticipants[[#This Row],[EmplAll3Qae]]=1,tblParticipants[[#This Row],[Earnings2Qae]]+tblParticipants[[#This Row],[Earnings3Qae]],0)</f>
        <v>0</v>
      </c>
      <c r="CF163" s="407"/>
    </row>
    <row r="164" spans="1:84" x14ac:dyDescent="0.3">
      <c r="A164" s="19"/>
      <c r="B164" s="19"/>
      <c r="C164" s="20"/>
      <c r="D164" s="20"/>
      <c r="E164" s="26"/>
      <c r="F164" s="26"/>
      <c r="G164" s="26"/>
      <c r="H164" s="26"/>
      <c r="I164" s="26"/>
      <c r="J164" s="26"/>
      <c r="K164" s="26"/>
      <c r="L164" s="26"/>
      <c r="M164" s="20"/>
      <c r="N164" s="26"/>
      <c r="O164" s="22"/>
      <c r="P164" s="21"/>
      <c r="Q164" s="23"/>
      <c r="R164" s="21"/>
      <c r="S164" s="21"/>
      <c r="T164" s="21"/>
      <c r="U164" s="21"/>
      <c r="V164" s="21"/>
      <c r="W164" s="24"/>
      <c r="X164" s="20"/>
      <c r="Y164" s="20"/>
      <c r="Z164" s="21"/>
      <c r="AA164" s="21"/>
      <c r="AB164" s="21"/>
      <c r="AC164" s="21"/>
      <c r="AD164" s="21"/>
      <c r="AE164" s="21"/>
      <c r="AF164" s="21"/>
      <c r="AG164" s="21"/>
      <c r="AH164" s="21"/>
      <c r="AI164" s="25"/>
      <c r="AJ164" s="20"/>
      <c r="AK164" s="21"/>
      <c r="AL164" s="20"/>
      <c r="AM164" s="20"/>
      <c r="AN164" s="20"/>
      <c r="AO164" s="20"/>
      <c r="AP164" s="446"/>
      <c r="AQ164" s="20"/>
      <c r="AR164" s="20"/>
      <c r="AS164" s="20"/>
      <c r="AT164" s="20"/>
      <c r="AU164" s="26"/>
      <c r="AV164" s="98"/>
      <c r="AW164" s="98"/>
      <c r="AX164" s="98"/>
      <c r="AY164" s="98"/>
      <c r="AZ164" s="98"/>
      <c r="BA164" s="217"/>
      <c r="BB164" s="98"/>
      <c r="BC164" s="98"/>
      <c r="BD164" s="98"/>
      <c r="BE164" s="98"/>
      <c r="BF164" s="98"/>
      <c r="BG164" s="219"/>
      <c r="BH164" s="219"/>
      <c r="BI164" s="219"/>
      <c r="BJ164" s="26"/>
      <c r="BK164" s="21"/>
      <c r="BL164" s="21"/>
      <c r="BM164" s="22"/>
      <c r="BN164" s="21"/>
      <c r="BO164" s="21"/>
      <c r="BP164" s="22"/>
      <c r="BQ164" s="21"/>
      <c r="BR164" s="21"/>
      <c r="BS164" s="22"/>
      <c r="BT16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64" s="109" t="str">
        <f>IF(ISNUMBER(tblParticipants[[#This Row],[SvcStartDate]]),IF(AND(tblParticipants[[#This Row],[EnrollQtr]]=1,tblParticipants[[#This Row],[SvcStartDate]]&lt;DATE(conProgYear,7,1)),1,""),"")</f>
        <v/>
      </c>
      <c r="BV16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64" s="232" t="str">
        <f t="shared" ca="1" si="2"/>
        <v/>
      </c>
      <c r="BX164" s="9">
        <f>IF(SUM(IF(tblParticipants[[#This Row],[AmIndOrAkNtv]]=1,1,0),IF(tblParticipants[[#This Row],[Asian]]=1,1,0),IF(tblParticipants[[#This Row],[BlkOrAfAmer]]=1,1,0),IF(tblParticipants[[#This Row],[NtvHawOrPacIsl]]=1,1,0),IF(tblParticipants[[#This Row],[White]]=1,1,0))&gt;1,1,0)</f>
        <v>0</v>
      </c>
      <c r="BY16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6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6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64" s="11">
        <f>IF(tblParticipants[[#This Row],[EarnWg2Qae]]=1,IFERROR(tblParticipants[[#This Row],[HoursPerWk2Qae]]*tblParticipants[[#This Row],[HrlyWg2Qae]]*13,0),0)</f>
        <v>0</v>
      </c>
      <c r="CC164" s="11">
        <f>IF(tblParticipants[[#This Row],[EarnWg3Qae]]=1,IFERROR(tblParticipants[[#This Row],[HoursPerWk3Qae]]*tblParticipants[[#This Row],[HrlyWg3Qae]]*13,0),0)</f>
        <v>0</v>
      </c>
      <c r="CD164" s="9">
        <f>IFERROR(IF(SUM(tblParticipants[[#This Row],[EarnWg1Qae]],tblParticipants[[#This Row],[EarnWg2Qae]],tblParticipants[[#This Row],[EarnWg3Qae]])=3,1,0),0)</f>
        <v>0</v>
      </c>
      <c r="CE164" s="12">
        <f>IF(tblParticipants[[#This Row],[EmplAll3Qae]]=1,tblParticipants[[#This Row],[Earnings2Qae]]+tblParticipants[[#This Row],[Earnings3Qae]],0)</f>
        <v>0</v>
      </c>
      <c r="CF164" s="407"/>
    </row>
    <row r="165" spans="1:84" x14ac:dyDescent="0.3">
      <c r="A165" s="19"/>
      <c r="B165" s="19"/>
      <c r="C165" s="20"/>
      <c r="D165" s="20"/>
      <c r="E165" s="26"/>
      <c r="F165" s="26"/>
      <c r="G165" s="26"/>
      <c r="H165" s="26"/>
      <c r="I165" s="26"/>
      <c r="J165" s="26"/>
      <c r="K165" s="26"/>
      <c r="L165" s="26"/>
      <c r="M165" s="20"/>
      <c r="N165" s="26"/>
      <c r="O165" s="22"/>
      <c r="P165" s="21"/>
      <c r="Q165" s="23"/>
      <c r="R165" s="21"/>
      <c r="S165" s="21"/>
      <c r="T165" s="21"/>
      <c r="U165" s="21"/>
      <c r="V165" s="21"/>
      <c r="W165" s="24"/>
      <c r="X165" s="20"/>
      <c r="Y165" s="20"/>
      <c r="Z165" s="21"/>
      <c r="AA165" s="21"/>
      <c r="AB165" s="21"/>
      <c r="AC165" s="21"/>
      <c r="AD165" s="21"/>
      <c r="AE165" s="21"/>
      <c r="AF165" s="21"/>
      <c r="AG165" s="21"/>
      <c r="AH165" s="21"/>
      <c r="AI165" s="25"/>
      <c r="AJ165" s="20"/>
      <c r="AK165" s="21"/>
      <c r="AL165" s="20"/>
      <c r="AM165" s="20"/>
      <c r="AN165" s="20"/>
      <c r="AO165" s="20"/>
      <c r="AP165" s="446"/>
      <c r="AQ165" s="20"/>
      <c r="AR165" s="20"/>
      <c r="AS165" s="20"/>
      <c r="AT165" s="20"/>
      <c r="AU165" s="26"/>
      <c r="AV165" s="98"/>
      <c r="AW165" s="98"/>
      <c r="AX165" s="98"/>
      <c r="AY165" s="98"/>
      <c r="AZ165" s="98"/>
      <c r="BA165" s="217"/>
      <c r="BB165" s="98"/>
      <c r="BC165" s="98"/>
      <c r="BD165" s="98"/>
      <c r="BE165" s="98"/>
      <c r="BF165" s="98"/>
      <c r="BG165" s="219"/>
      <c r="BH165" s="219"/>
      <c r="BI165" s="219"/>
      <c r="BJ165" s="26"/>
      <c r="BK165" s="21"/>
      <c r="BL165" s="21"/>
      <c r="BM165" s="22"/>
      <c r="BN165" s="21"/>
      <c r="BO165" s="21"/>
      <c r="BP165" s="22"/>
      <c r="BQ165" s="21"/>
      <c r="BR165" s="21"/>
      <c r="BS165" s="22"/>
      <c r="BT16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65" s="109" t="str">
        <f>IF(ISNUMBER(tblParticipants[[#This Row],[SvcStartDate]]),IF(AND(tblParticipants[[#This Row],[EnrollQtr]]=1,tblParticipants[[#This Row],[SvcStartDate]]&lt;DATE(conProgYear,7,1)),1,""),"")</f>
        <v/>
      </c>
      <c r="BV16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65" s="232" t="str">
        <f t="shared" ca="1" si="2"/>
        <v/>
      </c>
      <c r="BX165" s="9">
        <f>IF(SUM(IF(tblParticipants[[#This Row],[AmIndOrAkNtv]]=1,1,0),IF(tblParticipants[[#This Row],[Asian]]=1,1,0),IF(tblParticipants[[#This Row],[BlkOrAfAmer]]=1,1,0),IF(tblParticipants[[#This Row],[NtvHawOrPacIsl]]=1,1,0),IF(tblParticipants[[#This Row],[White]]=1,1,0))&gt;1,1,0)</f>
        <v>0</v>
      </c>
      <c r="BY16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6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6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65" s="11">
        <f>IF(tblParticipants[[#This Row],[EarnWg2Qae]]=1,IFERROR(tblParticipants[[#This Row],[HoursPerWk2Qae]]*tblParticipants[[#This Row],[HrlyWg2Qae]]*13,0),0)</f>
        <v>0</v>
      </c>
      <c r="CC165" s="11">
        <f>IF(tblParticipants[[#This Row],[EarnWg3Qae]]=1,IFERROR(tblParticipants[[#This Row],[HoursPerWk3Qae]]*tblParticipants[[#This Row],[HrlyWg3Qae]]*13,0),0)</f>
        <v>0</v>
      </c>
      <c r="CD165" s="9">
        <f>IFERROR(IF(SUM(tblParticipants[[#This Row],[EarnWg1Qae]],tblParticipants[[#This Row],[EarnWg2Qae]],tblParticipants[[#This Row],[EarnWg3Qae]])=3,1,0),0)</f>
        <v>0</v>
      </c>
      <c r="CE165" s="12">
        <f>IF(tblParticipants[[#This Row],[EmplAll3Qae]]=1,tblParticipants[[#This Row],[Earnings2Qae]]+tblParticipants[[#This Row],[Earnings3Qae]],0)</f>
        <v>0</v>
      </c>
      <c r="CF165" s="407"/>
    </row>
    <row r="166" spans="1:84" x14ac:dyDescent="0.3">
      <c r="A166" s="19"/>
      <c r="B166" s="19"/>
      <c r="C166" s="20"/>
      <c r="D166" s="20"/>
      <c r="E166" s="26"/>
      <c r="F166" s="26"/>
      <c r="G166" s="26"/>
      <c r="H166" s="26"/>
      <c r="I166" s="26"/>
      <c r="J166" s="26"/>
      <c r="K166" s="26"/>
      <c r="L166" s="26"/>
      <c r="M166" s="20"/>
      <c r="N166" s="26"/>
      <c r="O166" s="22"/>
      <c r="P166" s="21"/>
      <c r="Q166" s="23"/>
      <c r="R166" s="21"/>
      <c r="S166" s="21"/>
      <c r="T166" s="21"/>
      <c r="U166" s="21"/>
      <c r="V166" s="21"/>
      <c r="W166" s="24"/>
      <c r="X166" s="20"/>
      <c r="Y166" s="20"/>
      <c r="Z166" s="21"/>
      <c r="AA166" s="21"/>
      <c r="AB166" s="21"/>
      <c r="AC166" s="21"/>
      <c r="AD166" s="21"/>
      <c r="AE166" s="21"/>
      <c r="AF166" s="21"/>
      <c r="AG166" s="21"/>
      <c r="AH166" s="21"/>
      <c r="AI166" s="25"/>
      <c r="AJ166" s="20"/>
      <c r="AK166" s="21"/>
      <c r="AL166" s="20"/>
      <c r="AM166" s="20"/>
      <c r="AN166" s="20"/>
      <c r="AO166" s="20"/>
      <c r="AP166" s="446"/>
      <c r="AQ166" s="20"/>
      <c r="AR166" s="20"/>
      <c r="AS166" s="20"/>
      <c r="AT166" s="20"/>
      <c r="AU166" s="26"/>
      <c r="AV166" s="98"/>
      <c r="AW166" s="98"/>
      <c r="AX166" s="98"/>
      <c r="AY166" s="98"/>
      <c r="AZ166" s="98"/>
      <c r="BA166" s="217"/>
      <c r="BB166" s="98"/>
      <c r="BC166" s="98"/>
      <c r="BD166" s="98"/>
      <c r="BE166" s="98"/>
      <c r="BF166" s="98"/>
      <c r="BG166" s="219"/>
      <c r="BH166" s="219"/>
      <c r="BI166" s="219"/>
      <c r="BJ166" s="26"/>
      <c r="BK166" s="21"/>
      <c r="BL166" s="21"/>
      <c r="BM166" s="22"/>
      <c r="BN166" s="21"/>
      <c r="BO166" s="21"/>
      <c r="BP166" s="22"/>
      <c r="BQ166" s="21"/>
      <c r="BR166" s="21"/>
      <c r="BS166" s="22"/>
      <c r="BT16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66" s="109" t="str">
        <f>IF(ISNUMBER(tblParticipants[[#This Row],[SvcStartDate]]),IF(AND(tblParticipants[[#This Row],[EnrollQtr]]=1,tblParticipants[[#This Row],[SvcStartDate]]&lt;DATE(conProgYear,7,1)),1,""),"")</f>
        <v/>
      </c>
      <c r="BV16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66" s="232" t="str">
        <f t="shared" ca="1" si="2"/>
        <v/>
      </c>
      <c r="BX166" s="9">
        <f>IF(SUM(IF(tblParticipants[[#This Row],[AmIndOrAkNtv]]=1,1,0),IF(tblParticipants[[#This Row],[Asian]]=1,1,0),IF(tblParticipants[[#This Row],[BlkOrAfAmer]]=1,1,0),IF(tblParticipants[[#This Row],[NtvHawOrPacIsl]]=1,1,0),IF(tblParticipants[[#This Row],[White]]=1,1,0))&gt;1,1,0)</f>
        <v>0</v>
      </c>
      <c r="BY16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6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6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66" s="11">
        <f>IF(tblParticipants[[#This Row],[EarnWg2Qae]]=1,IFERROR(tblParticipants[[#This Row],[HoursPerWk2Qae]]*tblParticipants[[#This Row],[HrlyWg2Qae]]*13,0),0)</f>
        <v>0</v>
      </c>
      <c r="CC166" s="11">
        <f>IF(tblParticipants[[#This Row],[EarnWg3Qae]]=1,IFERROR(tblParticipants[[#This Row],[HoursPerWk3Qae]]*tblParticipants[[#This Row],[HrlyWg3Qae]]*13,0),0)</f>
        <v>0</v>
      </c>
      <c r="CD166" s="9">
        <f>IFERROR(IF(SUM(tblParticipants[[#This Row],[EarnWg1Qae]],tblParticipants[[#This Row],[EarnWg2Qae]],tblParticipants[[#This Row],[EarnWg3Qae]])=3,1,0),0)</f>
        <v>0</v>
      </c>
      <c r="CE166" s="12">
        <f>IF(tblParticipants[[#This Row],[EmplAll3Qae]]=1,tblParticipants[[#This Row],[Earnings2Qae]]+tblParticipants[[#This Row],[Earnings3Qae]],0)</f>
        <v>0</v>
      </c>
      <c r="CF166" s="407"/>
    </row>
    <row r="167" spans="1:84" x14ac:dyDescent="0.3">
      <c r="A167" s="19"/>
      <c r="B167" s="19"/>
      <c r="C167" s="20"/>
      <c r="D167" s="20"/>
      <c r="E167" s="26"/>
      <c r="F167" s="26"/>
      <c r="G167" s="26"/>
      <c r="H167" s="26"/>
      <c r="I167" s="26"/>
      <c r="J167" s="26"/>
      <c r="K167" s="26"/>
      <c r="L167" s="26"/>
      <c r="M167" s="20"/>
      <c r="N167" s="26"/>
      <c r="O167" s="22"/>
      <c r="P167" s="21"/>
      <c r="Q167" s="23"/>
      <c r="R167" s="21"/>
      <c r="S167" s="21"/>
      <c r="T167" s="21"/>
      <c r="U167" s="21"/>
      <c r="V167" s="21"/>
      <c r="W167" s="24"/>
      <c r="X167" s="20"/>
      <c r="Y167" s="20"/>
      <c r="Z167" s="21"/>
      <c r="AA167" s="21"/>
      <c r="AB167" s="21"/>
      <c r="AC167" s="21"/>
      <c r="AD167" s="21"/>
      <c r="AE167" s="21"/>
      <c r="AF167" s="21"/>
      <c r="AG167" s="21"/>
      <c r="AH167" s="21"/>
      <c r="AI167" s="25"/>
      <c r="AJ167" s="20"/>
      <c r="AK167" s="21"/>
      <c r="AL167" s="20"/>
      <c r="AM167" s="20"/>
      <c r="AN167" s="20"/>
      <c r="AO167" s="20"/>
      <c r="AP167" s="446"/>
      <c r="AQ167" s="20"/>
      <c r="AR167" s="20"/>
      <c r="AS167" s="20"/>
      <c r="AT167" s="20"/>
      <c r="AU167" s="26"/>
      <c r="AV167" s="98"/>
      <c r="AW167" s="98"/>
      <c r="AX167" s="98"/>
      <c r="AY167" s="98"/>
      <c r="AZ167" s="98"/>
      <c r="BA167" s="217"/>
      <c r="BB167" s="98"/>
      <c r="BC167" s="98"/>
      <c r="BD167" s="98"/>
      <c r="BE167" s="98"/>
      <c r="BF167" s="98"/>
      <c r="BG167" s="219"/>
      <c r="BH167" s="219"/>
      <c r="BI167" s="219"/>
      <c r="BJ167" s="26"/>
      <c r="BK167" s="21"/>
      <c r="BL167" s="21"/>
      <c r="BM167" s="22"/>
      <c r="BN167" s="21"/>
      <c r="BO167" s="21"/>
      <c r="BP167" s="22"/>
      <c r="BQ167" s="21"/>
      <c r="BR167" s="21"/>
      <c r="BS167" s="22"/>
      <c r="BT16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67" s="109" t="str">
        <f>IF(ISNUMBER(tblParticipants[[#This Row],[SvcStartDate]]),IF(AND(tblParticipants[[#This Row],[EnrollQtr]]=1,tblParticipants[[#This Row],[SvcStartDate]]&lt;DATE(conProgYear,7,1)),1,""),"")</f>
        <v/>
      </c>
      <c r="BV16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67" s="232" t="str">
        <f t="shared" ca="1" si="2"/>
        <v/>
      </c>
      <c r="BX167" s="9">
        <f>IF(SUM(IF(tblParticipants[[#This Row],[AmIndOrAkNtv]]=1,1,0),IF(tblParticipants[[#This Row],[Asian]]=1,1,0),IF(tblParticipants[[#This Row],[BlkOrAfAmer]]=1,1,0),IF(tblParticipants[[#This Row],[NtvHawOrPacIsl]]=1,1,0),IF(tblParticipants[[#This Row],[White]]=1,1,0))&gt;1,1,0)</f>
        <v>0</v>
      </c>
      <c r="BY16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6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6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67" s="11">
        <f>IF(tblParticipants[[#This Row],[EarnWg2Qae]]=1,IFERROR(tblParticipants[[#This Row],[HoursPerWk2Qae]]*tblParticipants[[#This Row],[HrlyWg2Qae]]*13,0),0)</f>
        <v>0</v>
      </c>
      <c r="CC167" s="11">
        <f>IF(tblParticipants[[#This Row],[EarnWg3Qae]]=1,IFERROR(tblParticipants[[#This Row],[HoursPerWk3Qae]]*tblParticipants[[#This Row],[HrlyWg3Qae]]*13,0),0)</f>
        <v>0</v>
      </c>
      <c r="CD167" s="9">
        <f>IFERROR(IF(SUM(tblParticipants[[#This Row],[EarnWg1Qae]],tblParticipants[[#This Row],[EarnWg2Qae]],tblParticipants[[#This Row],[EarnWg3Qae]])=3,1,0),0)</f>
        <v>0</v>
      </c>
      <c r="CE167" s="12">
        <f>IF(tblParticipants[[#This Row],[EmplAll3Qae]]=1,tblParticipants[[#This Row],[Earnings2Qae]]+tblParticipants[[#This Row],[Earnings3Qae]],0)</f>
        <v>0</v>
      </c>
      <c r="CF167" s="407"/>
    </row>
    <row r="168" spans="1:84" x14ac:dyDescent="0.3">
      <c r="A168" s="19"/>
      <c r="B168" s="19"/>
      <c r="C168" s="20"/>
      <c r="D168" s="20"/>
      <c r="E168" s="26"/>
      <c r="F168" s="26"/>
      <c r="G168" s="26"/>
      <c r="H168" s="26"/>
      <c r="I168" s="26"/>
      <c r="J168" s="26"/>
      <c r="K168" s="26"/>
      <c r="L168" s="26"/>
      <c r="M168" s="20"/>
      <c r="N168" s="26"/>
      <c r="O168" s="22"/>
      <c r="P168" s="21"/>
      <c r="Q168" s="23"/>
      <c r="R168" s="21"/>
      <c r="S168" s="21"/>
      <c r="T168" s="21"/>
      <c r="U168" s="21"/>
      <c r="V168" s="21"/>
      <c r="W168" s="24"/>
      <c r="X168" s="20"/>
      <c r="Y168" s="20"/>
      <c r="Z168" s="21"/>
      <c r="AA168" s="21"/>
      <c r="AB168" s="21"/>
      <c r="AC168" s="21"/>
      <c r="AD168" s="21"/>
      <c r="AE168" s="21"/>
      <c r="AF168" s="21"/>
      <c r="AG168" s="21"/>
      <c r="AH168" s="21"/>
      <c r="AI168" s="25"/>
      <c r="AJ168" s="20"/>
      <c r="AK168" s="21"/>
      <c r="AL168" s="20"/>
      <c r="AM168" s="20"/>
      <c r="AN168" s="20"/>
      <c r="AO168" s="20"/>
      <c r="AP168" s="446"/>
      <c r="AQ168" s="20"/>
      <c r="AR168" s="20"/>
      <c r="AS168" s="20"/>
      <c r="AT168" s="20"/>
      <c r="AU168" s="26"/>
      <c r="AV168" s="98"/>
      <c r="AW168" s="98"/>
      <c r="AX168" s="98"/>
      <c r="AY168" s="98"/>
      <c r="AZ168" s="98"/>
      <c r="BA168" s="217"/>
      <c r="BB168" s="98"/>
      <c r="BC168" s="98"/>
      <c r="BD168" s="98"/>
      <c r="BE168" s="98"/>
      <c r="BF168" s="98"/>
      <c r="BG168" s="219"/>
      <c r="BH168" s="219"/>
      <c r="BI168" s="219"/>
      <c r="BJ168" s="26"/>
      <c r="BK168" s="21"/>
      <c r="BL168" s="21"/>
      <c r="BM168" s="22"/>
      <c r="BN168" s="21"/>
      <c r="BO168" s="21"/>
      <c r="BP168" s="22"/>
      <c r="BQ168" s="21"/>
      <c r="BR168" s="21"/>
      <c r="BS168" s="22"/>
      <c r="BT16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68" s="109" t="str">
        <f>IF(ISNUMBER(tblParticipants[[#This Row],[SvcStartDate]]),IF(AND(tblParticipants[[#This Row],[EnrollQtr]]=1,tblParticipants[[#This Row],[SvcStartDate]]&lt;DATE(conProgYear,7,1)),1,""),"")</f>
        <v/>
      </c>
      <c r="BV16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68" s="232" t="str">
        <f t="shared" ca="1" si="2"/>
        <v/>
      </c>
      <c r="BX168" s="9">
        <f>IF(SUM(IF(tblParticipants[[#This Row],[AmIndOrAkNtv]]=1,1,0),IF(tblParticipants[[#This Row],[Asian]]=1,1,0),IF(tblParticipants[[#This Row],[BlkOrAfAmer]]=1,1,0),IF(tblParticipants[[#This Row],[NtvHawOrPacIsl]]=1,1,0),IF(tblParticipants[[#This Row],[White]]=1,1,0))&gt;1,1,0)</f>
        <v>0</v>
      </c>
      <c r="BY16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6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6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68" s="11">
        <f>IF(tblParticipants[[#This Row],[EarnWg2Qae]]=1,IFERROR(tblParticipants[[#This Row],[HoursPerWk2Qae]]*tblParticipants[[#This Row],[HrlyWg2Qae]]*13,0),0)</f>
        <v>0</v>
      </c>
      <c r="CC168" s="11">
        <f>IF(tblParticipants[[#This Row],[EarnWg3Qae]]=1,IFERROR(tblParticipants[[#This Row],[HoursPerWk3Qae]]*tblParticipants[[#This Row],[HrlyWg3Qae]]*13,0),0)</f>
        <v>0</v>
      </c>
      <c r="CD168" s="9">
        <f>IFERROR(IF(SUM(tblParticipants[[#This Row],[EarnWg1Qae]],tblParticipants[[#This Row],[EarnWg2Qae]],tblParticipants[[#This Row],[EarnWg3Qae]])=3,1,0),0)</f>
        <v>0</v>
      </c>
      <c r="CE168" s="12">
        <f>IF(tblParticipants[[#This Row],[EmplAll3Qae]]=1,tblParticipants[[#This Row],[Earnings2Qae]]+tblParticipants[[#This Row],[Earnings3Qae]],0)</f>
        <v>0</v>
      </c>
      <c r="CF168" s="407"/>
    </row>
    <row r="169" spans="1:84" x14ac:dyDescent="0.3">
      <c r="A169" s="19"/>
      <c r="B169" s="19"/>
      <c r="C169" s="20"/>
      <c r="D169" s="20"/>
      <c r="E169" s="26"/>
      <c r="F169" s="26"/>
      <c r="G169" s="26"/>
      <c r="H169" s="26"/>
      <c r="I169" s="26"/>
      <c r="J169" s="26"/>
      <c r="K169" s="26"/>
      <c r="L169" s="26"/>
      <c r="M169" s="20"/>
      <c r="N169" s="26"/>
      <c r="O169" s="22"/>
      <c r="P169" s="21"/>
      <c r="Q169" s="23"/>
      <c r="R169" s="21"/>
      <c r="S169" s="21"/>
      <c r="T169" s="21"/>
      <c r="U169" s="21"/>
      <c r="V169" s="21"/>
      <c r="W169" s="24"/>
      <c r="X169" s="20"/>
      <c r="Y169" s="20"/>
      <c r="Z169" s="21"/>
      <c r="AA169" s="21"/>
      <c r="AB169" s="21"/>
      <c r="AC169" s="21"/>
      <c r="AD169" s="21"/>
      <c r="AE169" s="21"/>
      <c r="AF169" s="21"/>
      <c r="AG169" s="21"/>
      <c r="AH169" s="21"/>
      <c r="AI169" s="25"/>
      <c r="AJ169" s="20"/>
      <c r="AK169" s="21"/>
      <c r="AL169" s="20"/>
      <c r="AM169" s="20"/>
      <c r="AN169" s="20"/>
      <c r="AO169" s="20"/>
      <c r="AP169" s="446"/>
      <c r="AQ169" s="20"/>
      <c r="AR169" s="20"/>
      <c r="AS169" s="20"/>
      <c r="AT169" s="20"/>
      <c r="AU169" s="26"/>
      <c r="AV169" s="98"/>
      <c r="AW169" s="98"/>
      <c r="AX169" s="98"/>
      <c r="AY169" s="98"/>
      <c r="AZ169" s="98"/>
      <c r="BA169" s="217"/>
      <c r="BB169" s="98"/>
      <c r="BC169" s="98"/>
      <c r="BD169" s="98"/>
      <c r="BE169" s="98"/>
      <c r="BF169" s="98"/>
      <c r="BG169" s="219"/>
      <c r="BH169" s="219"/>
      <c r="BI169" s="219"/>
      <c r="BJ169" s="26"/>
      <c r="BK169" s="21"/>
      <c r="BL169" s="21"/>
      <c r="BM169" s="22"/>
      <c r="BN169" s="21"/>
      <c r="BO169" s="21"/>
      <c r="BP169" s="22"/>
      <c r="BQ169" s="21"/>
      <c r="BR169" s="21"/>
      <c r="BS169" s="22"/>
      <c r="BT16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69" s="109" t="str">
        <f>IF(ISNUMBER(tblParticipants[[#This Row],[SvcStartDate]]),IF(AND(tblParticipants[[#This Row],[EnrollQtr]]=1,tblParticipants[[#This Row],[SvcStartDate]]&lt;DATE(conProgYear,7,1)),1,""),"")</f>
        <v/>
      </c>
      <c r="BV16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69" s="232" t="str">
        <f t="shared" ca="1" si="2"/>
        <v/>
      </c>
      <c r="BX169" s="9">
        <f>IF(SUM(IF(tblParticipants[[#This Row],[AmIndOrAkNtv]]=1,1,0),IF(tblParticipants[[#This Row],[Asian]]=1,1,0),IF(tblParticipants[[#This Row],[BlkOrAfAmer]]=1,1,0),IF(tblParticipants[[#This Row],[NtvHawOrPacIsl]]=1,1,0),IF(tblParticipants[[#This Row],[White]]=1,1,0))&gt;1,1,0)</f>
        <v>0</v>
      </c>
      <c r="BY16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6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6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69" s="11">
        <f>IF(tblParticipants[[#This Row],[EarnWg2Qae]]=1,IFERROR(tblParticipants[[#This Row],[HoursPerWk2Qae]]*tblParticipants[[#This Row],[HrlyWg2Qae]]*13,0),0)</f>
        <v>0</v>
      </c>
      <c r="CC169" s="11">
        <f>IF(tblParticipants[[#This Row],[EarnWg3Qae]]=1,IFERROR(tblParticipants[[#This Row],[HoursPerWk3Qae]]*tblParticipants[[#This Row],[HrlyWg3Qae]]*13,0),0)</f>
        <v>0</v>
      </c>
      <c r="CD169" s="9">
        <f>IFERROR(IF(SUM(tblParticipants[[#This Row],[EarnWg1Qae]],tblParticipants[[#This Row],[EarnWg2Qae]],tblParticipants[[#This Row],[EarnWg3Qae]])=3,1,0),0)</f>
        <v>0</v>
      </c>
      <c r="CE169" s="12">
        <f>IF(tblParticipants[[#This Row],[EmplAll3Qae]]=1,tblParticipants[[#This Row],[Earnings2Qae]]+tblParticipants[[#This Row],[Earnings3Qae]],0)</f>
        <v>0</v>
      </c>
      <c r="CF169" s="407"/>
    </row>
    <row r="170" spans="1:84" x14ac:dyDescent="0.3">
      <c r="A170" s="19"/>
      <c r="B170" s="19"/>
      <c r="C170" s="20"/>
      <c r="D170" s="20"/>
      <c r="E170" s="26"/>
      <c r="F170" s="26"/>
      <c r="G170" s="26"/>
      <c r="H170" s="26"/>
      <c r="I170" s="26"/>
      <c r="J170" s="26"/>
      <c r="K170" s="26"/>
      <c r="L170" s="26"/>
      <c r="M170" s="20"/>
      <c r="N170" s="26"/>
      <c r="O170" s="22"/>
      <c r="P170" s="21"/>
      <c r="Q170" s="23"/>
      <c r="R170" s="21"/>
      <c r="S170" s="21"/>
      <c r="T170" s="21"/>
      <c r="U170" s="21"/>
      <c r="V170" s="21"/>
      <c r="W170" s="24"/>
      <c r="X170" s="20"/>
      <c r="Y170" s="20"/>
      <c r="Z170" s="21"/>
      <c r="AA170" s="21"/>
      <c r="AB170" s="21"/>
      <c r="AC170" s="21"/>
      <c r="AD170" s="21"/>
      <c r="AE170" s="21"/>
      <c r="AF170" s="21"/>
      <c r="AG170" s="21"/>
      <c r="AH170" s="21"/>
      <c r="AI170" s="25"/>
      <c r="AJ170" s="20"/>
      <c r="AK170" s="21"/>
      <c r="AL170" s="20"/>
      <c r="AM170" s="20"/>
      <c r="AN170" s="20"/>
      <c r="AO170" s="20"/>
      <c r="AP170" s="446"/>
      <c r="AQ170" s="20"/>
      <c r="AR170" s="20"/>
      <c r="AS170" s="20"/>
      <c r="AT170" s="20"/>
      <c r="AU170" s="26"/>
      <c r="AV170" s="98"/>
      <c r="AW170" s="98"/>
      <c r="AX170" s="98"/>
      <c r="AY170" s="98"/>
      <c r="AZ170" s="98"/>
      <c r="BA170" s="217"/>
      <c r="BB170" s="98"/>
      <c r="BC170" s="98"/>
      <c r="BD170" s="98"/>
      <c r="BE170" s="98"/>
      <c r="BF170" s="98"/>
      <c r="BG170" s="219"/>
      <c r="BH170" s="219"/>
      <c r="BI170" s="219"/>
      <c r="BJ170" s="26"/>
      <c r="BK170" s="21"/>
      <c r="BL170" s="21"/>
      <c r="BM170" s="22"/>
      <c r="BN170" s="21"/>
      <c r="BO170" s="21"/>
      <c r="BP170" s="22"/>
      <c r="BQ170" s="21"/>
      <c r="BR170" s="21"/>
      <c r="BS170" s="22"/>
      <c r="BT17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70" s="109" t="str">
        <f>IF(ISNUMBER(tblParticipants[[#This Row],[SvcStartDate]]),IF(AND(tblParticipants[[#This Row],[EnrollQtr]]=1,tblParticipants[[#This Row],[SvcStartDate]]&lt;DATE(conProgYear,7,1)),1,""),"")</f>
        <v/>
      </c>
      <c r="BV17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70" s="232" t="str">
        <f t="shared" ca="1" si="2"/>
        <v/>
      </c>
      <c r="BX170" s="9">
        <f>IF(SUM(IF(tblParticipants[[#This Row],[AmIndOrAkNtv]]=1,1,0),IF(tblParticipants[[#This Row],[Asian]]=1,1,0),IF(tblParticipants[[#This Row],[BlkOrAfAmer]]=1,1,0),IF(tblParticipants[[#This Row],[NtvHawOrPacIsl]]=1,1,0),IF(tblParticipants[[#This Row],[White]]=1,1,0))&gt;1,1,0)</f>
        <v>0</v>
      </c>
      <c r="BY17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7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7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70" s="11">
        <f>IF(tblParticipants[[#This Row],[EarnWg2Qae]]=1,IFERROR(tblParticipants[[#This Row],[HoursPerWk2Qae]]*tblParticipants[[#This Row],[HrlyWg2Qae]]*13,0),0)</f>
        <v>0</v>
      </c>
      <c r="CC170" s="11">
        <f>IF(tblParticipants[[#This Row],[EarnWg3Qae]]=1,IFERROR(tblParticipants[[#This Row],[HoursPerWk3Qae]]*tblParticipants[[#This Row],[HrlyWg3Qae]]*13,0),0)</f>
        <v>0</v>
      </c>
      <c r="CD170" s="9">
        <f>IFERROR(IF(SUM(tblParticipants[[#This Row],[EarnWg1Qae]],tblParticipants[[#This Row],[EarnWg2Qae]],tblParticipants[[#This Row],[EarnWg3Qae]])=3,1,0),0)</f>
        <v>0</v>
      </c>
      <c r="CE170" s="12">
        <f>IF(tblParticipants[[#This Row],[EmplAll3Qae]]=1,tblParticipants[[#This Row],[Earnings2Qae]]+tblParticipants[[#This Row],[Earnings3Qae]],0)</f>
        <v>0</v>
      </c>
      <c r="CF170" s="407"/>
    </row>
    <row r="171" spans="1:84" x14ac:dyDescent="0.3">
      <c r="A171" s="19"/>
      <c r="B171" s="19"/>
      <c r="C171" s="20"/>
      <c r="D171" s="20"/>
      <c r="E171" s="26"/>
      <c r="F171" s="26"/>
      <c r="G171" s="26"/>
      <c r="H171" s="26"/>
      <c r="I171" s="26"/>
      <c r="J171" s="26"/>
      <c r="K171" s="26"/>
      <c r="L171" s="26"/>
      <c r="M171" s="20"/>
      <c r="N171" s="26"/>
      <c r="O171" s="22"/>
      <c r="P171" s="21"/>
      <c r="Q171" s="23"/>
      <c r="R171" s="21"/>
      <c r="S171" s="21"/>
      <c r="T171" s="21"/>
      <c r="U171" s="21"/>
      <c r="V171" s="21"/>
      <c r="W171" s="24"/>
      <c r="X171" s="20"/>
      <c r="Y171" s="20"/>
      <c r="Z171" s="21"/>
      <c r="AA171" s="21"/>
      <c r="AB171" s="21"/>
      <c r="AC171" s="21"/>
      <c r="AD171" s="21"/>
      <c r="AE171" s="21"/>
      <c r="AF171" s="21"/>
      <c r="AG171" s="21"/>
      <c r="AH171" s="21"/>
      <c r="AI171" s="25"/>
      <c r="AJ171" s="20"/>
      <c r="AK171" s="21"/>
      <c r="AL171" s="20"/>
      <c r="AM171" s="20"/>
      <c r="AN171" s="20"/>
      <c r="AO171" s="20"/>
      <c r="AP171" s="446"/>
      <c r="AQ171" s="20"/>
      <c r="AR171" s="20"/>
      <c r="AS171" s="20"/>
      <c r="AT171" s="20"/>
      <c r="AU171" s="26"/>
      <c r="AV171" s="98"/>
      <c r="AW171" s="98"/>
      <c r="AX171" s="98"/>
      <c r="AY171" s="98"/>
      <c r="AZ171" s="98"/>
      <c r="BA171" s="217"/>
      <c r="BB171" s="98"/>
      <c r="BC171" s="98"/>
      <c r="BD171" s="98"/>
      <c r="BE171" s="98"/>
      <c r="BF171" s="98"/>
      <c r="BG171" s="219"/>
      <c r="BH171" s="219"/>
      <c r="BI171" s="219"/>
      <c r="BJ171" s="26"/>
      <c r="BK171" s="21"/>
      <c r="BL171" s="21"/>
      <c r="BM171" s="22"/>
      <c r="BN171" s="21"/>
      <c r="BO171" s="21"/>
      <c r="BP171" s="22"/>
      <c r="BQ171" s="21"/>
      <c r="BR171" s="21"/>
      <c r="BS171" s="22"/>
      <c r="BT17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71" s="109" t="str">
        <f>IF(ISNUMBER(tblParticipants[[#This Row],[SvcStartDate]]),IF(AND(tblParticipants[[#This Row],[EnrollQtr]]=1,tblParticipants[[#This Row],[SvcStartDate]]&lt;DATE(conProgYear,7,1)),1,""),"")</f>
        <v/>
      </c>
      <c r="BV17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71" s="232" t="str">
        <f t="shared" ca="1" si="2"/>
        <v/>
      </c>
      <c r="BX171" s="9">
        <f>IF(SUM(IF(tblParticipants[[#This Row],[AmIndOrAkNtv]]=1,1,0),IF(tblParticipants[[#This Row],[Asian]]=1,1,0),IF(tblParticipants[[#This Row],[BlkOrAfAmer]]=1,1,0),IF(tblParticipants[[#This Row],[NtvHawOrPacIsl]]=1,1,0),IF(tblParticipants[[#This Row],[White]]=1,1,0))&gt;1,1,0)</f>
        <v>0</v>
      </c>
      <c r="BY17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7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7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71" s="11">
        <f>IF(tblParticipants[[#This Row],[EarnWg2Qae]]=1,IFERROR(tblParticipants[[#This Row],[HoursPerWk2Qae]]*tblParticipants[[#This Row],[HrlyWg2Qae]]*13,0),0)</f>
        <v>0</v>
      </c>
      <c r="CC171" s="11">
        <f>IF(tblParticipants[[#This Row],[EarnWg3Qae]]=1,IFERROR(tblParticipants[[#This Row],[HoursPerWk3Qae]]*tblParticipants[[#This Row],[HrlyWg3Qae]]*13,0),0)</f>
        <v>0</v>
      </c>
      <c r="CD171" s="9">
        <f>IFERROR(IF(SUM(tblParticipants[[#This Row],[EarnWg1Qae]],tblParticipants[[#This Row],[EarnWg2Qae]],tblParticipants[[#This Row],[EarnWg3Qae]])=3,1,0),0)</f>
        <v>0</v>
      </c>
      <c r="CE171" s="12">
        <f>IF(tblParticipants[[#This Row],[EmplAll3Qae]]=1,tblParticipants[[#This Row],[Earnings2Qae]]+tblParticipants[[#This Row],[Earnings3Qae]],0)</f>
        <v>0</v>
      </c>
      <c r="CF171" s="407"/>
    </row>
    <row r="172" spans="1:84" x14ac:dyDescent="0.3">
      <c r="A172" s="19"/>
      <c r="B172" s="19"/>
      <c r="C172" s="20"/>
      <c r="D172" s="20"/>
      <c r="E172" s="26"/>
      <c r="F172" s="26"/>
      <c r="G172" s="26"/>
      <c r="H172" s="26"/>
      <c r="I172" s="26"/>
      <c r="J172" s="26"/>
      <c r="K172" s="26"/>
      <c r="L172" s="26"/>
      <c r="M172" s="20"/>
      <c r="N172" s="26"/>
      <c r="O172" s="22"/>
      <c r="P172" s="21"/>
      <c r="Q172" s="23"/>
      <c r="R172" s="21"/>
      <c r="S172" s="21"/>
      <c r="T172" s="21"/>
      <c r="U172" s="21"/>
      <c r="V172" s="21"/>
      <c r="W172" s="24"/>
      <c r="X172" s="20"/>
      <c r="Y172" s="20"/>
      <c r="Z172" s="21"/>
      <c r="AA172" s="21"/>
      <c r="AB172" s="21"/>
      <c r="AC172" s="21"/>
      <c r="AD172" s="21"/>
      <c r="AE172" s="21"/>
      <c r="AF172" s="21"/>
      <c r="AG172" s="21"/>
      <c r="AH172" s="21"/>
      <c r="AI172" s="25"/>
      <c r="AJ172" s="20"/>
      <c r="AK172" s="21"/>
      <c r="AL172" s="20"/>
      <c r="AM172" s="20"/>
      <c r="AN172" s="20"/>
      <c r="AO172" s="20"/>
      <c r="AP172" s="446"/>
      <c r="AQ172" s="20"/>
      <c r="AR172" s="20"/>
      <c r="AS172" s="20"/>
      <c r="AT172" s="20"/>
      <c r="AU172" s="26"/>
      <c r="AV172" s="98"/>
      <c r="AW172" s="98"/>
      <c r="AX172" s="98"/>
      <c r="AY172" s="98"/>
      <c r="AZ172" s="98"/>
      <c r="BA172" s="217"/>
      <c r="BB172" s="98"/>
      <c r="BC172" s="98"/>
      <c r="BD172" s="98"/>
      <c r="BE172" s="98"/>
      <c r="BF172" s="98"/>
      <c r="BG172" s="219"/>
      <c r="BH172" s="219"/>
      <c r="BI172" s="219"/>
      <c r="BJ172" s="26"/>
      <c r="BK172" s="21"/>
      <c r="BL172" s="21"/>
      <c r="BM172" s="22"/>
      <c r="BN172" s="21"/>
      <c r="BO172" s="21"/>
      <c r="BP172" s="22"/>
      <c r="BQ172" s="21"/>
      <c r="BR172" s="21"/>
      <c r="BS172" s="22"/>
      <c r="BT17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72" s="109" t="str">
        <f>IF(ISNUMBER(tblParticipants[[#This Row],[SvcStartDate]]),IF(AND(tblParticipants[[#This Row],[EnrollQtr]]=1,tblParticipants[[#This Row],[SvcStartDate]]&lt;DATE(conProgYear,7,1)),1,""),"")</f>
        <v/>
      </c>
      <c r="BV17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72" s="232" t="str">
        <f t="shared" ca="1" si="2"/>
        <v/>
      </c>
      <c r="BX172" s="9">
        <f>IF(SUM(IF(tblParticipants[[#This Row],[AmIndOrAkNtv]]=1,1,0),IF(tblParticipants[[#This Row],[Asian]]=1,1,0),IF(tblParticipants[[#This Row],[BlkOrAfAmer]]=1,1,0),IF(tblParticipants[[#This Row],[NtvHawOrPacIsl]]=1,1,0),IF(tblParticipants[[#This Row],[White]]=1,1,0))&gt;1,1,0)</f>
        <v>0</v>
      </c>
      <c r="BY17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7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7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72" s="11">
        <f>IF(tblParticipants[[#This Row],[EarnWg2Qae]]=1,IFERROR(tblParticipants[[#This Row],[HoursPerWk2Qae]]*tblParticipants[[#This Row],[HrlyWg2Qae]]*13,0),0)</f>
        <v>0</v>
      </c>
      <c r="CC172" s="11">
        <f>IF(tblParticipants[[#This Row],[EarnWg3Qae]]=1,IFERROR(tblParticipants[[#This Row],[HoursPerWk3Qae]]*tblParticipants[[#This Row],[HrlyWg3Qae]]*13,0),0)</f>
        <v>0</v>
      </c>
      <c r="CD172" s="9">
        <f>IFERROR(IF(SUM(tblParticipants[[#This Row],[EarnWg1Qae]],tblParticipants[[#This Row],[EarnWg2Qae]],tblParticipants[[#This Row],[EarnWg3Qae]])=3,1,0),0)</f>
        <v>0</v>
      </c>
      <c r="CE172" s="12">
        <f>IF(tblParticipants[[#This Row],[EmplAll3Qae]]=1,tblParticipants[[#This Row],[Earnings2Qae]]+tblParticipants[[#This Row],[Earnings3Qae]],0)</f>
        <v>0</v>
      </c>
      <c r="CF172" s="407"/>
    </row>
    <row r="173" spans="1:84" x14ac:dyDescent="0.3">
      <c r="A173" s="19"/>
      <c r="B173" s="19"/>
      <c r="C173" s="20"/>
      <c r="D173" s="20"/>
      <c r="E173" s="26"/>
      <c r="F173" s="26"/>
      <c r="G173" s="26"/>
      <c r="H173" s="26"/>
      <c r="I173" s="26"/>
      <c r="J173" s="26"/>
      <c r="K173" s="26"/>
      <c r="L173" s="26"/>
      <c r="M173" s="20"/>
      <c r="N173" s="26"/>
      <c r="O173" s="22"/>
      <c r="P173" s="21"/>
      <c r="Q173" s="23"/>
      <c r="R173" s="21"/>
      <c r="S173" s="21"/>
      <c r="T173" s="21"/>
      <c r="U173" s="21"/>
      <c r="V173" s="21"/>
      <c r="W173" s="24"/>
      <c r="X173" s="20"/>
      <c r="Y173" s="20"/>
      <c r="Z173" s="21"/>
      <c r="AA173" s="21"/>
      <c r="AB173" s="21"/>
      <c r="AC173" s="21"/>
      <c r="AD173" s="21"/>
      <c r="AE173" s="21"/>
      <c r="AF173" s="21"/>
      <c r="AG173" s="21"/>
      <c r="AH173" s="21"/>
      <c r="AI173" s="25"/>
      <c r="AJ173" s="20"/>
      <c r="AK173" s="21"/>
      <c r="AL173" s="20"/>
      <c r="AM173" s="20"/>
      <c r="AN173" s="20"/>
      <c r="AO173" s="20"/>
      <c r="AP173" s="446"/>
      <c r="AQ173" s="20"/>
      <c r="AR173" s="20"/>
      <c r="AS173" s="20"/>
      <c r="AT173" s="20"/>
      <c r="AU173" s="26"/>
      <c r="AV173" s="98"/>
      <c r="AW173" s="98"/>
      <c r="AX173" s="98"/>
      <c r="AY173" s="98"/>
      <c r="AZ173" s="98"/>
      <c r="BA173" s="217"/>
      <c r="BB173" s="98"/>
      <c r="BC173" s="98"/>
      <c r="BD173" s="98"/>
      <c r="BE173" s="98"/>
      <c r="BF173" s="98"/>
      <c r="BG173" s="219"/>
      <c r="BH173" s="219"/>
      <c r="BI173" s="219"/>
      <c r="BJ173" s="26"/>
      <c r="BK173" s="21"/>
      <c r="BL173" s="21"/>
      <c r="BM173" s="22"/>
      <c r="BN173" s="21"/>
      <c r="BO173" s="21"/>
      <c r="BP173" s="22"/>
      <c r="BQ173" s="21"/>
      <c r="BR173" s="21"/>
      <c r="BS173" s="22"/>
      <c r="BT17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73" s="109" t="str">
        <f>IF(ISNUMBER(tblParticipants[[#This Row],[SvcStartDate]]),IF(AND(tblParticipants[[#This Row],[EnrollQtr]]=1,tblParticipants[[#This Row],[SvcStartDate]]&lt;DATE(conProgYear,7,1)),1,""),"")</f>
        <v/>
      </c>
      <c r="BV17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73" s="232" t="str">
        <f t="shared" ca="1" si="2"/>
        <v/>
      </c>
      <c r="BX173" s="9">
        <f>IF(SUM(IF(tblParticipants[[#This Row],[AmIndOrAkNtv]]=1,1,0),IF(tblParticipants[[#This Row],[Asian]]=1,1,0),IF(tblParticipants[[#This Row],[BlkOrAfAmer]]=1,1,0),IF(tblParticipants[[#This Row],[NtvHawOrPacIsl]]=1,1,0),IF(tblParticipants[[#This Row],[White]]=1,1,0))&gt;1,1,0)</f>
        <v>0</v>
      </c>
      <c r="BY17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7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7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73" s="11">
        <f>IF(tblParticipants[[#This Row],[EarnWg2Qae]]=1,IFERROR(tblParticipants[[#This Row],[HoursPerWk2Qae]]*tblParticipants[[#This Row],[HrlyWg2Qae]]*13,0),0)</f>
        <v>0</v>
      </c>
      <c r="CC173" s="11">
        <f>IF(tblParticipants[[#This Row],[EarnWg3Qae]]=1,IFERROR(tblParticipants[[#This Row],[HoursPerWk3Qae]]*tblParticipants[[#This Row],[HrlyWg3Qae]]*13,0),0)</f>
        <v>0</v>
      </c>
      <c r="CD173" s="9">
        <f>IFERROR(IF(SUM(tblParticipants[[#This Row],[EarnWg1Qae]],tblParticipants[[#This Row],[EarnWg2Qae]],tblParticipants[[#This Row],[EarnWg3Qae]])=3,1,0),0)</f>
        <v>0</v>
      </c>
      <c r="CE173" s="12">
        <f>IF(tblParticipants[[#This Row],[EmplAll3Qae]]=1,tblParticipants[[#This Row],[Earnings2Qae]]+tblParticipants[[#This Row],[Earnings3Qae]],0)</f>
        <v>0</v>
      </c>
      <c r="CF173" s="407"/>
    </row>
    <row r="174" spans="1:84" x14ac:dyDescent="0.3">
      <c r="A174" s="19"/>
      <c r="B174" s="19"/>
      <c r="C174" s="20"/>
      <c r="D174" s="20"/>
      <c r="E174" s="26"/>
      <c r="F174" s="26"/>
      <c r="G174" s="26"/>
      <c r="H174" s="26"/>
      <c r="I174" s="26"/>
      <c r="J174" s="26"/>
      <c r="K174" s="26"/>
      <c r="L174" s="26"/>
      <c r="M174" s="20"/>
      <c r="N174" s="26"/>
      <c r="O174" s="22"/>
      <c r="P174" s="21"/>
      <c r="Q174" s="23"/>
      <c r="R174" s="21"/>
      <c r="S174" s="21"/>
      <c r="T174" s="21"/>
      <c r="U174" s="21"/>
      <c r="V174" s="21"/>
      <c r="W174" s="24"/>
      <c r="X174" s="20"/>
      <c r="Y174" s="20"/>
      <c r="Z174" s="21"/>
      <c r="AA174" s="21"/>
      <c r="AB174" s="21"/>
      <c r="AC174" s="21"/>
      <c r="AD174" s="21"/>
      <c r="AE174" s="21"/>
      <c r="AF174" s="21"/>
      <c r="AG174" s="21"/>
      <c r="AH174" s="21"/>
      <c r="AI174" s="25"/>
      <c r="AJ174" s="20"/>
      <c r="AK174" s="21"/>
      <c r="AL174" s="20"/>
      <c r="AM174" s="20"/>
      <c r="AN174" s="20"/>
      <c r="AO174" s="20"/>
      <c r="AP174" s="446"/>
      <c r="AQ174" s="20"/>
      <c r="AR174" s="20"/>
      <c r="AS174" s="20"/>
      <c r="AT174" s="20"/>
      <c r="AU174" s="26"/>
      <c r="AV174" s="98"/>
      <c r="AW174" s="98"/>
      <c r="AX174" s="98"/>
      <c r="AY174" s="98"/>
      <c r="AZ174" s="98"/>
      <c r="BA174" s="217"/>
      <c r="BB174" s="98"/>
      <c r="BC174" s="98"/>
      <c r="BD174" s="98"/>
      <c r="BE174" s="98"/>
      <c r="BF174" s="98"/>
      <c r="BG174" s="219"/>
      <c r="BH174" s="219"/>
      <c r="BI174" s="219"/>
      <c r="BJ174" s="26"/>
      <c r="BK174" s="21"/>
      <c r="BL174" s="21"/>
      <c r="BM174" s="22"/>
      <c r="BN174" s="21"/>
      <c r="BO174" s="21"/>
      <c r="BP174" s="22"/>
      <c r="BQ174" s="21"/>
      <c r="BR174" s="21"/>
      <c r="BS174" s="22"/>
      <c r="BT17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74" s="109" t="str">
        <f>IF(ISNUMBER(tblParticipants[[#This Row],[SvcStartDate]]),IF(AND(tblParticipants[[#This Row],[EnrollQtr]]=1,tblParticipants[[#This Row],[SvcStartDate]]&lt;DATE(conProgYear,7,1)),1,""),"")</f>
        <v/>
      </c>
      <c r="BV17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74" s="232" t="str">
        <f t="shared" ca="1" si="2"/>
        <v/>
      </c>
      <c r="BX174" s="9">
        <f>IF(SUM(IF(tblParticipants[[#This Row],[AmIndOrAkNtv]]=1,1,0),IF(tblParticipants[[#This Row],[Asian]]=1,1,0),IF(tblParticipants[[#This Row],[BlkOrAfAmer]]=1,1,0),IF(tblParticipants[[#This Row],[NtvHawOrPacIsl]]=1,1,0),IF(tblParticipants[[#This Row],[White]]=1,1,0))&gt;1,1,0)</f>
        <v>0</v>
      </c>
      <c r="BY17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7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7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74" s="11">
        <f>IF(tblParticipants[[#This Row],[EarnWg2Qae]]=1,IFERROR(tblParticipants[[#This Row],[HoursPerWk2Qae]]*tblParticipants[[#This Row],[HrlyWg2Qae]]*13,0),0)</f>
        <v>0</v>
      </c>
      <c r="CC174" s="11">
        <f>IF(tblParticipants[[#This Row],[EarnWg3Qae]]=1,IFERROR(tblParticipants[[#This Row],[HoursPerWk3Qae]]*tblParticipants[[#This Row],[HrlyWg3Qae]]*13,0),0)</f>
        <v>0</v>
      </c>
      <c r="CD174" s="9">
        <f>IFERROR(IF(SUM(tblParticipants[[#This Row],[EarnWg1Qae]],tblParticipants[[#This Row],[EarnWg2Qae]],tblParticipants[[#This Row],[EarnWg3Qae]])=3,1,0),0)</f>
        <v>0</v>
      </c>
      <c r="CE174" s="12">
        <f>IF(tblParticipants[[#This Row],[EmplAll3Qae]]=1,tblParticipants[[#This Row],[Earnings2Qae]]+tblParticipants[[#This Row],[Earnings3Qae]],0)</f>
        <v>0</v>
      </c>
      <c r="CF174" s="407"/>
    </row>
    <row r="175" spans="1:84" x14ac:dyDescent="0.3">
      <c r="A175" s="19"/>
      <c r="B175" s="19"/>
      <c r="C175" s="20"/>
      <c r="D175" s="20"/>
      <c r="E175" s="26"/>
      <c r="F175" s="26"/>
      <c r="G175" s="26"/>
      <c r="H175" s="26"/>
      <c r="I175" s="26"/>
      <c r="J175" s="26"/>
      <c r="K175" s="26"/>
      <c r="L175" s="26"/>
      <c r="M175" s="20"/>
      <c r="N175" s="26"/>
      <c r="O175" s="22"/>
      <c r="P175" s="21"/>
      <c r="Q175" s="23"/>
      <c r="R175" s="21"/>
      <c r="S175" s="21"/>
      <c r="T175" s="21"/>
      <c r="U175" s="21"/>
      <c r="V175" s="21"/>
      <c r="W175" s="24"/>
      <c r="X175" s="20"/>
      <c r="Y175" s="20"/>
      <c r="Z175" s="21"/>
      <c r="AA175" s="21"/>
      <c r="AB175" s="21"/>
      <c r="AC175" s="21"/>
      <c r="AD175" s="21"/>
      <c r="AE175" s="21"/>
      <c r="AF175" s="21"/>
      <c r="AG175" s="21"/>
      <c r="AH175" s="21"/>
      <c r="AI175" s="25"/>
      <c r="AJ175" s="20"/>
      <c r="AK175" s="21"/>
      <c r="AL175" s="20"/>
      <c r="AM175" s="20"/>
      <c r="AN175" s="20"/>
      <c r="AO175" s="20"/>
      <c r="AP175" s="446"/>
      <c r="AQ175" s="20"/>
      <c r="AR175" s="20"/>
      <c r="AS175" s="20"/>
      <c r="AT175" s="20"/>
      <c r="AU175" s="26"/>
      <c r="AV175" s="98"/>
      <c r="AW175" s="98"/>
      <c r="AX175" s="98"/>
      <c r="AY175" s="98"/>
      <c r="AZ175" s="98"/>
      <c r="BA175" s="217"/>
      <c r="BB175" s="98"/>
      <c r="BC175" s="98"/>
      <c r="BD175" s="98"/>
      <c r="BE175" s="98"/>
      <c r="BF175" s="98"/>
      <c r="BG175" s="219"/>
      <c r="BH175" s="219"/>
      <c r="BI175" s="219"/>
      <c r="BJ175" s="26"/>
      <c r="BK175" s="21"/>
      <c r="BL175" s="21"/>
      <c r="BM175" s="22"/>
      <c r="BN175" s="21"/>
      <c r="BO175" s="21"/>
      <c r="BP175" s="22"/>
      <c r="BQ175" s="21"/>
      <c r="BR175" s="21"/>
      <c r="BS175" s="22"/>
      <c r="BT17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75" s="109" t="str">
        <f>IF(ISNUMBER(tblParticipants[[#This Row],[SvcStartDate]]),IF(AND(tblParticipants[[#This Row],[EnrollQtr]]=1,tblParticipants[[#This Row],[SvcStartDate]]&lt;DATE(conProgYear,7,1)),1,""),"")</f>
        <v/>
      </c>
      <c r="BV17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75" s="232" t="str">
        <f t="shared" ca="1" si="2"/>
        <v/>
      </c>
      <c r="BX175" s="9">
        <f>IF(SUM(IF(tblParticipants[[#This Row],[AmIndOrAkNtv]]=1,1,0),IF(tblParticipants[[#This Row],[Asian]]=1,1,0),IF(tblParticipants[[#This Row],[BlkOrAfAmer]]=1,1,0),IF(tblParticipants[[#This Row],[NtvHawOrPacIsl]]=1,1,0),IF(tblParticipants[[#This Row],[White]]=1,1,0))&gt;1,1,0)</f>
        <v>0</v>
      </c>
      <c r="BY17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7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7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75" s="11">
        <f>IF(tblParticipants[[#This Row],[EarnWg2Qae]]=1,IFERROR(tblParticipants[[#This Row],[HoursPerWk2Qae]]*tblParticipants[[#This Row],[HrlyWg2Qae]]*13,0),0)</f>
        <v>0</v>
      </c>
      <c r="CC175" s="11">
        <f>IF(tblParticipants[[#This Row],[EarnWg3Qae]]=1,IFERROR(tblParticipants[[#This Row],[HoursPerWk3Qae]]*tblParticipants[[#This Row],[HrlyWg3Qae]]*13,0),0)</f>
        <v>0</v>
      </c>
      <c r="CD175" s="9">
        <f>IFERROR(IF(SUM(tblParticipants[[#This Row],[EarnWg1Qae]],tblParticipants[[#This Row],[EarnWg2Qae]],tblParticipants[[#This Row],[EarnWg3Qae]])=3,1,0),0)</f>
        <v>0</v>
      </c>
      <c r="CE175" s="12">
        <f>IF(tblParticipants[[#This Row],[EmplAll3Qae]]=1,tblParticipants[[#This Row],[Earnings2Qae]]+tblParticipants[[#This Row],[Earnings3Qae]],0)</f>
        <v>0</v>
      </c>
      <c r="CF175" s="407"/>
    </row>
    <row r="176" spans="1:84" x14ac:dyDescent="0.3">
      <c r="A176" s="19"/>
      <c r="B176" s="19"/>
      <c r="C176" s="20"/>
      <c r="D176" s="20"/>
      <c r="E176" s="26"/>
      <c r="F176" s="26"/>
      <c r="G176" s="26"/>
      <c r="H176" s="26"/>
      <c r="I176" s="26"/>
      <c r="J176" s="26"/>
      <c r="K176" s="26"/>
      <c r="L176" s="26"/>
      <c r="M176" s="20"/>
      <c r="N176" s="26"/>
      <c r="O176" s="22"/>
      <c r="P176" s="21"/>
      <c r="Q176" s="23"/>
      <c r="R176" s="21"/>
      <c r="S176" s="21"/>
      <c r="T176" s="21"/>
      <c r="U176" s="21"/>
      <c r="V176" s="21"/>
      <c r="W176" s="24"/>
      <c r="X176" s="20"/>
      <c r="Y176" s="20"/>
      <c r="Z176" s="21"/>
      <c r="AA176" s="21"/>
      <c r="AB176" s="21"/>
      <c r="AC176" s="21"/>
      <c r="AD176" s="21"/>
      <c r="AE176" s="21"/>
      <c r="AF176" s="21"/>
      <c r="AG176" s="21"/>
      <c r="AH176" s="21"/>
      <c r="AI176" s="25"/>
      <c r="AJ176" s="20"/>
      <c r="AK176" s="21"/>
      <c r="AL176" s="20"/>
      <c r="AM176" s="20"/>
      <c r="AN176" s="20"/>
      <c r="AO176" s="20"/>
      <c r="AP176" s="446"/>
      <c r="AQ176" s="20"/>
      <c r="AR176" s="20"/>
      <c r="AS176" s="20"/>
      <c r="AT176" s="20"/>
      <c r="AU176" s="26"/>
      <c r="AV176" s="98"/>
      <c r="AW176" s="98"/>
      <c r="AX176" s="98"/>
      <c r="AY176" s="98"/>
      <c r="AZ176" s="98"/>
      <c r="BA176" s="217"/>
      <c r="BB176" s="98"/>
      <c r="BC176" s="98"/>
      <c r="BD176" s="98"/>
      <c r="BE176" s="98"/>
      <c r="BF176" s="98"/>
      <c r="BG176" s="219"/>
      <c r="BH176" s="219"/>
      <c r="BI176" s="219"/>
      <c r="BJ176" s="26"/>
      <c r="BK176" s="21"/>
      <c r="BL176" s="21"/>
      <c r="BM176" s="22"/>
      <c r="BN176" s="21"/>
      <c r="BO176" s="21"/>
      <c r="BP176" s="22"/>
      <c r="BQ176" s="21"/>
      <c r="BR176" s="21"/>
      <c r="BS176" s="22"/>
      <c r="BT17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76" s="109" t="str">
        <f>IF(ISNUMBER(tblParticipants[[#This Row],[SvcStartDate]]),IF(AND(tblParticipants[[#This Row],[EnrollQtr]]=1,tblParticipants[[#This Row],[SvcStartDate]]&lt;DATE(conProgYear,7,1)),1,""),"")</f>
        <v/>
      </c>
      <c r="BV17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76" s="232" t="str">
        <f t="shared" ca="1" si="2"/>
        <v/>
      </c>
      <c r="BX176" s="9">
        <f>IF(SUM(IF(tblParticipants[[#This Row],[AmIndOrAkNtv]]=1,1,0),IF(tblParticipants[[#This Row],[Asian]]=1,1,0),IF(tblParticipants[[#This Row],[BlkOrAfAmer]]=1,1,0),IF(tblParticipants[[#This Row],[NtvHawOrPacIsl]]=1,1,0),IF(tblParticipants[[#This Row],[White]]=1,1,0))&gt;1,1,0)</f>
        <v>0</v>
      </c>
      <c r="BY17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7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7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76" s="11">
        <f>IF(tblParticipants[[#This Row],[EarnWg2Qae]]=1,IFERROR(tblParticipants[[#This Row],[HoursPerWk2Qae]]*tblParticipants[[#This Row],[HrlyWg2Qae]]*13,0),0)</f>
        <v>0</v>
      </c>
      <c r="CC176" s="11">
        <f>IF(tblParticipants[[#This Row],[EarnWg3Qae]]=1,IFERROR(tblParticipants[[#This Row],[HoursPerWk3Qae]]*tblParticipants[[#This Row],[HrlyWg3Qae]]*13,0),0)</f>
        <v>0</v>
      </c>
      <c r="CD176" s="9">
        <f>IFERROR(IF(SUM(tblParticipants[[#This Row],[EarnWg1Qae]],tblParticipants[[#This Row],[EarnWg2Qae]],tblParticipants[[#This Row],[EarnWg3Qae]])=3,1,0),0)</f>
        <v>0</v>
      </c>
      <c r="CE176" s="12">
        <f>IF(tblParticipants[[#This Row],[EmplAll3Qae]]=1,tblParticipants[[#This Row],[Earnings2Qae]]+tblParticipants[[#This Row],[Earnings3Qae]],0)</f>
        <v>0</v>
      </c>
      <c r="CF176" s="407"/>
    </row>
    <row r="177" spans="1:84" x14ac:dyDescent="0.3">
      <c r="A177" s="19"/>
      <c r="B177" s="19"/>
      <c r="C177" s="20"/>
      <c r="D177" s="20"/>
      <c r="E177" s="26"/>
      <c r="F177" s="26"/>
      <c r="G177" s="26"/>
      <c r="H177" s="26"/>
      <c r="I177" s="26"/>
      <c r="J177" s="26"/>
      <c r="K177" s="26"/>
      <c r="L177" s="26"/>
      <c r="M177" s="20"/>
      <c r="N177" s="26"/>
      <c r="O177" s="22"/>
      <c r="P177" s="21"/>
      <c r="Q177" s="23"/>
      <c r="R177" s="21"/>
      <c r="S177" s="21"/>
      <c r="T177" s="21"/>
      <c r="U177" s="21"/>
      <c r="V177" s="21"/>
      <c r="W177" s="24"/>
      <c r="X177" s="20"/>
      <c r="Y177" s="20"/>
      <c r="Z177" s="21"/>
      <c r="AA177" s="21"/>
      <c r="AB177" s="21"/>
      <c r="AC177" s="21"/>
      <c r="AD177" s="21"/>
      <c r="AE177" s="21"/>
      <c r="AF177" s="21"/>
      <c r="AG177" s="21"/>
      <c r="AH177" s="21"/>
      <c r="AI177" s="25"/>
      <c r="AJ177" s="20"/>
      <c r="AK177" s="21"/>
      <c r="AL177" s="20"/>
      <c r="AM177" s="20"/>
      <c r="AN177" s="20"/>
      <c r="AO177" s="20"/>
      <c r="AP177" s="446"/>
      <c r="AQ177" s="20"/>
      <c r="AR177" s="20"/>
      <c r="AS177" s="20"/>
      <c r="AT177" s="20"/>
      <c r="AU177" s="26"/>
      <c r="AV177" s="98"/>
      <c r="AW177" s="98"/>
      <c r="AX177" s="98"/>
      <c r="AY177" s="98"/>
      <c r="AZ177" s="98"/>
      <c r="BA177" s="217"/>
      <c r="BB177" s="98"/>
      <c r="BC177" s="98"/>
      <c r="BD177" s="98"/>
      <c r="BE177" s="98"/>
      <c r="BF177" s="98"/>
      <c r="BG177" s="219"/>
      <c r="BH177" s="219"/>
      <c r="BI177" s="219"/>
      <c r="BJ177" s="26"/>
      <c r="BK177" s="21"/>
      <c r="BL177" s="21"/>
      <c r="BM177" s="22"/>
      <c r="BN177" s="21"/>
      <c r="BO177" s="21"/>
      <c r="BP177" s="22"/>
      <c r="BQ177" s="21"/>
      <c r="BR177" s="21"/>
      <c r="BS177" s="22"/>
      <c r="BT17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77" s="109" t="str">
        <f>IF(ISNUMBER(tblParticipants[[#This Row],[SvcStartDate]]),IF(AND(tblParticipants[[#This Row],[EnrollQtr]]=1,tblParticipants[[#This Row],[SvcStartDate]]&lt;DATE(conProgYear,7,1)),1,""),"")</f>
        <v/>
      </c>
      <c r="BV17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77" s="232" t="str">
        <f t="shared" ca="1" si="2"/>
        <v/>
      </c>
      <c r="BX177" s="9">
        <f>IF(SUM(IF(tblParticipants[[#This Row],[AmIndOrAkNtv]]=1,1,0),IF(tblParticipants[[#This Row],[Asian]]=1,1,0),IF(tblParticipants[[#This Row],[BlkOrAfAmer]]=1,1,0),IF(tblParticipants[[#This Row],[NtvHawOrPacIsl]]=1,1,0),IF(tblParticipants[[#This Row],[White]]=1,1,0))&gt;1,1,0)</f>
        <v>0</v>
      </c>
      <c r="BY17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7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7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77" s="11">
        <f>IF(tblParticipants[[#This Row],[EarnWg2Qae]]=1,IFERROR(tblParticipants[[#This Row],[HoursPerWk2Qae]]*tblParticipants[[#This Row],[HrlyWg2Qae]]*13,0),0)</f>
        <v>0</v>
      </c>
      <c r="CC177" s="11">
        <f>IF(tblParticipants[[#This Row],[EarnWg3Qae]]=1,IFERROR(tblParticipants[[#This Row],[HoursPerWk3Qae]]*tblParticipants[[#This Row],[HrlyWg3Qae]]*13,0),0)</f>
        <v>0</v>
      </c>
      <c r="CD177" s="9">
        <f>IFERROR(IF(SUM(tblParticipants[[#This Row],[EarnWg1Qae]],tblParticipants[[#This Row],[EarnWg2Qae]],tblParticipants[[#This Row],[EarnWg3Qae]])=3,1,0),0)</f>
        <v>0</v>
      </c>
      <c r="CE177" s="12">
        <f>IF(tblParticipants[[#This Row],[EmplAll3Qae]]=1,tblParticipants[[#This Row],[Earnings2Qae]]+tblParticipants[[#This Row],[Earnings3Qae]],0)</f>
        <v>0</v>
      </c>
      <c r="CF177" s="407"/>
    </row>
    <row r="178" spans="1:84" x14ac:dyDescent="0.3">
      <c r="A178" s="19"/>
      <c r="B178" s="19"/>
      <c r="C178" s="20"/>
      <c r="D178" s="20"/>
      <c r="E178" s="26"/>
      <c r="F178" s="26"/>
      <c r="G178" s="26"/>
      <c r="H178" s="26"/>
      <c r="I178" s="26"/>
      <c r="J178" s="26"/>
      <c r="K178" s="26"/>
      <c r="L178" s="26"/>
      <c r="M178" s="20"/>
      <c r="N178" s="26"/>
      <c r="O178" s="22"/>
      <c r="P178" s="21"/>
      <c r="Q178" s="23"/>
      <c r="R178" s="21"/>
      <c r="S178" s="21"/>
      <c r="T178" s="21"/>
      <c r="U178" s="21"/>
      <c r="V178" s="21"/>
      <c r="W178" s="24"/>
      <c r="X178" s="20"/>
      <c r="Y178" s="20"/>
      <c r="Z178" s="21"/>
      <c r="AA178" s="21"/>
      <c r="AB178" s="21"/>
      <c r="AC178" s="21"/>
      <c r="AD178" s="21"/>
      <c r="AE178" s="21"/>
      <c r="AF178" s="21"/>
      <c r="AG178" s="21"/>
      <c r="AH178" s="21"/>
      <c r="AI178" s="25"/>
      <c r="AJ178" s="20"/>
      <c r="AK178" s="21"/>
      <c r="AL178" s="20"/>
      <c r="AM178" s="20"/>
      <c r="AN178" s="20"/>
      <c r="AO178" s="20"/>
      <c r="AP178" s="446"/>
      <c r="AQ178" s="20"/>
      <c r="AR178" s="20"/>
      <c r="AS178" s="20"/>
      <c r="AT178" s="20"/>
      <c r="AU178" s="26"/>
      <c r="AV178" s="98"/>
      <c r="AW178" s="98"/>
      <c r="AX178" s="98"/>
      <c r="AY178" s="98"/>
      <c r="AZ178" s="98"/>
      <c r="BA178" s="217"/>
      <c r="BB178" s="98"/>
      <c r="BC178" s="98"/>
      <c r="BD178" s="98"/>
      <c r="BE178" s="98"/>
      <c r="BF178" s="98"/>
      <c r="BG178" s="219"/>
      <c r="BH178" s="219"/>
      <c r="BI178" s="219"/>
      <c r="BJ178" s="26"/>
      <c r="BK178" s="21"/>
      <c r="BL178" s="21"/>
      <c r="BM178" s="22"/>
      <c r="BN178" s="21"/>
      <c r="BO178" s="21"/>
      <c r="BP178" s="22"/>
      <c r="BQ178" s="21"/>
      <c r="BR178" s="21"/>
      <c r="BS178" s="22"/>
      <c r="BT17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78" s="109" t="str">
        <f>IF(ISNUMBER(tblParticipants[[#This Row],[SvcStartDate]]),IF(AND(tblParticipants[[#This Row],[EnrollQtr]]=1,tblParticipants[[#This Row],[SvcStartDate]]&lt;DATE(conProgYear,7,1)),1,""),"")</f>
        <v/>
      </c>
      <c r="BV17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78" s="232" t="str">
        <f t="shared" ca="1" si="2"/>
        <v/>
      </c>
      <c r="BX178" s="9">
        <f>IF(SUM(IF(tblParticipants[[#This Row],[AmIndOrAkNtv]]=1,1,0),IF(tblParticipants[[#This Row],[Asian]]=1,1,0),IF(tblParticipants[[#This Row],[BlkOrAfAmer]]=1,1,0),IF(tblParticipants[[#This Row],[NtvHawOrPacIsl]]=1,1,0),IF(tblParticipants[[#This Row],[White]]=1,1,0))&gt;1,1,0)</f>
        <v>0</v>
      </c>
      <c r="BY17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7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7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78" s="11">
        <f>IF(tblParticipants[[#This Row],[EarnWg2Qae]]=1,IFERROR(tblParticipants[[#This Row],[HoursPerWk2Qae]]*tblParticipants[[#This Row],[HrlyWg2Qae]]*13,0),0)</f>
        <v>0</v>
      </c>
      <c r="CC178" s="11">
        <f>IF(tblParticipants[[#This Row],[EarnWg3Qae]]=1,IFERROR(tblParticipants[[#This Row],[HoursPerWk3Qae]]*tblParticipants[[#This Row],[HrlyWg3Qae]]*13,0),0)</f>
        <v>0</v>
      </c>
      <c r="CD178" s="9">
        <f>IFERROR(IF(SUM(tblParticipants[[#This Row],[EarnWg1Qae]],tblParticipants[[#This Row],[EarnWg2Qae]],tblParticipants[[#This Row],[EarnWg3Qae]])=3,1,0),0)</f>
        <v>0</v>
      </c>
      <c r="CE178" s="12">
        <f>IF(tblParticipants[[#This Row],[EmplAll3Qae]]=1,tblParticipants[[#This Row],[Earnings2Qae]]+tblParticipants[[#This Row],[Earnings3Qae]],0)</f>
        <v>0</v>
      </c>
      <c r="CF178" s="407"/>
    </row>
    <row r="179" spans="1:84" x14ac:dyDescent="0.3">
      <c r="A179" s="19"/>
      <c r="B179" s="19"/>
      <c r="C179" s="20"/>
      <c r="D179" s="20"/>
      <c r="E179" s="26"/>
      <c r="F179" s="26"/>
      <c r="G179" s="26"/>
      <c r="H179" s="26"/>
      <c r="I179" s="26"/>
      <c r="J179" s="26"/>
      <c r="K179" s="26"/>
      <c r="L179" s="26"/>
      <c r="M179" s="20"/>
      <c r="N179" s="26"/>
      <c r="O179" s="22"/>
      <c r="P179" s="21"/>
      <c r="Q179" s="23"/>
      <c r="R179" s="21"/>
      <c r="S179" s="21"/>
      <c r="T179" s="21"/>
      <c r="U179" s="21"/>
      <c r="V179" s="21"/>
      <c r="W179" s="24"/>
      <c r="X179" s="20"/>
      <c r="Y179" s="20"/>
      <c r="Z179" s="21"/>
      <c r="AA179" s="21"/>
      <c r="AB179" s="21"/>
      <c r="AC179" s="21"/>
      <c r="AD179" s="21"/>
      <c r="AE179" s="21"/>
      <c r="AF179" s="21"/>
      <c r="AG179" s="21"/>
      <c r="AH179" s="21"/>
      <c r="AI179" s="25"/>
      <c r="AJ179" s="20"/>
      <c r="AK179" s="21"/>
      <c r="AL179" s="20"/>
      <c r="AM179" s="20"/>
      <c r="AN179" s="20"/>
      <c r="AO179" s="20"/>
      <c r="AP179" s="446"/>
      <c r="AQ179" s="20"/>
      <c r="AR179" s="20"/>
      <c r="AS179" s="20"/>
      <c r="AT179" s="20"/>
      <c r="AU179" s="26"/>
      <c r="AV179" s="98"/>
      <c r="AW179" s="98"/>
      <c r="AX179" s="98"/>
      <c r="AY179" s="98"/>
      <c r="AZ179" s="98"/>
      <c r="BA179" s="217"/>
      <c r="BB179" s="98"/>
      <c r="BC179" s="98"/>
      <c r="BD179" s="98"/>
      <c r="BE179" s="98"/>
      <c r="BF179" s="98"/>
      <c r="BG179" s="219"/>
      <c r="BH179" s="219"/>
      <c r="BI179" s="219"/>
      <c r="BJ179" s="26"/>
      <c r="BK179" s="21"/>
      <c r="BL179" s="21"/>
      <c r="BM179" s="22"/>
      <c r="BN179" s="21"/>
      <c r="BO179" s="21"/>
      <c r="BP179" s="22"/>
      <c r="BQ179" s="21"/>
      <c r="BR179" s="21"/>
      <c r="BS179" s="22"/>
      <c r="BT17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79" s="109" t="str">
        <f>IF(ISNUMBER(tblParticipants[[#This Row],[SvcStartDate]]),IF(AND(tblParticipants[[#This Row],[EnrollQtr]]=1,tblParticipants[[#This Row],[SvcStartDate]]&lt;DATE(conProgYear,7,1)),1,""),"")</f>
        <v/>
      </c>
      <c r="BV17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79" s="232" t="str">
        <f t="shared" ca="1" si="2"/>
        <v/>
      </c>
      <c r="BX179" s="9">
        <f>IF(SUM(IF(tblParticipants[[#This Row],[AmIndOrAkNtv]]=1,1,0),IF(tblParticipants[[#This Row],[Asian]]=1,1,0),IF(tblParticipants[[#This Row],[BlkOrAfAmer]]=1,1,0),IF(tblParticipants[[#This Row],[NtvHawOrPacIsl]]=1,1,0),IF(tblParticipants[[#This Row],[White]]=1,1,0))&gt;1,1,0)</f>
        <v>0</v>
      </c>
      <c r="BY17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7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7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79" s="11">
        <f>IF(tblParticipants[[#This Row],[EarnWg2Qae]]=1,IFERROR(tblParticipants[[#This Row],[HoursPerWk2Qae]]*tblParticipants[[#This Row],[HrlyWg2Qae]]*13,0),0)</f>
        <v>0</v>
      </c>
      <c r="CC179" s="11">
        <f>IF(tblParticipants[[#This Row],[EarnWg3Qae]]=1,IFERROR(tblParticipants[[#This Row],[HoursPerWk3Qae]]*tblParticipants[[#This Row],[HrlyWg3Qae]]*13,0),0)</f>
        <v>0</v>
      </c>
      <c r="CD179" s="9">
        <f>IFERROR(IF(SUM(tblParticipants[[#This Row],[EarnWg1Qae]],tblParticipants[[#This Row],[EarnWg2Qae]],tblParticipants[[#This Row],[EarnWg3Qae]])=3,1,0),0)</f>
        <v>0</v>
      </c>
      <c r="CE179" s="12">
        <f>IF(tblParticipants[[#This Row],[EmplAll3Qae]]=1,tblParticipants[[#This Row],[Earnings2Qae]]+tblParticipants[[#This Row],[Earnings3Qae]],0)</f>
        <v>0</v>
      </c>
      <c r="CF179" s="407"/>
    </row>
    <row r="180" spans="1:84" x14ac:dyDescent="0.3">
      <c r="A180" s="19"/>
      <c r="B180" s="19"/>
      <c r="C180" s="20"/>
      <c r="D180" s="20"/>
      <c r="E180" s="26"/>
      <c r="F180" s="26"/>
      <c r="G180" s="26"/>
      <c r="H180" s="26"/>
      <c r="I180" s="26"/>
      <c r="J180" s="26"/>
      <c r="K180" s="26"/>
      <c r="L180" s="26"/>
      <c r="M180" s="20"/>
      <c r="N180" s="26"/>
      <c r="O180" s="22"/>
      <c r="P180" s="21"/>
      <c r="Q180" s="23"/>
      <c r="R180" s="21"/>
      <c r="S180" s="21"/>
      <c r="T180" s="21"/>
      <c r="U180" s="21"/>
      <c r="V180" s="21"/>
      <c r="W180" s="24"/>
      <c r="X180" s="20"/>
      <c r="Y180" s="20"/>
      <c r="Z180" s="21"/>
      <c r="AA180" s="21"/>
      <c r="AB180" s="21"/>
      <c r="AC180" s="21"/>
      <c r="AD180" s="21"/>
      <c r="AE180" s="21"/>
      <c r="AF180" s="21"/>
      <c r="AG180" s="21"/>
      <c r="AH180" s="21"/>
      <c r="AI180" s="25"/>
      <c r="AJ180" s="20"/>
      <c r="AK180" s="21"/>
      <c r="AL180" s="20"/>
      <c r="AM180" s="20"/>
      <c r="AN180" s="20"/>
      <c r="AO180" s="20"/>
      <c r="AP180" s="446"/>
      <c r="AQ180" s="20"/>
      <c r="AR180" s="20"/>
      <c r="AS180" s="20"/>
      <c r="AT180" s="20"/>
      <c r="AU180" s="26"/>
      <c r="AV180" s="98"/>
      <c r="AW180" s="98"/>
      <c r="AX180" s="98"/>
      <c r="AY180" s="98"/>
      <c r="AZ180" s="98"/>
      <c r="BA180" s="217"/>
      <c r="BB180" s="98"/>
      <c r="BC180" s="98"/>
      <c r="BD180" s="98"/>
      <c r="BE180" s="98"/>
      <c r="BF180" s="98"/>
      <c r="BG180" s="219"/>
      <c r="BH180" s="219"/>
      <c r="BI180" s="219"/>
      <c r="BJ180" s="26"/>
      <c r="BK180" s="21"/>
      <c r="BL180" s="21"/>
      <c r="BM180" s="22"/>
      <c r="BN180" s="21"/>
      <c r="BO180" s="21"/>
      <c r="BP180" s="22"/>
      <c r="BQ180" s="21"/>
      <c r="BR180" s="21"/>
      <c r="BS180" s="22"/>
      <c r="BT18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80" s="109" t="str">
        <f>IF(ISNUMBER(tblParticipants[[#This Row],[SvcStartDate]]),IF(AND(tblParticipants[[#This Row],[EnrollQtr]]=1,tblParticipants[[#This Row],[SvcStartDate]]&lt;DATE(conProgYear,7,1)),1,""),"")</f>
        <v/>
      </c>
      <c r="BV18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80" s="232" t="str">
        <f t="shared" ca="1" si="2"/>
        <v/>
      </c>
      <c r="BX180" s="9">
        <f>IF(SUM(IF(tblParticipants[[#This Row],[AmIndOrAkNtv]]=1,1,0),IF(tblParticipants[[#This Row],[Asian]]=1,1,0),IF(tblParticipants[[#This Row],[BlkOrAfAmer]]=1,1,0),IF(tblParticipants[[#This Row],[NtvHawOrPacIsl]]=1,1,0),IF(tblParticipants[[#This Row],[White]]=1,1,0))&gt;1,1,0)</f>
        <v>0</v>
      </c>
      <c r="BY18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8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8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80" s="11">
        <f>IF(tblParticipants[[#This Row],[EarnWg2Qae]]=1,IFERROR(tblParticipants[[#This Row],[HoursPerWk2Qae]]*tblParticipants[[#This Row],[HrlyWg2Qae]]*13,0),0)</f>
        <v>0</v>
      </c>
      <c r="CC180" s="11">
        <f>IF(tblParticipants[[#This Row],[EarnWg3Qae]]=1,IFERROR(tblParticipants[[#This Row],[HoursPerWk3Qae]]*tblParticipants[[#This Row],[HrlyWg3Qae]]*13,0),0)</f>
        <v>0</v>
      </c>
      <c r="CD180" s="9">
        <f>IFERROR(IF(SUM(tblParticipants[[#This Row],[EarnWg1Qae]],tblParticipants[[#This Row],[EarnWg2Qae]],tblParticipants[[#This Row],[EarnWg3Qae]])=3,1,0),0)</f>
        <v>0</v>
      </c>
      <c r="CE180" s="12">
        <f>IF(tblParticipants[[#This Row],[EmplAll3Qae]]=1,tblParticipants[[#This Row],[Earnings2Qae]]+tblParticipants[[#This Row],[Earnings3Qae]],0)</f>
        <v>0</v>
      </c>
      <c r="CF180" s="407"/>
    </row>
    <row r="181" spans="1:84" x14ac:dyDescent="0.3">
      <c r="A181" s="19"/>
      <c r="B181" s="19"/>
      <c r="C181" s="20"/>
      <c r="D181" s="20"/>
      <c r="E181" s="26"/>
      <c r="F181" s="26"/>
      <c r="G181" s="26"/>
      <c r="H181" s="26"/>
      <c r="I181" s="26"/>
      <c r="J181" s="26"/>
      <c r="K181" s="26"/>
      <c r="L181" s="26"/>
      <c r="M181" s="20"/>
      <c r="N181" s="26"/>
      <c r="O181" s="22"/>
      <c r="P181" s="21"/>
      <c r="Q181" s="23"/>
      <c r="R181" s="21"/>
      <c r="S181" s="21"/>
      <c r="T181" s="21"/>
      <c r="U181" s="21"/>
      <c r="V181" s="21"/>
      <c r="W181" s="24"/>
      <c r="X181" s="20"/>
      <c r="Y181" s="20"/>
      <c r="Z181" s="21"/>
      <c r="AA181" s="21"/>
      <c r="AB181" s="21"/>
      <c r="AC181" s="21"/>
      <c r="AD181" s="21"/>
      <c r="AE181" s="21"/>
      <c r="AF181" s="21"/>
      <c r="AG181" s="21"/>
      <c r="AH181" s="21"/>
      <c r="AI181" s="25"/>
      <c r="AJ181" s="20"/>
      <c r="AK181" s="21"/>
      <c r="AL181" s="20"/>
      <c r="AM181" s="20"/>
      <c r="AN181" s="20"/>
      <c r="AO181" s="20"/>
      <c r="AP181" s="446"/>
      <c r="AQ181" s="20"/>
      <c r="AR181" s="20"/>
      <c r="AS181" s="20"/>
      <c r="AT181" s="20"/>
      <c r="AU181" s="26"/>
      <c r="AV181" s="98"/>
      <c r="AW181" s="98"/>
      <c r="AX181" s="98"/>
      <c r="AY181" s="98"/>
      <c r="AZ181" s="98"/>
      <c r="BA181" s="217"/>
      <c r="BB181" s="98"/>
      <c r="BC181" s="98"/>
      <c r="BD181" s="98"/>
      <c r="BE181" s="98"/>
      <c r="BF181" s="98"/>
      <c r="BG181" s="219"/>
      <c r="BH181" s="219"/>
      <c r="BI181" s="219"/>
      <c r="BJ181" s="26"/>
      <c r="BK181" s="21"/>
      <c r="BL181" s="21"/>
      <c r="BM181" s="22"/>
      <c r="BN181" s="21"/>
      <c r="BO181" s="21"/>
      <c r="BP181" s="22"/>
      <c r="BQ181" s="21"/>
      <c r="BR181" s="21"/>
      <c r="BS181" s="22"/>
      <c r="BT18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81" s="109" t="str">
        <f>IF(ISNUMBER(tblParticipants[[#This Row],[SvcStartDate]]),IF(AND(tblParticipants[[#This Row],[EnrollQtr]]=1,tblParticipants[[#This Row],[SvcStartDate]]&lt;DATE(conProgYear,7,1)),1,""),"")</f>
        <v/>
      </c>
      <c r="BV18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81" s="232" t="str">
        <f t="shared" ca="1" si="2"/>
        <v/>
      </c>
      <c r="BX181" s="9">
        <f>IF(SUM(IF(tblParticipants[[#This Row],[AmIndOrAkNtv]]=1,1,0),IF(tblParticipants[[#This Row],[Asian]]=1,1,0),IF(tblParticipants[[#This Row],[BlkOrAfAmer]]=1,1,0),IF(tblParticipants[[#This Row],[NtvHawOrPacIsl]]=1,1,0),IF(tblParticipants[[#This Row],[White]]=1,1,0))&gt;1,1,0)</f>
        <v>0</v>
      </c>
      <c r="BY18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8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8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81" s="11">
        <f>IF(tblParticipants[[#This Row],[EarnWg2Qae]]=1,IFERROR(tblParticipants[[#This Row],[HoursPerWk2Qae]]*tblParticipants[[#This Row],[HrlyWg2Qae]]*13,0),0)</f>
        <v>0</v>
      </c>
      <c r="CC181" s="11">
        <f>IF(tblParticipants[[#This Row],[EarnWg3Qae]]=1,IFERROR(tblParticipants[[#This Row],[HoursPerWk3Qae]]*tblParticipants[[#This Row],[HrlyWg3Qae]]*13,0),0)</f>
        <v>0</v>
      </c>
      <c r="CD181" s="9">
        <f>IFERROR(IF(SUM(tblParticipants[[#This Row],[EarnWg1Qae]],tblParticipants[[#This Row],[EarnWg2Qae]],tblParticipants[[#This Row],[EarnWg3Qae]])=3,1,0),0)</f>
        <v>0</v>
      </c>
      <c r="CE181" s="12">
        <f>IF(tblParticipants[[#This Row],[EmplAll3Qae]]=1,tblParticipants[[#This Row],[Earnings2Qae]]+tblParticipants[[#This Row],[Earnings3Qae]],0)</f>
        <v>0</v>
      </c>
      <c r="CF181" s="407"/>
    </row>
    <row r="182" spans="1:84" x14ac:dyDescent="0.3">
      <c r="A182" s="19"/>
      <c r="B182" s="19"/>
      <c r="C182" s="20"/>
      <c r="D182" s="20"/>
      <c r="E182" s="26"/>
      <c r="F182" s="26"/>
      <c r="G182" s="26"/>
      <c r="H182" s="26"/>
      <c r="I182" s="26"/>
      <c r="J182" s="26"/>
      <c r="K182" s="26"/>
      <c r="L182" s="26"/>
      <c r="M182" s="20"/>
      <c r="N182" s="26"/>
      <c r="O182" s="22"/>
      <c r="P182" s="21"/>
      <c r="Q182" s="23"/>
      <c r="R182" s="21"/>
      <c r="S182" s="21"/>
      <c r="T182" s="21"/>
      <c r="U182" s="21"/>
      <c r="V182" s="21"/>
      <c r="W182" s="24"/>
      <c r="X182" s="20"/>
      <c r="Y182" s="20"/>
      <c r="Z182" s="21"/>
      <c r="AA182" s="21"/>
      <c r="AB182" s="21"/>
      <c r="AC182" s="21"/>
      <c r="AD182" s="21"/>
      <c r="AE182" s="21"/>
      <c r="AF182" s="21"/>
      <c r="AG182" s="21"/>
      <c r="AH182" s="21"/>
      <c r="AI182" s="25"/>
      <c r="AJ182" s="20"/>
      <c r="AK182" s="21"/>
      <c r="AL182" s="20"/>
      <c r="AM182" s="20"/>
      <c r="AN182" s="20"/>
      <c r="AO182" s="20"/>
      <c r="AP182" s="446"/>
      <c r="AQ182" s="20"/>
      <c r="AR182" s="20"/>
      <c r="AS182" s="20"/>
      <c r="AT182" s="20"/>
      <c r="AU182" s="26"/>
      <c r="AV182" s="98"/>
      <c r="AW182" s="98"/>
      <c r="AX182" s="98"/>
      <c r="AY182" s="98"/>
      <c r="AZ182" s="98"/>
      <c r="BA182" s="217"/>
      <c r="BB182" s="98"/>
      <c r="BC182" s="98"/>
      <c r="BD182" s="98"/>
      <c r="BE182" s="98"/>
      <c r="BF182" s="98"/>
      <c r="BG182" s="219"/>
      <c r="BH182" s="219"/>
      <c r="BI182" s="219"/>
      <c r="BJ182" s="26"/>
      <c r="BK182" s="21"/>
      <c r="BL182" s="21"/>
      <c r="BM182" s="22"/>
      <c r="BN182" s="21"/>
      <c r="BO182" s="21"/>
      <c r="BP182" s="22"/>
      <c r="BQ182" s="21"/>
      <c r="BR182" s="21"/>
      <c r="BS182" s="22"/>
      <c r="BT18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82" s="109" t="str">
        <f>IF(ISNUMBER(tblParticipants[[#This Row],[SvcStartDate]]),IF(AND(tblParticipants[[#This Row],[EnrollQtr]]=1,tblParticipants[[#This Row],[SvcStartDate]]&lt;DATE(conProgYear,7,1)),1,""),"")</f>
        <v/>
      </c>
      <c r="BV18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82" s="232" t="str">
        <f t="shared" ca="1" si="2"/>
        <v/>
      </c>
      <c r="BX182" s="9">
        <f>IF(SUM(IF(tblParticipants[[#This Row],[AmIndOrAkNtv]]=1,1,0),IF(tblParticipants[[#This Row],[Asian]]=1,1,0),IF(tblParticipants[[#This Row],[BlkOrAfAmer]]=1,1,0),IF(tblParticipants[[#This Row],[NtvHawOrPacIsl]]=1,1,0),IF(tblParticipants[[#This Row],[White]]=1,1,0))&gt;1,1,0)</f>
        <v>0</v>
      </c>
      <c r="BY18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8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8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82" s="11">
        <f>IF(tblParticipants[[#This Row],[EarnWg2Qae]]=1,IFERROR(tblParticipants[[#This Row],[HoursPerWk2Qae]]*tblParticipants[[#This Row],[HrlyWg2Qae]]*13,0),0)</f>
        <v>0</v>
      </c>
      <c r="CC182" s="11">
        <f>IF(tblParticipants[[#This Row],[EarnWg3Qae]]=1,IFERROR(tblParticipants[[#This Row],[HoursPerWk3Qae]]*tblParticipants[[#This Row],[HrlyWg3Qae]]*13,0),0)</f>
        <v>0</v>
      </c>
      <c r="CD182" s="9">
        <f>IFERROR(IF(SUM(tblParticipants[[#This Row],[EarnWg1Qae]],tblParticipants[[#This Row],[EarnWg2Qae]],tblParticipants[[#This Row],[EarnWg3Qae]])=3,1,0),0)</f>
        <v>0</v>
      </c>
      <c r="CE182" s="12">
        <f>IF(tblParticipants[[#This Row],[EmplAll3Qae]]=1,tblParticipants[[#This Row],[Earnings2Qae]]+tblParticipants[[#This Row],[Earnings3Qae]],0)</f>
        <v>0</v>
      </c>
      <c r="CF182" s="407"/>
    </row>
    <row r="183" spans="1:84" x14ac:dyDescent="0.3">
      <c r="A183" s="19"/>
      <c r="B183" s="19"/>
      <c r="C183" s="20"/>
      <c r="D183" s="20"/>
      <c r="E183" s="26"/>
      <c r="F183" s="26"/>
      <c r="G183" s="26"/>
      <c r="H183" s="26"/>
      <c r="I183" s="26"/>
      <c r="J183" s="26"/>
      <c r="K183" s="26"/>
      <c r="L183" s="26"/>
      <c r="M183" s="20"/>
      <c r="N183" s="26"/>
      <c r="O183" s="22"/>
      <c r="P183" s="21"/>
      <c r="Q183" s="23"/>
      <c r="R183" s="21"/>
      <c r="S183" s="21"/>
      <c r="T183" s="21"/>
      <c r="U183" s="21"/>
      <c r="V183" s="21"/>
      <c r="W183" s="24"/>
      <c r="X183" s="20"/>
      <c r="Y183" s="20"/>
      <c r="Z183" s="21"/>
      <c r="AA183" s="21"/>
      <c r="AB183" s="21"/>
      <c r="AC183" s="21"/>
      <c r="AD183" s="21"/>
      <c r="AE183" s="21"/>
      <c r="AF183" s="21"/>
      <c r="AG183" s="21"/>
      <c r="AH183" s="21"/>
      <c r="AI183" s="25"/>
      <c r="AJ183" s="20"/>
      <c r="AK183" s="21"/>
      <c r="AL183" s="20"/>
      <c r="AM183" s="20"/>
      <c r="AN183" s="20"/>
      <c r="AO183" s="20"/>
      <c r="AP183" s="446"/>
      <c r="AQ183" s="20"/>
      <c r="AR183" s="20"/>
      <c r="AS183" s="20"/>
      <c r="AT183" s="20"/>
      <c r="AU183" s="26"/>
      <c r="AV183" s="98"/>
      <c r="AW183" s="98"/>
      <c r="AX183" s="98"/>
      <c r="AY183" s="98"/>
      <c r="AZ183" s="98"/>
      <c r="BA183" s="217"/>
      <c r="BB183" s="98"/>
      <c r="BC183" s="98"/>
      <c r="BD183" s="98"/>
      <c r="BE183" s="98"/>
      <c r="BF183" s="98"/>
      <c r="BG183" s="219"/>
      <c r="BH183" s="219"/>
      <c r="BI183" s="219"/>
      <c r="BJ183" s="26"/>
      <c r="BK183" s="21"/>
      <c r="BL183" s="21"/>
      <c r="BM183" s="22"/>
      <c r="BN183" s="21"/>
      <c r="BO183" s="21"/>
      <c r="BP183" s="22"/>
      <c r="BQ183" s="21"/>
      <c r="BR183" s="21"/>
      <c r="BS183" s="22"/>
      <c r="BT18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83" s="109" t="str">
        <f>IF(ISNUMBER(tblParticipants[[#This Row],[SvcStartDate]]),IF(AND(tblParticipants[[#This Row],[EnrollQtr]]=1,tblParticipants[[#This Row],[SvcStartDate]]&lt;DATE(conProgYear,7,1)),1,""),"")</f>
        <v/>
      </c>
      <c r="BV18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83" s="232" t="str">
        <f t="shared" ca="1" si="2"/>
        <v/>
      </c>
      <c r="BX183" s="9">
        <f>IF(SUM(IF(tblParticipants[[#This Row],[AmIndOrAkNtv]]=1,1,0),IF(tblParticipants[[#This Row],[Asian]]=1,1,0),IF(tblParticipants[[#This Row],[BlkOrAfAmer]]=1,1,0),IF(tblParticipants[[#This Row],[NtvHawOrPacIsl]]=1,1,0),IF(tblParticipants[[#This Row],[White]]=1,1,0))&gt;1,1,0)</f>
        <v>0</v>
      </c>
      <c r="BY18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8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8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83" s="11">
        <f>IF(tblParticipants[[#This Row],[EarnWg2Qae]]=1,IFERROR(tblParticipants[[#This Row],[HoursPerWk2Qae]]*tblParticipants[[#This Row],[HrlyWg2Qae]]*13,0),0)</f>
        <v>0</v>
      </c>
      <c r="CC183" s="11">
        <f>IF(tblParticipants[[#This Row],[EarnWg3Qae]]=1,IFERROR(tblParticipants[[#This Row],[HoursPerWk3Qae]]*tblParticipants[[#This Row],[HrlyWg3Qae]]*13,0),0)</f>
        <v>0</v>
      </c>
      <c r="CD183" s="9">
        <f>IFERROR(IF(SUM(tblParticipants[[#This Row],[EarnWg1Qae]],tblParticipants[[#This Row],[EarnWg2Qae]],tblParticipants[[#This Row],[EarnWg3Qae]])=3,1,0),0)</f>
        <v>0</v>
      </c>
      <c r="CE183" s="12">
        <f>IF(tblParticipants[[#This Row],[EmplAll3Qae]]=1,tblParticipants[[#This Row],[Earnings2Qae]]+tblParticipants[[#This Row],[Earnings3Qae]],0)</f>
        <v>0</v>
      </c>
      <c r="CF183" s="407"/>
    </row>
    <row r="184" spans="1:84" x14ac:dyDescent="0.3">
      <c r="A184" s="19"/>
      <c r="B184" s="19"/>
      <c r="C184" s="20"/>
      <c r="D184" s="20"/>
      <c r="E184" s="26"/>
      <c r="F184" s="26"/>
      <c r="G184" s="26"/>
      <c r="H184" s="26"/>
      <c r="I184" s="26"/>
      <c r="J184" s="26"/>
      <c r="K184" s="26"/>
      <c r="L184" s="26"/>
      <c r="M184" s="20"/>
      <c r="N184" s="26"/>
      <c r="O184" s="22"/>
      <c r="P184" s="21"/>
      <c r="Q184" s="23"/>
      <c r="R184" s="21"/>
      <c r="S184" s="21"/>
      <c r="T184" s="21"/>
      <c r="U184" s="21"/>
      <c r="V184" s="21"/>
      <c r="W184" s="24"/>
      <c r="X184" s="20"/>
      <c r="Y184" s="20"/>
      <c r="Z184" s="21"/>
      <c r="AA184" s="21"/>
      <c r="AB184" s="21"/>
      <c r="AC184" s="21"/>
      <c r="AD184" s="21"/>
      <c r="AE184" s="21"/>
      <c r="AF184" s="21"/>
      <c r="AG184" s="21"/>
      <c r="AH184" s="21"/>
      <c r="AI184" s="25"/>
      <c r="AJ184" s="20"/>
      <c r="AK184" s="21"/>
      <c r="AL184" s="20"/>
      <c r="AM184" s="20"/>
      <c r="AN184" s="20"/>
      <c r="AO184" s="20"/>
      <c r="AP184" s="446"/>
      <c r="AQ184" s="20"/>
      <c r="AR184" s="20"/>
      <c r="AS184" s="20"/>
      <c r="AT184" s="20"/>
      <c r="AU184" s="26"/>
      <c r="AV184" s="98"/>
      <c r="AW184" s="98"/>
      <c r="AX184" s="98"/>
      <c r="AY184" s="98"/>
      <c r="AZ184" s="98"/>
      <c r="BA184" s="217"/>
      <c r="BB184" s="98"/>
      <c r="BC184" s="98"/>
      <c r="BD184" s="98"/>
      <c r="BE184" s="98"/>
      <c r="BF184" s="98"/>
      <c r="BG184" s="219"/>
      <c r="BH184" s="219"/>
      <c r="BI184" s="219"/>
      <c r="BJ184" s="26"/>
      <c r="BK184" s="21"/>
      <c r="BL184" s="21"/>
      <c r="BM184" s="22"/>
      <c r="BN184" s="21"/>
      <c r="BO184" s="21"/>
      <c r="BP184" s="22"/>
      <c r="BQ184" s="21"/>
      <c r="BR184" s="21"/>
      <c r="BS184" s="22"/>
      <c r="BT18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84" s="109" t="str">
        <f>IF(ISNUMBER(tblParticipants[[#This Row],[SvcStartDate]]),IF(AND(tblParticipants[[#This Row],[EnrollQtr]]=1,tblParticipants[[#This Row],[SvcStartDate]]&lt;DATE(conProgYear,7,1)),1,""),"")</f>
        <v/>
      </c>
      <c r="BV18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84" s="232" t="str">
        <f t="shared" ca="1" si="2"/>
        <v/>
      </c>
      <c r="BX184" s="9">
        <f>IF(SUM(IF(tblParticipants[[#This Row],[AmIndOrAkNtv]]=1,1,0),IF(tblParticipants[[#This Row],[Asian]]=1,1,0),IF(tblParticipants[[#This Row],[BlkOrAfAmer]]=1,1,0),IF(tblParticipants[[#This Row],[NtvHawOrPacIsl]]=1,1,0),IF(tblParticipants[[#This Row],[White]]=1,1,0))&gt;1,1,0)</f>
        <v>0</v>
      </c>
      <c r="BY18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8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8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84" s="11">
        <f>IF(tblParticipants[[#This Row],[EarnWg2Qae]]=1,IFERROR(tblParticipants[[#This Row],[HoursPerWk2Qae]]*tblParticipants[[#This Row],[HrlyWg2Qae]]*13,0),0)</f>
        <v>0</v>
      </c>
      <c r="CC184" s="11">
        <f>IF(tblParticipants[[#This Row],[EarnWg3Qae]]=1,IFERROR(tblParticipants[[#This Row],[HoursPerWk3Qae]]*tblParticipants[[#This Row],[HrlyWg3Qae]]*13,0),0)</f>
        <v>0</v>
      </c>
      <c r="CD184" s="9">
        <f>IFERROR(IF(SUM(tblParticipants[[#This Row],[EarnWg1Qae]],tblParticipants[[#This Row],[EarnWg2Qae]],tblParticipants[[#This Row],[EarnWg3Qae]])=3,1,0),0)</f>
        <v>0</v>
      </c>
      <c r="CE184" s="12">
        <f>IF(tblParticipants[[#This Row],[EmplAll3Qae]]=1,tblParticipants[[#This Row],[Earnings2Qae]]+tblParticipants[[#This Row],[Earnings3Qae]],0)</f>
        <v>0</v>
      </c>
      <c r="CF184" s="407"/>
    </row>
    <row r="185" spans="1:84" x14ac:dyDescent="0.3">
      <c r="A185" s="19"/>
      <c r="B185" s="19"/>
      <c r="C185" s="20"/>
      <c r="D185" s="20"/>
      <c r="E185" s="26"/>
      <c r="F185" s="26"/>
      <c r="G185" s="26"/>
      <c r="H185" s="26"/>
      <c r="I185" s="26"/>
      <c r="J185" s="26"/>
      <c r="K185" s="26"/>
      <c r="L185" s="26"/>
      <c r="M185" s="20"/>
      <c r="N185" s="26"/>
      <c r="O185" s="22"/>
      <c r="P185" s="21"/>
      <c r="Q185" s="23"/>
      <c r="R185" s="21"/>
      <c r="S185" s="21"/>
      <c r="T185" s="21"/>
      <c r="U185" s="21"/>
      <c r="V185" s="21"/>
      <c r="W185" s="24"/>
      <c r="X185" s="20"/>
      <c r="Y185" s="20"/>
      <c r="Z185" s="21"/>
      <c r="AA185" s="21"/>
      <c r="AB185" s="21"/>
      <c r="AC185" s="21"/>
      <c r="AD185" s="21"/>
      <c r="AE185" s="21"/>
      <c r="AF185" s="21"/>
      <c r="AG185" s="21"/>
      <c r="AH185" s="21"/>
      <c r="AI185" s="25"/>
      <c r="AJ185" s="20"/>
      <c r="AK185" s="21"/>
      <c r="AL185" s="20"/>
      <c r="AM185" s="20"/>
      <c r="AN185" s="20"/>
      <c r="AO185" s="20"/>
      <c r="AP185" s="446"/>
      <c r="AQ185" s="20"/>
      <c r="AR185" s="20"/>
      <c r="AS185" s="20"/>
      <c r="AT185" s="20"/>
      <c r="AU185" s="26"/>
      <c r="AV185" s="98"/>
      <c r="AW185" s="98"/>
      <c r="AX185" s="98"/>
      <c r="AY185" s="98"/>
      <c r="AZ185" s="98"/>
      <c r="BA185" s="217"/>
      <c r="BB185" s="98"/>
      <c r="BC185" s="98"/>
      <c r="BD185" s="98"/>
      <c r="BE185" s="98"/>
      <c r="BF185" s="98"/>
      <c r="BG185" s="219"/>
      <c r="BH185" s="219"/>
      <c r="BI185" s="219"/>
      <c r="BJ185" s="26"/>
      <c r="BK185" s="21"/>
      <c r="BL185" s="21"/>
      <c r="BM185" s="22"/>
      <c r="BN185" s="21"/>
      <c r="BO185" s="21"/>
      <c r="BP185" s="22"/>
      <c r="BQ185" s="21"/>
      <c r="BR185" s="21"/>
      <c r="BS185" s="22"/>
      <c r="BT18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85" s="109" t="str">
        <f>IF(ISNUMBER(tblParticipants[[#This Row],[SvcStartDate]]),IF(AND(tblParticipants[[#This Row],[EnrollQtr]]=1,tblParticipants[[#This Row],[SvcStartDate]]&lt;DATE(conProgYear,7,1)),1,""),"")</f>
        <v/>
      </c>
      <c r="BV18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85" s="232" t="str">
        <f t="shared" ca="1" si="2"/>
        <v/>
      </c>
      <c r="BX185" s="9">
        <f>IF(SUM(IF(tblParticipants[[#This Row],[AmIndOrAkNtv]]=1,1,0),IF(tblParticipants[[#This Row],[Asian]]=1,1,0),IF(tblParticipants[[#This Row],[BlkOrAfAmer]]=1,1,0),IF(tblParticipants[[#This Row],[NtvHawOrPacIsl]]=1,1,0),IF(tblParticipants[[#This Row],[White]]=1,1,0))&gt;1,1,0)</f>
        <v>0</v>
      </c>
      <c r="BY18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8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8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85" s="11">
        <f>IF(tblParticipants[[#This Row],[EarnWg2Qae]]=1,IFERROR(tblParticipants[[#This Row],[HoursPerWk2Qae]]*tblParticipants[[#This Row],[HrlyWg2Qae]]*13,0),0)</f>
        <v>0</v>
      </c>
      <c r="CC185" s="11">
        <f>IF(tblParticipants[[#This Row],[EarnWg3Qae]]=1,IFERROR(tblParticipants[[#This Row],[HoursPerWk3Qae]]*tblParticipants[[#This Row],[HrlyWg3Qae]]*13,0),0)</f>
        <v>0</v>
      </c>
      <c r="CD185" s="9">
        <f>IFERROR(IF(SUM(tblParticipants[[#This Row],[EarnWg1Qae]],tblParticipants[[#This Row],[EarnWg2Qae]],tblParticipants[[#This Row],[EarnWg3Qae]])=3,1,0),0)</f>
        <v>0</v>
      </c>
      <c r="CE185" s="12">
        <f>IF(tblParticipants[[#This Row],[EmplAll3Qae]]=1,tblParticipants[[#This Row],[Earnings2Qae]]+tblParticipants[[#This Row],[Earnings3Qae]],0)</f>
        <v>0</v>
      </c>
      <c r="CF185" s="407"/>
    </row>
    <row r="186" spans="1:84" x14ac:dyDescent="0.3">
      <c r="A186" s="19"/>
      <c r="B186" s="19"/>
      <c r="C186" s="20"/>
      <c r="D186" s="20"/>
      <c r="E186" s="26"/>
      <c r="F186" s="26"/>
      <c r="G186" s="26"/>
      <c r="H186" s="26"/>
      <c r="I186" s="26"/>
      <c r="J186" s="26"/>
      <c r="K186" s="26"/>
      <c r="L186" s="26"/>
      <c r="M186" s="20"/>
      <c r="N186" s="26"/>
      <c r="O186" s="22"/>
      <c r="P186" s="21"/>
      <c r="Q186" s="23"/>
      <c r="R186" s="21"/>
      <c r="S186" s="21"/>
      <c r="T186" s="21"/>
      <c r="U186" s="21"/>
      <c r="V186" s="21"/>
      <c r="W186" s="24"/>
      <c r="X186" s="20"/>
      <c r="Y186" s="20"/>
      <c r="Z186" s="21"/>
      <c r="AA186" s="21"/>
      <c r="AB186" s="21"/>
      <c r="AC186" s="21"/>
      <c r="AD186" s="21"/>
      <c r="AE186" s="21"/>
      <c r="AF186" s="21"/>
      <c r="AG186" s="21"/>
      <c r="AH186" s="21"/>
      <c r="AI186" s="25"/>
      <c r="AJ186" s="20"/>
      <c r="AK186" s="21"/>
      <c r="AL186" s="20"/>
      <c r="AM186" s="20"/>
      <c r="AN186" s="20"/>
      <c r="AO186" s="20"/>
      <c r="AP186" s="446"/>
      <c r="AQ186" s="20"/>
      <c r="AR186" s="20"/>
      <c r="AS186" s="20"/>
      <c r="AT186" s="20"/>
      <c r="AU186" s="26"/>
      <c r="AV186" s="98"/>
      <c r="AW186" s="98"/>
      <c r="AX186" s="98"/>
      <c r="AY186" s="98"/>
      <c r="AZ186" s="98"/>
      <c r="BA186" s="217"/>
      <c r="BB186" s="98"/>
      <c r="BC186" s="98"/>
      <c r="BD186" s="98"/>
      <c r="BE186" s="98"/>
      <c r="BF186" s="98"/>
      <c r="BG186" s="219"/>
      <c r="BH186" s="219"/>
      <c r="BI186" s="219"/>
      <c r="BJ186" s="26"/>
      <c r="BK186" s="21"/>
      <c r="BL186" s="21"/>
      <c r="BM186" s="22"/>
      <c r="BN186" s="21"/>
      <c r="BO186" s="21"/>
      <c r="BP186" s="22"/>
      <c r="BQ186" s="21"/>
      <c r="BR186" s="21"/>
      <c r="BS186" s="22"/>
      <c r="BT18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86" s="109" t="str">
        <f>IF(ISNUMBER(tblParticipants[[#This Row],[SvcStartDate]]),IF(AND(tblParticipants[[#This Row],[EnrollQtr]]=1,tblParticipants[[#This Row],[SvcStartDate]]&lt;DATE(conProgYear,7,1)),1,""),"")</f>
        <v/>
      </c>
      <c r="BV18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86" s="232" t="str">
        <f t="shared" ca="1" si="2"/>
        <v/>
      </c>
      <c r="BX186" s="9">
        <f>IF(SUM(IF(tblParticipants[[#This Row],[AmIndOrAkNtv]]=1,1,0),IF(tblParticipants[[#This Row],[Asian]]=1,1,0),IF(tblParticipants[[#This Row],[BlkOrAfAmer]]=1,1,0),IF(tblParticipants[[#This Row],[NtvHawOrPacIsl]]=1,1,0),IF(tblParticipants[[#This Row],[White]]=1,1,0))&gt;1,1,0)</f>
        <v>0</v>
      </c>
      <c r="BY18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8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8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86" s="11">
        <f>IF(tblParticipants[[#This Row],[EarnWg2Qae]]=1,IFERROR(tblParticipants[[#This Row],[HoursPerWk2Qae]]*tblParticipants[[#This Row],[HrlyWg2Qae]]*13,0),0)</f>
        <v>0</v>
      </c>
      <c r="CC186" s="11">
        <f>IF(tblParticipants[[#This Row],[EarnWg3Qae]]=1,IFERROR(tblParticipants[[#This Row],[HoursPerWk3Qae]]*tblParticipants[[#This Row],[HrlyWg3Qae]]*13,0),0)</f>
        <v>0</v>
      </c>
      <c r="CD186" s="9">
        <f>IFERROR(IF(SUM(tblParticipants[[#This Row],[EarnWg1Qae]],tblParticipants[[#This Row],[EarnWg2Qae]],tblParticipants[[#This Row],[EarnWg3Qae]])=3,1,0),0)</f>
        <v>0</v>
      </c>
      <c r="CE186" s="12">
        <f>IF(tblParticipants[[#This Row],[EmplAll3Qae]]=1,tblParticipants[[#This Row],[Earnings2Qae]]+tblParticipants[[#This Row],[Earnings3Qae]],0)</f>
        <v>0</v>
      </c>
      <c r="CF186" s="407"/>
    </row>
    <row r="187" spans="1:84" x14ac:dyDescent="0.3">
      <c r="A187" s="19"/>
      <c r="B187" s="19"/>
      <c r="C187" s="20"/>
      <c r="D187" s="20"/>
      <c r="E187" s="26"/>
      <c r="F187" s="26"/>
      <c r="G187" s="26"/>
      <c r="H187" s="26"/>
      <c r="I187" s="26"/>
      <c r="J187" s="26"/>
      <c r="K187" s="26"/>
      <c r="L187" s="26"/>
      <c r="M187" s="20"/>
      <c r="N187" s="26"/>
      <c r="O187" s="22"/>
      <c r="P187" s="21"/>
      <c r="Q187" s="23"/>
      <c r="R187" s="21"/>
      <c r="S187" s="21"/>
      <c r="T187" s="21"/>
      <c r="U187" s="21"/>
      <c r="V187" s="21"/>
      <c r="W187" s="24"/>
      <c r="X187" s="20"/>
      <c r="Y187" s="20"/>
      <c r="Z187" s="21"/>
      <c r="AA187" s="21"/>
      <c r="AB187" s="21"/>
      <c r="AC187" s="21"/>
      <c r="AD187" s="21"/>
      <c r="AE187" s="21"/>
      <c r="AF187" s="21"/>
      <c r="AG187" s="21"/>
      <c r="AH187" s="21"/>
      <c r="AI187" s="25"/>
      <c r="AJ187" s="20"/>
      <c r="AK187" s="21"/>
      <c r="AL187" s="20"/>
      <c r="AM187" s="20"/>
      <c r="AN187" s="20"/>
      <c r="AO187" s="20"/>
      <c r="AP187" s="446"/>
      <c r="AQ187" s="20"/>
      <c r="AR187" s="20"/>
      <c r="AS187" s="20"/>
      <c r="AT187" s="20"/>
      <c r="AU187" s="26"/>
      <c r="AV187" s="98"/>
      <c r="AW187" s="98"/>
      <c r="AX187" s="98"/>
      <c r="AY187" s="98"/>
      <c r="AZ187" s="98"/>
      <c r="BA187" s="217"/>
      <c r="BB187" s="98"/>
      <c r="BC187" s="98"/>
      <c r="BD187" s="98"/>
      <c r="BE187" s="98"/>
      <c r="BF187" s="98"/>
      <c r="BG187" s="219"/>
      <c r="BH187" s="219"/>
      <c r="BI187" s="219"/>
      <c r="BJ187" s="26"/>
      <c r="BK187" s="21"/>
      <c r="BL187" s="21"/>
      <c r="BM187" s="22"/>
      <c r="BN187" s="21"/>
      <c r="BO187" s="21"/>
      <c r="BP187" s="22"/>
      <c r="BQ187" s="21"/>
      <c r="BR187" s="21"/>
      <c r="BS187" s="22"/>
      <c r="BT18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87" s="109" t="str">
        <f>IF(ISNUMBER(tblParticipants[[#This Row],[SvcStartDate]]),IF(AND(tblParticipants[[#This Row],[EnrollQtr]]=1,tblParticipants[[#This Row],[SvcStartDate]]&lt;DATE(conProgYear,7,1)),1,""),"")</f>
        <v/>
      </c>
      <c r="BV18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87" s="232" t="str">
        <f t="shared" ca="1" si="2"/>
        <v/>
      </c>
      <c r="BX187" s="9">
        <f>IF(SUM(IF(tblParticipants[[#This Row],[AmIndOrAkNtv]]=1,1,0),IF(tblParticipants[[#This Row],[Asian]]=1,1,0),IF(tblParticipants[[#This Row],[BlkOrAfAmer]]=1,1,0),IF(tblParticipants[[#This Row],[NtvHawOrPacIsl]]=1,1,0),IF(tblParticipants[[#This Row],[White]]=1,1,0))&gt;1,1,0)</f>
        <v>0</v>
      </c>
      <c r="BY18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8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8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87" s="11">
        <f>IF(tblParticipants[[#This Row],[EarnWg2Qae]]=1,IFERROR(tblParticipants[[#This Row],[HoursPerWk2Qae]]*tblParticipants[[#This Row],[HrlyWg2Qae]]*13,0),0)</f>
        <v>0</v>
      </c>
      <c r="CC187" s="11">
        <f>IF(tblParticipants[[#This Row],[EarnWg3Qae]]=1,IFERROR(tblParticipants[[#This Row],[HoursPerWk3Qae]]*tblParticipants[[#This Row],[HrlyWg3Qae]]*13,0),0)</f>
        <v>0</v>
      </c>
      <c r="CD187" s="9">
        <f>IFERROR(IF(SUM(tblParticipants[[#This Row],[EarnWg1Qae]],tblParticipants[[#This Row],[EarnWg2Qae]],tblParticipants[[#This Row],[EarnWg3Qae]])=3,1,0),0)</f>
        <v>0</v>
      </c>
      <c r="CE187" s="12">
        <f>IF(tblParticipants[[#This Row],[EmplAll3Qae]]=1,tblParticipants[[#This Row],[Earnings2Qae]]+tblParticipants[[#This Row],[Earnings3Qae]],0)</f>
        <v>0</v>
      </c>
      <c r="CF187" s="407"/>
    </row>
    <row r="188" spans="1:84" x14ac:dyDescent="0.3">
      <c r="A188" s="19"/>
      <c r="B188" s="19"/>
      <c r="C188" s="20"/>
      <c r="D188" s="20"/>
      <c r="E188" s="26"/>
      <c r="F188" s="26"/>
      <c r="G188" s="26"/>
      <c r="H188" s="26"/>
      <c r="I188" s="26"/>
      <c r="J188" s="26"/>
      <c r="K188" s="26"/>
      <c r="L188" s="26"/>
      <c r="M188" s="20"/>
      <c r="N188" s="26"/>
      <c r="O188" s="22"/>
      <c r="P188" s="21"/>
      <c r="Q188" s="23"/>
      <c r="R188" s="21"/>
      <c r="S188" s="21"/>
      <c r="T188" s="21"/>
      <c r="U188" s="21"/>
      <c r="V188" s="21"/>
      <c r="W188" s="24"/>
      <c r="X188" s="20"/>
      <c r="Y188" s="20"/>
      <c r="Z188" s="21"/>
      <c r="AA188" s="21"/>
      <c r="AB188" s="21"/>
      <c r="AC188" s="21"/>
      <c r="AD188" s="21"/>
      <c r="AE188" s="21"/>
      <c r="AF188" s="21"/>
      <c r="AG188" s="21"/>
      <c r="AH188" s="21"/>
      <c r="AI188" s="25"/>
      <c r="AJ188" s="20"/>
      <c r="AK188" s="21"/>
      <c r="AL188" s="20"/>
      <c r="AM188" s="20"/>
      <c r="AN188" s="20"/>
      <c r="AO188" s="20"/>
      <c r="AP188" s="446"/>
      <c r="AQ188" s="20"/>
      <c r="AR188" s="20"/>
      <c r="AS188" s="20"/>
      <c r="AT188" s="20"/>
      <c r="AU188" s="26"/>
      <c r="AV188" s="98"/>
      <c r="AW188" s="98"/>
      <c r="AX188" s="98"/>
      <c r="AY188" s="98"/>
      <c r="AZ188" s="98"/>
      <c r="BA188" s="217"/>
      <c r="BB188" s="98"/>
      <c r="BC188" s="98"/>
      <c r="BD188" s="98"/>
      <c r="BE188" s="98"/>
      <c r="BF188" s="98"/>
      <c r="BG188" s="219"/>
      <c r="BH188" s="219"/>
      <c r="BI188" s="219"/>
      <c r="BJ188" s="26"/>
      <c r="BK188" s="21"/>
      <c r="BL188" s="21"/>
      <c r="BM188" s="22"/>
      <c r="BN188" s="21"/>
      <c r="BO188" s="21"/>
      <c r="BP188" s="22"/>
      <c r="BQ188" s="21"/>
      <c r="BR188" s="21"/>
      <c r="BS188" s="22"/>
      <c r="BT18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88" s="109" t="str">
        <f>IF(ISNUMBER(tblParticipants[[#This Row],[SvcStartDate]]),IF(AND(tblParticipants[[#This Row],[EnrollQtr]]=1,tblParticipants[[#This Row],[SvcStartDate]]&lt;DATE(conProgYear,7,1)),1,""),"")</f>
        <v/>
      </c>
      <c r="BV18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88" s="232" t="str">
        <f t="shared" ca="1" si="2"/>
        <v/>
      </c>
      <c r="BX188" s="9">
        <f>IF(SUM(IF(tblParticipants[[#This Row],[AmIndOrAkNtv]]=1,1,0),IF(tblParticipants[[#This Row],[Asian]]=1,1,0),IF(tblParticipants[[#This Row],[BlkOrAfAmer]]=1,1,0),IF(tblParticipants[[#This Row],[NtvHawOrPacIsl]]=1,1,0),IF(tblParticipants[[#This Row],[White]]=1,1,0))&gt;1,1,0)</f>
        <v>0</v>
      </c>
      <c r="BY18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8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8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88" s="11">
        <f>IF(tblParticipants[[#This Row],[EarnWg2Qae]]=1,IFERROR(tblParticipants[[#This Row],[HoursPerWk2Qae]]*tblParticipants[[#This Row],[HrlyWg2Qae]]*13,0),0)</f>
        <v>0</v>
      </c>
      <c r="CC188" s="11">
        <f>IF(tblParticipants[[#This Row],[EarnWg3Qae]]=1,IFERROR(tblParticipants[[#This Row],[HoursPerWk3Qae]]*tblParticipants[[#This Row],[HrlyWg3Qae]]*13,0),0)</f>
        <v>0</v>
      </c>
      <c r="CD188" s="9">
        <f>IFERROR(IF(SUM(tblParticipants[[#This Row],[EarnWg1Qae]],tblParticipants[[#This Row],[EarnWg2Qae]],tblParticipants[[#This Row],[EarnWg3Qae]])=3,1,0),0)</f>
        <v>0</v>
      </c>
      <c r="CE188" s="12">
        <f>IF(tblParticipants[[#This Row],[EmplAll3Qae]]=1,tblParticipants[[#This Row],[Earnings2Qae]]+tblParticipants[[#This Row],[Earnings3Qae]],0)</f>
        <v>0</v>
      </c>
      <c r="CF188" s="407"/>
    </row>
    <row r="189" spans="1:84" x14ac:dyDescent="0.3">
      <c r="A189" s="19"/>
      <c r="B189" s="19"/>
      <c r="C189" s="20"/>
      <c r="D189" s="20"/>
      <c r="E189" s="26"/>
      <c r="F189" s="26"/>
      <c r="G189" s="26"/>
      <c r="H189" s="26"/>
      <c r="I189" s="26"/>
      <c r="J189" s="26"/>
      <c r="K189" s="26"/>
      <c r="L189" s="26"/>
      <c r="M189" s="20"/>
      <c r="N189" s="26"/>
      <c r="O189" s="22"/>
      <c r="P189" s="21"/>
      <c r="Q189" s="23"/>
      <c r="R189" s="21"/>
      <c r="S189" s="21"/>
      <c r="T189" s="21"/>
      <c r="U189" s="21"/>
      <c r="V189" s="21"/>
      <c r="W189" s="24"/>
      <c r="X189" s="20"/>
      <c r="Y189" s="20"/>
      <c r="Z189" s="21"/>
      <c r="AA189" s="21"/>
      <c r="AB189" s="21"/>
      <c r="AC189" s="21"/>
      <c r="AD189" s="21"/>
      <c r="AE189" s="21"/>
      <c r="AF189" s="21"/>
      <c r="AG189" s="21"/>
      <c r="AH189" s="21"/>
      <c r="AI189" s="25"/>
      <c r="AJ189" s="20"/>
      <c r="AK189" s="21"/>
      <c r="AL189" s="20"/>
      <c r="AM189" s="20"/>
      <c r="AN189" s="20"/>
      <c r="AO189" s="20"/>
      <c r="AP189" s="446"/>
      <c r="AQ189" s="20"/>
      <c r="AR189" s="20"/>
      <c r="AS189" s="20"/>
      <c r="AT189" s="20"/>
      <c r="AU189" s="26"/>
      <c r="AV189" s="98"/>
      <c r="AW189" s="98"/>
      <c r="AX189" s="98"/>
      <c r="AY189" s="98"/>
      <c r="AZ189" s="98"/>
      <c r="BA189" s="217"/>
      <c r="BB189" s="98"/>
      <c r="BC189" s="98"/>
      <c r="BD189" s="98"/>
      <c r="BE189" s="98"/>
      <c r="BF189" s="98"/>
      <c r="BG189" s="219"/>
      <c r="BH189" s="219"/>
      <c r="BI189" s="219"/>
      <c r="BJ189" s="26"/>
      <c r="BK189" s="21"/>
      <c r="BL189" s="21"/>
      <c r="BM189" s="22"/>
      <c r="BN189" s="21"/>
      <c r="BO189" s="21"/>
      <c r="BP189" s="22"/>
      <c r="BQ189" s="21"/>
      <c r="BR189" s="21"/>
      <c r="BS189" s="22"/>
      <c r="BT18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89" s="109" t="str">
        <f>IF(ISNUMBER(tblParticipants[[#This Row],[SvcStartDate]]),IF(AND(tblParticipants[[#This Row],[EnrollQtr]]=1,tblParticipants[[#This Row],[SvcStartDate]]&lt;DATE(conProgYear,7,1)),1,""),"")</f>
        <v/>
      </c>
      <c r="BV18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89" s="232" t="str">
        <f t="shared" ca="1" si="2"/>
        <v/>
      </c>
      <c r="BX189" s="9">
        <f>IF(SUM(IF(tblParticipants[[#This Row],[AmIndOrAkNtv]]=1,1,0),IF(tblParticipants[[#This Row],[Asian]]=1,1,0),IF(tblParticipants[[#This Row],[BlkOrAfAmer]]=1,1,0),IF(tblParticipants[[#This Row],[NtvHawOrPacIsl]]=1,1,0),IF(tblParticipants[[#This Row],[White]]=1,1,0))&gt;1,1,0)</f>
        <v>0</v>
      </c>
      <c r="BY18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8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8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89" s="11">
        <f>IF(tblParticipants[[#This Row],[EarnWg2Qae]]=1,IFERROR(tblParticipants[[#This Row],[HoursPerWk2Qae]]*tblParticipants[[#This Row],[HrlyWg2Qae]]*13,0),0)</f>
        <v>0</v>
      </c>
      <c r="CC189" s="11">
        <f>IF(tblParticipants[[#This Row],[EarnWg3Qae]]=1,IFERROR(tblParticipants[[#This Row],[HoursPerWk3Qae]]*tblParticipants[[#This Row],[HrlyWg3Qae]]*13,0),0)</f>
        <v>0</v>
      </c>
      <c r="CD189" s="9">
        <f>IFERROR(IF(SUM(tblParticipants[[#This Row],[EarnWg1Qae]],tblParticipants[[#This Row],[EarnWg2Qae]],tblParticipants[[#This Row],[EarnWg3Qae]])=3,1,0),0)</f>
        <v>0</v>
      </c>
      <c r="CE189" s="12">
        <f>IF(tblParticipants[[#This Row],[EmplAll3Qae]]=1,tblParticipants[[#This Row],[Earnings2Qae]]+tblParticipants[[#This Row],[Earnings3Qae]],0)</f>
        <v>0</v>
      </c>
      <c r="CF189" s="407"/>
    </row>
    <row r="190" spans="1:84" x14ac:dyDescent="0.3">
      <c r="A190" s="19"/>
      <c r="B190" s="19"/>
      <c r="C190" s="20"/>
      <c r="D190" s="20"/>
      <c r="E190" s="26"/>
      <c r="F190" s="26"/>
      <c r="G190" s="26"/>
      <c r="H190" s="26"/>
      <c r="I190" s="26"/>
      <c r="J190" s="26"/>
      <c r="K190" s="26"/>
      <c r="L190" s="26"/>
      <c r="M190" s="20"/>
      <c r="N190" s="26"/>
      <c r="O190" s="22"/>
      <c r="P190" s="21"/>
      <c r="Q190" s="23"/>
      <c r="R190" s="21"/>
      <c r="S190" s="21"/>
      <c r="T190" s="21"/>
      <c r="U190" s="21"/>
      <c r="V190" s="21"/>
      <c r="W190" s="24"/>
      <c r="X190" s="20"/>
      <c r="Y190" s="20"/>
      <c r="Z190" s="21"/>
      <c r="AA190" s="21"/>
      <c r="AB190" s="21"/>
      <c r="AC190" s="21"/>
      <c r="AD190" s="21"/>
      <c r="AE190" s="21"/>
      <c r="AF190" s="21"/>
      <c r="AG190" s="21"/>
      <c r="AH190" s="21"/>
      <c r="AI190" s="25"/>
      <c r="AJ190" s="20"/>
      <c r="AK190" s="21"/>
      <c r="AL190" s="20"/>
      <c r="AM190" s="20"/>
      <c r="AN190" s="20"/>
      <c r="AO190" s="20"/>
      <c r="AP190" s="446"/>
      <c r="AQ190" s="20"/>
      <c r="AR190" s="20"/>
      <c r="AS190" s="20"/>
      <c r="AT190" s="20"/>
      <c r="AU190" s="26"/>
      <c r="AV190" s="98"/>
      <c r="AW190" s="98"/>
      <c r="AX190" s="98"/>
      <c r="AY190" s="98"/>
      <c r="AZ190" s="98"/>
      <c r="BA190" s="217"/>
      <c r="BB190" s="98"/>
      <c r="BC190" s="98"/>
      <c r="BD190" s="98"/>
      <c r="BE190" s="98"/>
      <c r="BF190" s="98"/>
      <c r="BG190" s="219"/>
      <c r="BH190" s="219"/>
      <c r="BI190" s="219"/>
      <c r="BJ190" s="26"/>
      <c r="BK190" s="21"/>
      <c r="BL190" s="21"/>
      <c r="BM190" s="22"/>
      <c r="BN190" s="21"/>
      <c r="BO190" s="21"/>
      <c r="BP190" s="22"/>
      <c r="BQ190" s="21"/>
      <c r="BR190" s="21"/>
      <c r="BS190" s="22"/>
      <c r="BT19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90" s="109" t="str">
        <f>IF(ISNUMBER(tblParticipants[[#This Row],[SvcStartDate]]),IF(AND(tblParticipants[[#This Row],[EnrollQtr]]=1,tblParticipants[[#This Row],[SvcStartDate]]&lt;DATE(conProgYear,7,1)),1,""),"")</f>
        <v/>
      </c>
      <c r="BV19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90" s="232" t="str">
        <f t="shared" ca="1" si="2"/>
        <v/>
      </c>
      <c r="BX190" s="9">
        <f>IF(SUM(IF(tblParticipants[[#This Row],[AmIndOrAkNtv]]=1,1,0),IF(tblParticipants[[#This Row],[Asian]]=1,1,0),IF(tblParticipants[[#This Row],[BlkOrAfAmer]]=1,1,0),IF(tblParticipants[[#This Row],[NtvHawOrPacIsl]]=1,1,0),IF(tblParticipants[[#This Row],[White]]=1,1,0))&gt;1,1,0)</f>
        <v>0</v>
      </c>
      <c r="BY19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9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9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90" s="11">
        <f>IF(tblParticipants[[#This Row],[EarnWg2Qae]]=1,IFERROR(tblParticipants[[#This Row],[HoursPerWk2Qae]]*tblParticipants[[#This Row],[HrlyWg2Qae]]*13,0),0)</f>
        <v>0</v>
      </c>
      <c r="CC190" s="11">
        <f>IF(tblParticipants[[#This Row],[EarnWg3Qae]]=1,IFERROR(tblParticipants[[#This Row],[HoursPerWk3Qae]]*tblParticipants[[#This Row],[HrlyWg3Qae]]*13,0),0)</f>
        <v>0</v>
      </c>
      <c r="CD190" s="9">
        <f>IFERROR(IF(SUM(tblParticipants[[#This Row],[EarnWg1Qae]],tblParticipants[[#This Row],[EarnWg2Qae]],tblParticipants[[#This Row],[EarnWg3Qae]])=3,1,0),0)</f>
        <v>0</v>
      </c>
      <c r="CE190" s="12">
        <f>IF(tblParticipants[[#This Row],[EmplAll3Qae]]=1,tblParticipants[[#This Row],[Earnings2Qae]]+tblParticipants[[#This Row],[Earnings3Qae]],0)</f>
        <v>0</v>
      </c>
      <c r="CF190" s="407"/>
    </row>
    <row r="191" spans="1:84" x14ac:dyDescent="0.3">
      <c r="A191" s="19"/>
      <c r="B191" s="19"/>
      <c r="C191" s="20"/>
      <c r="D191" s="20"/>
      <c r="E191" s="26"/>
      <c r="F191" s="26"/>
      <c r="G191" s="26"/>
      <c r="H191" s="26"/>
      <c r="I191" s="26"/>
      <c r="J191" s="26"/>
      <c r="K191" s="26"/>
      <c r="L191" s="26"/>
      <c r="M191" s="20"/>
      <c r="N191" s="26"/>
      <c r="O191" s="22"/>
      <c r="P191" s="21"/>
      <c r="Q191" s="23"/>
      <c r="R191" s="21"/>
      <c r="S191" s="21"/>
      <c r="T191" s="21"/>
      <c r="U191" s="21"/>
      <c r="V191" s="21"/>
      <c r="W191" s="24"/>
      <c r="X191" s="20"/>
      <c r="Y191" s="20"/>
      <c r="Z191" s="21"/>
      <c r="AA191" s="21"/>
      <c r="AB191" s="21"/>
      <c r="AC191" s="21"/>
      <c r="AD191" s="21"/>
      <c r="AE191" s="21"/>
      <c r="AF191" s="21"/>
      <c r="AG191" s="21"/>
      <c r="AH191" s="21"/>
      <c r="AI191" s="25"/>
      <c r="AJ191" s="20"/>
      <c r="AK191" s="21"/>
      <c r="AL191" s="20"/>
      <c r="AM191" s="20"/>
      <c r="AN191" s="20"/>
      <c r="AO191" s="20"/>
      <c r="AP191" s="446"/>
      <c r="AQ191" s="20"/>
      <c r="AR191" s="20"/>
      <c r="AS191" s="20"/>
      <c r="AT191" s="20"/>
      <c r="AU191" s="26"/>
      <c r="AV191" s="98"/>
      <c r="AW191" s="98"/>
      <c r="AX191" s="98"/>
      <c r="AY191" s="98"/>
      <c r="AZ191" s="98"/>
      <c r="BA191" s="217"/>
      <c r="BB191" s="98"/>
      <c r="BC191" s="98"/>
      <c r="BD191" s="98"/>
      <c r="BE191" s="98"/>
      <c r="BF191" s="98"/>
      <c r="BG191" s="219"/>
      <c r="BH191" s="219"/>
      <c r="BI191" s="219"/>
      <c r="BJ191" s="26"/>
      <c r="BK191" s="21"/>
      <c r="BL191" s="21"/>
      <c r="BM191" s="22"/>
      <c r="BN191" s="21"/>
      <c r="BO191" s="21"/>
      <c r="BP191" s="22"/>
      <c r="BQ191" s="21"/>
      <c r="BR191" s="21"/>
      <c r="BS191" s="22"/>
      <c r="BT19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91" s="109" t="str">
        <f>IF(ISNUMBER(tblParticipants[[#This Row],[SvcStartDate]]),IF(AND(tblParticipants[[#This Row],[EnrollQtr]]=1,tblParticipants[[#This Row],[SvcStartDate]]&lt;DATE(conProgYear,7,1)),1,""),"")</f>
        <v/>
      </c>
      <c r="BV19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91" s="232" t="str">
        <f t="shared" ca="1" si="2"/>
        <v/>
      </c>
      <c r="BX191" s="9">
        <f>IF(SUM(IF(tblParticipants[[#This Row],[AmIndOrAkNtv]]=1,1,0),IF(tblParticipants[[#This Row],[Asian]]=1,1,0),IF(tblParticipants[[#This Row],[BlkOrAfAmer]]=1,1,0),IF(tblParticipants[[#This Row],[NtvHawOrPacIsl]]=1,1,0),IF(tblParticipants[[#This Row],[White]]=1,1,0))&gt;1,1,0)</f>
        <v>0</v>
      </c>
      <c r="BY19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9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9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91" s="11">
        <f>IF(tblParticipants[[#This Row],[EarnWg2Qae]]=1,IFERROR(tblParticipants[[#This Row],[HoursPerWk2Qae]]*tblParticipants[[#This Row],[HrlyWg2Qae]]*13,0),0)</f>
        <v>0</v>
      </c>
      <c r="CC191" s="11">
        <f>IF(tblParticipants[[#This Row],[EarnWg3Qae]]=1,IFERROR(tblParticipants[[#This Row],[HoursPerWk3Qae]]*tblParticipants[[#This Row],[HrlyWg3Qae]]*13,0),0)</f>
        <v>0</v>
      </c>
      <c r="CD191" s="9">
        <f>IFERROR(IF(SUM(tblParticipants[[#This Row],[EarnWg1Qae]],tblParticipants[[#This Row],[EarnWg2Qae]],tblParticipants[[#This Row],[EarnWg3Qae]])=3,1,0),0)</f>
        <v>0</v>
      </c>
      <c r="CE191" s="12">
        <f>IF(tblParticipants[[#This Row],[EmplAll3Qae]]=1,tblParticipants[[#This Row],[Earnings2Qae]]+tblParticipants[[#This Row],[Earnings3Qae]],0)</f>
        <v>0</v>
      </c>
      <c r="CF191" s="407"/>
    </row>
    <row r="192" spans="1:84" x14ac:dyDescent="0.3">
      <c r="A192" s="19"/>
      <c r="B192" s="19"/>
      <c r="C192" s="20"/>
      <c r="D192" s="20"/>
      <c r="E192" s="26"/>
      <c r="F192" s="26"/>
      <c r="G192" s="26"/>
      <c r="H192" s="26"/>
      <c r="I192" s="26"/>
      <c r="J192" s="26"/>
      <c r="K192" s="26"/>
      <c r="L192" s="26"/>
      <c r="M192" s="20"/>
      <c r="N192" s="26"/>
      <c r="O192" s="22"/>
      <c r="P192" s="21"/>
      <c r="Q192" s="23"/>
      <c r="R192" s="21"/>
      <c r="S192" s="21"/>
      <c r="T192" s="21"/>
      <c r="U192" s="21"/>
      <c r="V192" s="21"/>
      <c r="W192" s="24"/>
      <c r="X192" s="20"/>
      <c r="Y192" s="20"/>
      <c r="Z192" s="21"/>
      <c r="AA192" s="21"/>
      <c r="AB192" s="21"/>
      <c r="AC192" s="21"/>
      <c r="AD192" s="21"/>
      <c r="AE192" s="21"/>
      <c r="AF192" s="21"/>
      <c r="AG192" s="21"/>
      <c r="AH192" s="21"/>
      <c r="AI192" s="25"/>
      <c r="AJ192" s="20"/>
      <c r="AK192" s="21"/>
      <c r="AL192" s="20"/>
      <c r="AM192" s="20"/>
      <c r="AN192" s="20"/>
      <c r="AO192" s="20"/>
      <c r="AP192" s="446"/>
      <c r="AQ192" s="20"/>
      <c r="AR192" s="20"/>
      <c r="AS192" s="20"/>
      <c r="AT192" s="20"/>
      <c r="AU192" s="26"/>
      <c r="AV192" s="98"/>
      <c r="AW192" s="98"/>
      <c r="AX192" s="98"/>
      <c r="AY192" s="98"/>
      <c r="AZ192" s="98"/>
      <c r="BA192" s="217"/>
      <c r="BB192" s="98"/>
      <c r="BC192" s="98"/>
      <c r="BD192" s="98"/>
      <c r="BE192" s="98"/>
      <c r="BF192" s="98"/>
      <c r="BG192" s="219"/>
      <c r="BH192" s="219"/>
      <c r="BI192" s="219"/>
      <c r="BJ192" s="26"/>
      <c r="BK192" s="21"/>
      <c r="BL192" s="21"/>
      <c r="BM192" s="22"/>
      <c r="BN192" s="21"/>
      <c r="BO192" s="21"/>
      <c r="BP192" s="22"/>
      <c r="BQ192" s="21"/>
      <c r="BR192" s="21"/>
      <c r="BS192" s="22"/>
      <c r="BT19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92" s="109" t="str">
        <f>IF(ISNUMBER(tblParticipants[[#This Row],[SvcStartDate]]),IF(AND(tblParticipants[[#This Row],[EnrollQtr]]=1,tblParticipants[[#This Row],[SvcStartDate]]&lt;DATE(conProgYear,7,1)),1,""),"")</f>
        <v/>
      </c>
      <c r="BV19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92" s="232" t="str">
        <f t="shared" ca="1" si="2"/>
        <v/>
      </c>
      <c r="BX192" s="9">
        <f>IF(SUM(IF(tblParticipants[[#This Row],[AmIndOrAkNtv]]=1,1,0),IF(tblParticipants[[#This Row],[Asian]]=1,1,0),IF(tblParticipants[[#This Row],[BlkOrAfAmer]]=1,1,0),IF(tblParticipants[[#This Row],[NtvHawOrPacIsl]]=1,1,0),IF(tblParticipants[[#This Row],[White]]=1,1,0))&gt;1,1,0)</f>
        <v>0</v>
      </c>
      <c r="BY19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9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9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92" s="11">
        <f>IF(tblParticipants[[#This Row],[EarnWg2Qae]]=1,IFERROR(tblParticipants[[#This Row],[HoursPerWk2Qae]]*tblParticipants[[#This Row],[HrlyWg2Qae]]*13,0),0)</f>
        <v>0</v>
      </c>
      <c r="CC192" s="11">
        <f>IF(tblParticipants[[#This Row],[EarnWg3Qae]]=1,IFERROR(tblParticipants[[#This Row],[HoursPerWk3Qae]]*tblParticipants[[#This Row],[HrlyWg3Qae]]*13,0),0)</f>
        <v>0</v>
      </c>
      <c r="CD192" s="9">
        <f>IFERROR(IF(SUM(tblParticipants[[#This Row],[EarnWg1Qae]],tblParticipants[[#This Row],[EarnWg2Qae]],tblParticipants[[#This Row],[EarnWg3Qae]])=3,1,0),0)</f>
        <v>0</v>
      </c>
      <c r="CE192" s="12">
        <f>IF(tblParticipants[[#This Row],[EmplAll3Qae]]=1,tblParticipants[[#This Row],[Earnings2Qae]]+tblParticipants[[#This Row],[Earnings3Qae]],0)</f>
        <v>0</v>
      </c>
      <c r="CF192" s="407"/>
    </row>
    <row r="193" spans="1:84" x14ac:dyDescent="0.3">
      <c r="A193" s="19"/>
      <c r="B193" s="19"/>
      <c r="C193" s="20"/>
      <c r="D193" s="20"/>
      <c r="E193" s="26"/>
      <c r="F193" s="26"/>
      <c r="G193" s="26"/>
      <c r="H193" s="26"/>
      <c r="I193" s="26"/>
      <c r="J193" s="26"/>
      <c r="K193" s="26"/>
      <c r="L193" s="26"/>
      <c r="M193" s="20"/>
      <c r="N193" s="26"/>
      <c r="O193" s="22"/>
      <c r="P193" s="21"/>
      <c r="Q193" s="23"/>
      <c r="R193" s="21"/>
      <c r="S193" s="21"/>
      <c r="T193" s="21"/>
      <c r="U193" s="21"/>
      <c r="V193" s="21"/>
      <c r="W193" s="24"/>
      <c r="X193" s="20"/>
      <c r="Y193" s="20"/>
      <c r="Z193" s="21"/>
      <c r="AA193" s="21"/>
      <c r="AB193" s="21"/>
      <c r="AC193" s="21"/>
      <c r="AD193" s="21"/>
      <c r="AE193" s="21"/>
      <c r="AF193" s="21"/>
      <c r="AG193" s="21"/>
      <c r="AH193" s="21"/>
      <c r="AI193" s="25"/>
      <c r="AJ193" s="20"/>
      <c r="AK193" s="21"/>
      <c r="AL193" s="20"/>
      <c r="AM193" s="20"/>
      <c r="AN193" s="20"/>
      <c r="AO193" s="20"/>
      <c r="AP193" s="446"/>
      <c r="AQ193" s="20"/>
      <c r="AR193" s="20"/>
      <c r="AS193" s="20"/>
      <c r="AT193" s="20"/>
      <c r="AU193" s="26"/>
      <c r="AV193" s="98"/>
      <c r="AW193" s="98"/>
      <c r="AX193" s="98"/>
      <c r="AY193" s="98"/>
      <c r="AZ193" s="98"/>
      <c r="BA193" s="217"/>
      <c r="BB193" s="98"/>
      <c r="BC193" s="98"/>
      <c r="BD193" s="98"/>
      <c r="BE193" s="98"/>
      <c r="BF193" s="98"/>
      <c r="BG193" s="219"/>
      <c r="BH193" s="219"/>
      <c r="BI193" s="219"/>
      <c r="BJ193" s="26"/>
      <c r="BK193" s="21"/>
      <c r="BL193" s="21"/>
      <c r="BM193" s="22"/>
      <c r="BN193" s="21"/>
      <c r="BO193" s="21"/>
      <c r="BP193" s="22"/>
      <c r="BQ193" s="21"/>
      <c r="BR193" s="21"/>
      <c r="BS193" s="22"/>
      <c r="BT19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93" s="109" t="str">
        <f>IF(ISNUMBER(tblParticipants[[#This Row],[SvcStartDate]]),IF(AND(tblParticipants[[#This Row],[EnrollQtr]]=1,tblParticipants[[#This Row],[SvcStartDate]]&lt;DATE(conProgYear,7,1)),1,""),"")</f>
        <v/>
      </c>
      <c r="BV19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93" s="232" t="str">
        <f t="shared" ca="1" si="2"/>
        <v/>
      </c>
      <c r="BX193" s="9">
        <f>IF(SUM(IF(tblParticipants[[#This Row],[AmIndOrAkNtv]]=1,1,0),IF(tblParticipants[[#This Row],[Asian]]=1,1,0),IF(tblParticipants[[#This Row],[BlkOrAfAmer]]=1,1,0),IF(tblParticipants[[#This Row],[NtvHawOrPacIsl]]=1,1,0),IF(tblParticipants[[#This Row],[White]]=1,1,0))&gt;1,1,0)</f>
        <v>0</v>
      </c>
      <c r="BY19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9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9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93" s="11">
        <f>IF(tblParticipants[[#This Row],[EarnWg2Qae]]=1,IFERROR(tblParticipants[[#This Row],[HoursPerWk2Qae]]*tblParticipants[[#This Row],[HrlyWg2Qae]]*13,0),0)</f>
        <v>0</v>
      </c>
      <c r="CC193" s="11">
        <f>IF(tblParticipants[[#This Row],[EarnWg3Qae]]=1,IFERROR(tblParticipants[[#This Row],[HoursPerWk3Qae]]*tblParticipants[[#This Row],[HrlyWg3Qae]]*13,0),0)</f>
        <v>0</v>
      </c>
      <c r="CD193" s="9">
        <f>IFERROR(IF(SUM(tblParticipants[[#This Row],[EarnWg1Qae]],tblParticipants[[#This Row],[EarnWg2Qae]],tblParticipants[[#This Row],[EarnWg3Qae]])=3,1,0),0)</f>
        <v>0</v>
      </c>
      <c r="CE193" s="12">
        <f>IF(tblParticipants[[#This Row],[EmplAll3Qae]]=1,tblParticipants[[#This Row],[Earnings2Qae]]+tblParticipants[[#This Row],[Earnings3Qae]],0)</f>
        <v>0</v>
      </c>
      <c r="CF193" s="407"/>
    </row>
    <row r="194" spans="1:84" x14ac:dyDescent="0.3">
      <c r="A194" s="19"/>
      <c r="B194" s="19"/>
      <c r="C194" s="20"/>
      <c r="D194" s="20"/>
      <c r="E194" s="26"/>
      <c r="F194" s="26"/>
      <c r="G194" s="26"/>
      <c r="H194" s="26"/>
      <c r="I194" s="26"/>
      <c r="J194" s="26"/>
      <c r="K194" s="26"/>
      <c r="L194" s="26"/>
      <c r="M194" s="20"/>
      <c r="N194" s="26"/>
      <c r="O194" s="22"/>
      <c r="P194" s="21"/>
      <c r="Q194" s="23"/>
      <c r="R194" s="21"/>
      <c r="S194" s="21"/>
      <c r="T194" s="21"/>
      <c r="U194" s="21"/>
      <c r="V194" s="21"/>
      <c r="W194" s="24"/>
      <c r="X194" s="20"/>
      <c r="Y194" s="20"/>
      <c r="Z194" s="21"/>
      <c r="AA194" s="21"/>
      <c r="AB194" s="21"/>
      <c r="AC194" s="21"/>
      <c r="AD194" s="21"/>
      <c r="AE194" s="21"/>
      <c r="AF194" s="21"/>
      <c r="AG194" s="21"/>
      <c r="AH194" s="21"/>
      <c r="AI194" s="25"/>
      <c r="AJ194" s="20"/>
      <c r="AK194" s="21"/>
      <c r="AL194" s="20"/>
      <c r="AM194" s="20"/>
      <c r="AN194" s="20"/>
      <c r="AO194" s="20"/>
      <c r="AP194" s="446"/>
      <c r="AQ194" s="20"/>
      <c r="AR194" s="20"/>
      <c r="AS194" s="20"/>
      <c r="AT194" s="20"/>
      <c r="AU194" s="26"/>
      <c r="AV194" s="98"/>
      <c r="AW194" s="98"/>
      <c r="AX194" s="98"/>
      <c r="AY194" s="98"/>
      <c r="AZ194" s="98"/>
      <c r="BA194" s="217"/>
      <c r="BB194" s="98"/>
      <c r="BC194" s="98"/>
      <c r="BD194" s="98"/>
      <c r="BE194" s="98"/>
      <c r="BF194" s="98"/>
      <c r="BG194" s="219"/>
      <c r="BH194" s="219"/>
      <c r="BI194" s="219"/>
      <c r="BJ194" s="26"/>
      <c r="BK194" s="21"/>
      <c r="BL194" s="21"/>
      <c r="BM194" s="22"/>
      <c r="BN194" s="21"/>
      <c r="BO194" s="21"/>
      <c r="BP194" s="22"/>
      <c r="BQ194" s="21"/>
      <c r="BR194" s="21"/>
      <c r="BS194" s="22"/>
      <c r="BT19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94" s="109" t="str">
        <f>IF(ISNUMBER(tblParticipants[[#This Row],[SvcStartDate]]),IF(AND(tblParticipants[[#This Row],[EnrollQtr]]=1,tblParticipants[[#This Row],[SvcStartDate]]&lt;DATE(conProgYear,7,1)),1,""),"")</f>
        <v/>
      </c>
      <c r="BV19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94" s="232" t="str">
        <f t="shared" ca="1" si="2"/>
        <v/>
      </c>
      <c r="BX194" s="9">
        <f>IF(SUM(IF(tblParticipants[[#This Row],[AmIndOrAkNtv]]=1,1,0),IF(tblParticipants[[#This Row],[Asian]]=1,1,0),IF(tblParticipants[[#This Row],[BlkOrAfAmer]]=1,1,0),IF(tblParticipants[[#This Row],[NtvHawOrPacIsl]]=1,1,0),IF(tblParticipants[[#This Row],[White]]=1,1,0))&gt;1,1,0)</f>
        <v>0</v>
      </c>
      <c r="BY19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9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9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94" s="11">
        <f>IF(tblParticipants[[#This Row],[EarnWg2Qae]]=1,IFERROR(tblParticipants[[#This Row],[HoursPerWk2Qae]]*tblParticipants[[#This Row],[HrlyWg2Qae]]*13,0),0)</f>
        <v>0</v>
      </c>
      <c r="CC194" s="11">
        <f>IF(tblParticipants[[#This Row],[EarnWg3Qae]]=1,IFERROR(tblParticipants[[#This Row],[HoursPerWk3Qae]]*tblParticipants[[#This Row],[HrlyWg3Qae]]*13,0),0)</f>
        <v>0</v>
      </c>
      <c r="CD194" s="9">
        <f>IFERROR(IF(SUM(tblParticipants[[#This Row],[EarnWg1Qae]],tblParticipants[[#This Row],[EarnWg2Qae]],tblParticipants[[#This Row],[EarnWg3Qae]])=3,1,0),0)</f>
        <v>0</v>
      </c>
      <c r="CE194" s="12">
        <f>IF(tblParticipants[[#This Row],[EmplAll3Qae]]=1,tblParticipants[[#This Row],[Earnings2Qae]]+tblParticipants[[#This Row],[Earnings3Qae]],0)</f>
        <v>0</v>
      </c>
      <c r="CF194" s="407"/>
    </row>
    <row r="195" spans="1:84" x14ac:dyDescent="0.3">
      <c r="A195" s="19"/>
      <c r="B195" s="19"/>
      <c r="C195" s="20"/>
      <c r="D195" s="20"/>
      <c r="E195" s="26"/>
      <c r="F195" s="26"/>
      <c r="G195" s="26"/>
      <c r="H195" s="26"/>
      <c r="I195" s="26"/>
      <c r="J195" s="26"/>
      <c r="K195" s="26"/>
      <c r="L195" s="26"/>
      <c r="M195" s="20"/>
      <c r="N195" s="26"/>
      <c r="O195" s="22"/>
      <c r="P195" s="21"/>
      <c r="Q195" s="23"/>
      <c r="R195" s="21"/>
      <c r="S195" s="21"/>
      <c r="T195" s="21"/>
      <c r="U195" s="21"/>
      <c r="V195" s="21"/>
      <c r="W195" s="24"/>
      <c r="X195" s="20"/>
      <c r="Y195" s="20"/>
      <c r="Z195" s="21"/>
      <c r="AA195" s="21"/>
      <c r="AB195" s="21"/>
      <c r="AC195" s="21"/>
      <c r="AD195" s="21"/>
      <c r="AE195" s="21"/>
      <c r="AF195" s="21"/>
      <c r="AG195" s="21"/>
      <c r="AH195" s="21"/>
      <c r="AI195" s="25"/>
      <c r="AJ195" s="20"/>
      <c r="AK195" s="21"/>
      <c r="AL195" s="20"/>
      <c r="AM195" s="20"/>
      <c r="AN195" s="20"/>
      <c r="AO195" s="20"/>
      <c r="AP195" s="446"/>
      <c r="AQ195" s="20"/>
      <c r="AR195" s="20"/>
      <c r="AS195" s="20"/>
      <c r="AT195" s="20"/>
      <c r="AU195" s="26"/>
      <c r="AV195" s="98"/>
      <c r="AW195" s="98"/>
      <c r="AX195" s="98"/>
      <c r="AY195" s="98"/>
      <c r="AZ195" s="98"/>
      <c r="BA195" s="217"/>
      <c r="BB195" s="98"/>
      <c r="BC195" s="98"/>
      <c r="BD195" s="98"/>
      <c r="BE195" s="98"/>
      <c r="BF195" s="98"/>
      <c r="BG195" s="219"/>
      <c r="BH195" s="219"/>
      <c r="BI195" s="219"/>
      <c r="BJ195" s="26"/>
      <c r="BK195" s="21"/>
      <c r="BL195" s="21"/>
      <c r="BM195" s="22"/>
      <c r="BN195" s="21"/>
      <c r="BO195" s="21"/>
      <c r="BP195" s="22"/>
      <c r="BQ195" s="21"/>
      <c r="BR195" s="21"/>
      <c r="BS195" s="22"/>
      <c r="BT19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95" s="109" t="str">
        <f>IF(ISNUMBER(tblParticipants[[#This Row],[SvcStartDate]]),IF(AND(tblParticipants[[#This Row],[EnrollQtr]]=1,tblParticipants[[#This Row],[SvcStartDate]]&lt;DATE(conProgYear,7,1)),1,""),"")</f>
        <v/>
      </c>
      <c r="BV19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95" s="232" t="str">
        <f t="shared" ca="1" si="2"/>
        <v/>
      </c>
      <c r="BX195" s="9">
        <f>IF(SUM(IF(tblParticipants[[#This Row],[AmIndOrAkNtv]]=1,1,0),IF(tblParticipants[[#This Row],[Asian]]=1,1,0),IF(tblParticipants[[#This Row],[BlkOrAfAmer]]=1,1,0),IF(tblParticipants[[#This Row],[NtvHawOrPacIsl]]=1,1,0),IF(tblParticipants[[#This Row],[White]]=1,1,0))&gt;1,1,0)</f>
        <v>0</v>
      </c>
      <c r="BY19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9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9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95" s="11">
        <f>IF(tblParticipants[[#This Row],[EarnWg2Qae]]=1,IFERROR(tblParticipants[[#This Row],[HoursPerWk2Qae]]*tblParticipants[[#This Row],[HrlyWg2Qae]]*13,0),0)</f>
        <v>0</v>
      </c>
      <c r="CC195" s="11">
        <f>IF(tblParticipants[[#This Row],[EarnWg3Qae]]=1,IFERROR(tblParticipants[[#This Row],[HoursPerWk3Qae]]*tblParticipants[[#This Row],[HrlyWg3Qae]]*13,0),0)</f>
        <v>0</v>
      </c>
      <c r="CD195" s="9">
        <f>IFERROR(IF(SUM(tblParticipants[[#This Row],[EarnWg1Qae]],tblParticipants[[#This Row],[EarnWg2Qae]],tblParticipants[[#This Row],[EarnWg3Qae]])=3,1,0),0)</f>
        <v>0</v>
      </c>
      <c r="CE195" s="12">
        <f>IF(tblParticipants[[#This Row],[EmplAll3Qae]]=1,tblParticipants[[#This Row],[Earnings2Qae]]+tblParticipants[[#This Row],[Earnings3Qae]],0)</f>
        <v>0</v>
      </c>
      <c r="CF195" s="407"/>
    </row>
    <row r="196" spans="1:84" x14ac:dyDescent="0.3">
      <c r="A196" s="19"/>
      <c r="B196" s="19"/>
      <c r="C196" s="20"/>
      <c r="D196" s="20"/>
      <c r="E196" s="26"/>
      <c r="F196" s="26"/>
      <c r="G196" s="26"/>
      <c r="H196" s="26"/>
      <c r="I196" s="26"/>
      <c r="J196" s="26"/>
      <c r="K196" s="26"/>
      <c r="L196" s="26"/>
      <c r="M196" s="20"/>
      <c r="N196" s="26"/>
      <c r="O196" s="22"/>
      <c r="P196" s="21"/>
      <c r="Q196" s="23"/>
      <c r="R196" s="21"/>
      <c r="S196" s="21"/>
      <c r="T196" s="21"/>
      <c r="U196" s="21"/>
      <c r="V196" s="21"/>
      <c r="W196" s="24"/>
      <c r="X196" s="20"/>
      <c r="Y196" s="20"/>
      <c r="Z196" s="21"/>
      <c r="AA196" s="21"/>
      <c r="AB196" s="21"/>
      <c r="AC196" s="21"/>
      <c r="AD196" s="21"/>
      <c r="AE196" s="21"/>
      <c r="AF196" s="21"/>
      <c r="AG196" s="21"/>
      <c r="AH196" s="21"/>
      <c r="AI196" s="25"/>
      <c r="AJ196" s="20"/>
      <c r="AK196" s="21"/>
      <c r="AL196" s="20"/>
      <c r="AM196" s="20"/>
      <c r="AN196" s="20"/>
      <c r="AO196" s="20"/>
      <c r="AP196" s="446"/>
      <c r="AQ196" s="20"/>
      <c r="AR196" s="20"/>
      <c r="AS196" s="20"/>
      <c r="AT196" s="20"/>
      <c r="AU196" s="26"/>
      <c r="AV196" s="98"/>
      <c r="AW196" s="98"/>
      <c r="AX196" s="98"/>
      <c r="AY196" s="98"/>
      <c r="AZ196" s="98"/>
      <c r="BA196" s="217"/>
      <c r="BB196" s="98"/>
      <c r="BC196" s="98"/>
      <c r="BD196" s="98"/>
      <c r="BE196" s="98"/>
      <c r="BF196" s="98"/>
      <c r="BG196" s="219"/>
      <c r="BH196" s="219"/>
      <c r="BI196" s="219"/>
      <c r="BJ196" s="26"/>
      <c r="BK196" s="21"/>
      <c r="BL196" s="21"/>
      <c r="BM196" s="22"/>
      <c r="BN196" s="21"/>
      <c r="BO196" s="21"/>
      <c r="BP196" s="22"/>
      <c r="BQ196" s="21"/>
      <c r="BR196" s="21"/>
      <c r="BS196" s="22"/>
      <c r="BT19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96" s="109" t="str">
        <f>IF(ISNUMBER(tblParticipants[[#This Row],[SvcStartDate]]),IF(AND(tblParticipants[[#This Row],[EnrollQtr]]=1,tblParticipants[[#This Row],[SvcStartDate]]&lt;DATE(conProgYear,7,1)),1,""),"")</f>
        <v/>
      </c>
      <c r="BV19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96" s="232" t="str">
        <f t="shared" ca="1" si="2"/>
        <v/>
      </c>
      <c r="BX196" s="9">
        <f>IF(SUM(IF(tblParticipants[[#This Row],[AmIndOrAkNtv]]=1,1,0),IF(tblParticipants[[#This Row],[Asian]]=1,1,0),IF(tblParticipants[[#This Row],[BlkOrAfAmer]]=1,1,0),IF(tblParticipants[[#This Row],[NtvHawOrPacIsl]]=1,1,0),IF(tblParticipants[[#This Row],[White]]=1,1,0))&gt;1,1,0)</f>
        <v>0</v>
      </c>
      <c r="BY19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9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9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96" s="11">
        <f>IF(tblParticipants[[#This Row],[EarnWg2Qae]]=1,IFERROR(tblParticipants[[#This Row],[HoursPerWk2Qae]]*tblParticipants[[#This Row],[HrlyWg2Qae]]*13,0),0)</f>
        <v>0</v>
      </c>
      <c r="CC196" s="11">
        <f>IF(tblParticipants[[#This Row],[EarnWg3Qae]]=1,IFERROR(tblParticipants[[#This Row],[HoursPerWk3Qae]]*tblParticipants[[#This Row],[HrlyWg3Qae]]*13,0),0)</f>
        <v>0</v>
      </c>
      <c r="CD196" s="9">
        <f>IFERROR(IF(SUM(tblParticipants[[#This Row],[EarnWg1Qae]],tblParticipants[[#This Row],[EarnWg2Qae]],tblParticipants[[#This Row],[EarnWg3Qae]])=3,1,0),0)</f>
        <v>0</v>
      </c>
      <c r="CE196" s="12">
        <f>IF(tblParticipants[[#This Row],[EmplAll3Qae]]=1,tblParticipants[[#This Row],[Earnings2Qae]]+tblParticipants[[#This Row],[Earnings3Qae]],0)</f>
        <v>0</v>
      </c>
      <c r="CF196" s="407"/>
    </row>
    <row r="197" spans="1:84" x14ac:dyDescent="0.3">
      <c r="A197" s="19"/>
      <c r="B197" s="19"/>
      <c r="C197" s="20"/>
      <c r="D197" s="20"/>
      <c r="E197" s="26"/>
      <c r="F197" s="26"/>
      <c r="G197" s="26"/>
      <c r="H197" s="26"/>
      <c r="I197" s="26"/>
      <c r="J197" s="26"/>
      <c r="K197" s="26"/>
      <c r="L197" s="26"/>
      <c r="M197" s="20"/>
      <c r="N197" s="26"/>
      <c r="O197" s="22"/>
      <c r="P197" s="21"/>
      <c r="Q197" s="23"/>
      <c r="R197" s="21"/>
      <c r="S197" s="21"/>
      <c r="T197" s="21"/>
      <c r="U197" s="21"/>
      <c r="V197" s="21"/>
      <c r="W197" s="24"/>
      <c r="X197" s="20"/>
      <c r="Y197" s="20"/>
      <c r="Z197" s="21"/>
      <c r="AA197" s="21"/>
      <c r="AB197" s="21"/>
      <c r="AC197" s="21"/>
      <c r="AD197" s="21"/>
      <c r="AE197" s="21"/>
      <c r="AF197" s="21"/>
      <c r="AG197" s="21"/>
      <c r="AH197" s="21"/>
      <c r="AI197" s="25"/>
      <c r="AJ197" s="20"/>
      <c r="AK197" s="21"/>
      <c r="AL197" s="20"/>
      <c r="AM197" s="20"/>
      <c r="AN197" s="20"/>
      <c r="AO197" s="20"/>
      <c r="AP197" s="446"/>
      <c r="AQ197" s="20"/>
      <c r="AR197" s="20"/>
      <c r="AS197" s="20"/>
      <c r="AT197" s="20"/>
      <c r="AU197" s="26"/>
      <c r="AV197" s="98"/>
      <c r="AW197" s="98"/>
      <c r="AX197" s="98"/>
      <c r="AY197" s="98"/>
      <c r="AZ197" s="98"/>
      <c r="BA197" s="217"/>
      <c r="BB197" s="98"/>
      <c r="BC197" s="98"/>
      <c r="BD197" s="98"/>
      <c r="BE197" s="98"/>
      <c r="BF197" s="98"/>
      <c r="BG197" s="219"/>
      <c r="BH197" s="219"/>
      <c r="BI197" s="219"/>
      <c r="BJ197" s="26"/>
      <c r="BK197" s="21"/>
      <c r="BL197" s="21"/>
      <c r="BM197" s="22"/>
      <c r="BN197" s="21"/>
      <c r="BO197" s="21"/>
      <c r="BP197" s="22"/>
      <c r="BQ197" s="21"/>
      <c r="BR197" s="21"/>
      <c r="BS197" s="22"/>
      <c r="BT19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97" s="109" t="str">
        <f>IF(ISNUMBER(tblParticipants[[#This Row],[SvcStartDate]]),IF(AND(tblParticipants[[#This Row],[EnrollQtr]]=1,tblParticipants[[#This Row],[SvcStartDate]]&lt;DATE(conProgYear,7,1)),1,""),"")</f>
        <v/>
      </c>
      <c r="BV19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97" s="232" t="str">
        <f t="shared" ref="BW197:BW260" ca="1" si="3">IF(NOT(ISBLANK(INDIRECT("tblParticipants[@PlacedInEmp]"))),IF(INDIRECT("tblParticipants[@PlacedInEmp]")=1,IF(NOT(ISBLANK(INDIRECT("tblParticipants[@SvcEndDate]"))),IF(ISNUMBER(INDIRECT("tblParticipants[@SvcEndDate]")),IF(AND(INDIRECT("tblParticipants[@SvcEndDate]")&gt;=DATE(conProgYear,7,1),INDIRECT("tblParticipants[@SvcEndDate]")&lt;=DATE(conProgYear+1,6,30)),INDIRECT("tblParticipants[@ExitQtr]"),"ERR"),"ERR"),"ERR"),""),"")</f>
        <v/>
      </c>
      <c r="BX197" s="9">
        <f>IF(SUM(IF(tblParticipants[[#This Row],[AmIndOrAkNtv]]=1,1,0),IF(tblParticipants[[#This Row],[Asian]]=1,1,0),IF(tblParticipants[[#This Row],[BlkOrAfAmer]]=1,1,0),IF(tblParticipants[[#This Row],[NtvHawOrPacIsl]]=1,1,0),IF(tblParticipants[[#This Row],[White]]=1,1,0))&gt;1,1,0)</f>
        <v>0</v>
      </c>
      <c r="BY19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9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9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97" s="11">
        <f>IF(tblParticipants[[#This Row],[EarnWg2Qae]]=1,IFERROR(tblParticipants[[#This Row],[HoursPerWk2Qae]]*tblParticipants[[#This Row],[HrlyWg2Qae]]*13,0),0)</f>
        <v>0</v>
      </c>
      <c r="CC197" s="11">
        <f>IF(tblParticipants[[#This Row],[EarnWg3Qae]]=1,IFERROR(tblParticipants[[#This Row],[HoursPerWk3Qae]]*tblParticipants[[#This Row],[HrlyWg3Qae]]*13,0),0)</f>
        <v>0</v>
      </c>
      <c r="CD197" s="9">
        <f>IFERROR(IF(SUM(tblParticipants[[#This Row],[EarnWg1Qae]],tblParticipants[[#This Row],[EarnWg2Qae]],tblParticipants[[#This Row],[EarnWg3Qae]])=3,1,0),0)</f>
        <v>0</v>
      </c>
      <c r="CE197" s="12">
        <f>IF(tblParticipants[[#This Row],[EmplAll3Qae]]=1,tblParticipants[[#This Row],[Earnings2Qae]]+tblParticipants[[#This Row],[Earnings3Qae]],0)</f>
        <v>0</v>
      </c>
      <c r="CF197" s="407"/>
    </row>
    <row r="198" spans="1:84" x14ac:dyDescent="0.3">
      <c r="A198" s="19"/>
      <c r="B198" s="19"/>
      <c r="C198" s="20"/>
      <c r="D198" s="20"/>
      <c r="E198" s="26"/>
      <c r="F198" s="26"/>
      <c r="G198" s="26"/>
      <c r="H198" s="26"/>
      <c r="I198" s="26"/>
      <c r="J198" s="26"/>
      <c r="K198" s="26"/>
      <c r="L198" s="26"/>
      <c r="M198" s="20"/>
      <c r="N198" s="26"/>
      <c r="O198" s="22"/>
      <c r="P198" s="21"/>
      <c r="Q198" s="23"/>
      <c r="R198" s="21"/>
      <c r="S198" s="21"/>
      <c r="T198" s="21"/>
      <c r="U198" s="21"/>
      <c r="V198" s="21"/>
      <c r="W198" s="24"/>
      <c r="X198" s="20"/>
      <c r="Y198" s="20"/>
      <c r="Z198" s="21"/>
      <c r="AA198" s="21"/>
      <c r="AB198" s="21"/>
      <c r="AC198" s="21"/>
      <c r="AD198" s="21"/>
      <c r="AE198" s="21"/>
      <c r="AF198" s="21"/>
      <c r="AG198" s="21"/>
      <c r="AH198" s="21"/>
      <c r="AI198" s="25"/>
      <c r="AJ198" s="20"/>
      <c r="AK198" s="21"/>
      <c r="AL198" s="20"/>
      <c r="AM198" s="20"/>
      <c r="AN198" s="20"/>
      <c r="AO198" s="20"/>
      <c r="AP198" s="446"/>
      <c r="AQ198" s="20"/>
      <c r="AR198" s="20"/>
      <c r="AS198" s="20"/>
      <c r="AT198" s="20"/>
      <c r="AU198" s="26"/>
      <c r="AV198" s="98"/>
      <c r="AW198" s="98"/>
      <c r="AX198" s="98"/>
      <c r="AY198" s="98"/>
      <c r="AZ198" s="98"/>
      <c r="BA198" s="217"/>
      <c r="BB198" s="98"/>
      <c r="BC198" s="98"/>
      <c r="BD198" s="98"/>
      <c r="BE198" s="98"/>
      <c r="BF198" s="98"/>
      <c r="BG198" s="219"/>
      <c r="BH198" s="219"/>
      <c r="BI198" s="219"/>
      <c r="BJ198" s="26"/>
      <c r="BK198" s="21"/>
      <c r="BL198" s="21"/>
      <c r="BM198" s="22"/>
      <c r="BN198" s="21"/>
      <c r="BO198" s="21"/>
      <c r="BP198" s="22"/>
      <c r="BQ198" s="21"/>
      <c r="BR198" s="21"/>
      <c r="BS198" s="22"/>
      <c r="BT19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98" s="109" t="str">
        <f>IF(ISNUMBER(tblParticipants[[#This Row],[SvcStartDate]]),IF(AND(tblParticipants[[#This Row],[EnrollQtr]]=1,tblParticipants[[#This Row],[SvcStartDate]]&lt;DATE(conProgYear,7,1)),1,""),"")</f>
        <v/>
      </c>
      <c r="BV19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98" s="232" t="str">
        <f t="shared" ca="1" si="3"/>
        <v/>
      </c>
      <c r="BX198" s="9">
        <f>IF(SUM(IF(tblParticipants[[#This Row],[AmIndOrAkNtv]]=1,1,0),IF(tblParticipants[[#This Row],[Asian]]=1,1,0),IF(tblParticipants[[#This Row],[BlkOrAfAmer]]=1,1,0),IF(tblParticipants[[#This Row],[NtvHawOrPacIsl]]=1,1,0),IF(tblParticipants[[#This Row],[White]]=1,1,0))&gt;1,1,0)</f>
        <v>0</v>
      </c>
      <c r="BY19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9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9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98" s="11">
        <f>IF(tblParticipants[[#This Row],[EarnWg2Qae]]=1,IFERROR(tblParticipants[[#This Row],[HoursPerWk2Qae]]*tblParticipants[[#This Row],[HrlyWg2Qae]]*13,0),0)</f>
        <v>0</v>
      </c>
      <c r="CC198" s="11">
        <f>IF(tblParticipants[[#This Row],[EarnWg3Qae]]=1,IFERROR(tblParticipants[[#This Row],[HoursPerWk3Qae]]*tblParticipants[[#This Row],[HrlyWg3Qae]]*13,0),0)</f>
        <v>0</v>
      </c>
      <c r="CD198" s="9">
        <f>IFERROR(IF(SUM(tblParticipants[[#This Row],[EarnWg1Qae]],tblParticipants[[#This Row],[EarnWg2Qae]],tblParticipants[[#This Row],[EarnWg3Qae]])=3,1,0),0)</f>
        <v>0</v>
      </c>
      <c r="CE198" s="12">
        <f>IF(tblParticipants[[#This Row],[EmplAll3Qae]]=1,tblParticipants[[#This Row],[Earnings2Qae]]+tblParticipants[[#This Row],[Earnings3Qae]],0)</f>
        <v>0</v>
      </c>
      <c r="CF198" s="407"/>
    </row>
    <row r="199" spans="1:84" x14ac:dyDescent="0.3">
      <c r="A199" s="19"/>
      <c r="B199" s="19"/>
      <c r="C199" s="20"/>
      <c r="D199" s="20"/>
      <c r="E199" s="26"/>
      <c r="F199" s="26"/>
      <c r="G199" s="26"/>
      <c r="H199" s="26"/>
      <c r="I199" s="26"/>
      <c r="J199" s="26"/>
      <c r="K199" s="26"/>
      <c r="L199" s="26"/>
      <c r="M199" s="20"/>
      <c r="N199" s="26"/>
      <c r="O199" s="22"/>
      <c r="P199" s="21"/>
      <c r="Q199" s="23"/>
      <c r="R199" s="21"/>
      <c r="S199" s="21"/>
      <c r="T199" s="21"/>
      <c r="U199" s="21"/>
      <c r="V199" s="21"/>
      <c r="W199" s="24"/>
      <c r="X199" s="20"/>
      <c r="Y199" s="20"/>
      <c r="Z199" s="21"/>
      <c r="AA199" s="21"/>
      <c r="AB199" s="21"/>
      <c r="AC199" s="21"/>
      <c r="AD199" s="21"/>
      <c r="AE199" s="21"/>
      <c r="AF199" s="21"/>
      <c r="AG199" s="21"/>
      <c r="AH199" s="21"/>
      <c r="AI199" s="25"/>
      <c r="AJ199" s="20"/>
      <c r="AK199" s="21"/>
      <c r="AL199" s="20"/>
      <c r="AM199" s="20"/>
      <c r="AN199" s="20"/>
      <c r="AO199" s="20"/>
      <c r="AP199" s="446"/>
      <c r="AQ199" s="20"/>
      <c r="AR199" s="20"/>
      <c r="AS199" s="20"/>
      <c r="AT199" s="20"/>
      <c r="AU199" s="26"/>
      <c r="AV199" s="98"/>
      <c r="AW199" s="98"/>
      <c r="AX199" s="98"/>
      <c r="AY199" s="98"/>
      <c r="AZ199" s="98"/>
      <c r="BA199" s="217"/>
      <c r="BB199" s="98"/>
      <c r="BC199" s="98"/>
      <c r="BD199" s="98"/>
      <c r="BE199" s="98"/>
      <c r="BF199" s="98"/>
      <c r="BG199" s="219"/>
      <c r="BH199" s="219"/>
      <c r="BI199" s="219"/>
      <c r="BJ199" s="26"/>
      <c r="BK199" s="21"/>
      <c r="BL199" s="21"/>
      <c r="BM199" s="22"/>
      <c r="BN199" s="21"/>
      <c r="BO199" s="21"/>
      <c r="BP199" s="22"/>
      <c r="BQ199" s="21"/>
      <c r="BR199" s="21"/>
      <c r="BS199" s="22"/>
      <c r="BT19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199" s="109" t="str">
        <f>IF(ISNUMBER(tblParticipants[[#This Row],[SvcStartDate]]),IF(AND(tblParticipants[[#This Row],[EnrollQtr]]=1,tblParticipants[[#This Row],[SvcStartDate]]&lt;DATE(conProgYear,7,1)),1,""),"")</f>
        <v/>
      </c>
      <c r="BV19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199" s="232" t="str">
        <f t="shared" ca="1" si="3"/>
        <v/>
      </c>
      <c r="BX199" s="9">
        <f>IF(SUM(IF(tblParticipants[[#This Row],[AmIndOrAkNtv]]=1,1,0),IF(tblParticipants[[#This Row],[Asian]]=1,1,0),IF(tblParticipants[[#This Row],[BlkOrAfAmer]]=1,1,0),IF(tblParticipants[[#This Row],[NtvHawOrPacIsl]]=1,1,0),IF(tblParticipants[[#This Row],[White]]=1,1,0))&gt;1,1,0)</f>
        <v>0</v>
      </c>
      <c r="BY19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19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19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199" s="11">
        <f>IF(tblParticipants[[#This Row],[EarnWg2Qae]]=1,IFERROR(tblParticipants[[#This Row],[HoursPerWk2Qae]]*tblParticipants[[#This Row],[HrlyWg2Qae]]*13,0),0)</f>
        <v>0</v>
      </c>
      <c r="CC199" s="11">
        <f>IF(tblParticipants[[#This Row],[EarnWg3Qae]]=1,IFERROR(tblParticipants[[#This Row],[HoursPerWk3Qae]]*tblParticipants[[#This Row],[HrlyWg3Qae]]*13,0),0)</f>
        <v>0</v>
      </c>
      <c r="CD199" s="9">
        <f>IFERROR(IF(SUM(tblParticipants[[#This Row],[EarnWg1Qae]],tblParticipants[[#This Row],[EarnWg2Qae]],tblParticipants[[#This Row],[EarnWg3Qae]])=3,1,0),0)</f>
        <v>0</v>
      </c>
      <c r="CE199" s="12">
        <f>IF(tblParticipants[[#This Row],[EmplAll3Qae]]=1,tblParticipants[[#This Row],[Earnings2Qae]]+tblParticipants[[#This Row],[Earnings3Qae]],0)</f>
        <v>0</v>
      </c>
      <c r="CF199" s="407"/>
    </row>
    <row r="200" spans="1:84" x14ac:dyDescent="0.3">
      <c r="A200" s="19"/>
      <c r="B200" s="19"/>
      <c r="C200" s="20"/>
      <c r="D200" s="20"/>
      <c r="E200" s="26"/>
      <c r="F200" s="26"/>
      <c r="G200" s="26"/>
      <c r="H200" s="26"/>
      <c r="I200" s="26"/>
      <c r="J200" s="26"/>
      <c r="K200" s="26"/>
      <c r="L200" s="26"/>
      <c r="M200" s="20"/>
      <c r="N200" s="26"/>
      <c r="O200" s="22"/>
      <c r="P200" s="21"/>
      <c r="Q200" s="23"/>
      <c r="R200" s="21"/>
      <c r="S200" s="21"/>
      <c r="T200" s="21"/>
      <c r="U200" s="21"/>
      <c r="V200" s="21"/>
      <c r="W200" s="24"/>
      <c r="X200" s="20"/>
      <c r="Y200" s="20"/>
      <c r="Z200" s="21"/>
      <c r="AA200" s="21"/>
      <c r="AB200" s="21"/>
      <c r="AC200" s="21"/>
      <c r="AD200" s="21"/>
      <c r="AE200" s="21"/>
      <c r="AF200" s="21"/>
      <c r="AG200" s="21"/>
      <c r="AH200" s="21"/>
      <c r="AI200" s="25"/>
      <c r="AJ200" s="20"/>
      <c r="AK200" s="21"/>
      <c r="AL200" s="20"/>
      <c r="AM200" s="20"/>
      <c r="AN200" s="20"/>
      <c r="AO200" s="20"/>
      <c r="AP200" s="446"/>
      <c r="AQ200" s="20"/>
      <c r="AR200" s="20"/>
      <c r="AS200" s="20"/>
      <c r="AT200" s="20"/>
      <c r="AU200" s="26"/>
      <c r="AV200" s="98"/>
      <c r="AW200" s="98"/>
      <c r="AX200" s="98"/>
      <c r="AY200" s="98"/>
      <c r="AZ200" s="98"/>
      <c r="BA200" s="217"/>
      <c r="BB200" s="98"/>
      <c r="BC200" s="98"/>
      <c r="BD200" s="98"/>
      <c r="BE200" s="98"/>
      <c r="BF200" s="98"/>
      <c r="BG200" s="219"/>
      <c r="BH200" s="219"/>
      <c r="BI200" s="219"/>
      <c r="BJ200" s="26"/>
      <c r="BK200" s="21"/>
      <c r="BL200" s="21"/>
      <c r="BM200" s="22"/>
      <c r="BN200" s="21"/>
      <c r="BO200" s="21"/>
      <c r="BP200" s="22"/>
      <c r="BQ200" s="21"/>
      <c r="BR200" s="21"/>
      <c r="BS200" s="22"/>
      <c r="BT20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00" s="109" t="str">
        <f>IF(ISNUMBER(tblParticipants[[#This Row],[SvcStartDate]]),IF(AND(tblParticipants[[#This Row],[EnrollQtr]]=1,tblParticipants[[#This Row],[SvcStartDate]]&lt;DATE(conProgYear,7,1)),1,""),"")</f>
        <v/>
      </c>
      <c r="BV20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00" s="232" t="str">
        <f t="shared" ca="1" si="3"/>
        <v/>
      </c>
      <c r="BX200" s="9">
        <f>IF(SUM(IF(tblParticipants[[#This Row],[AmIndOrAkNtv]]=1,1,0),IF(tblParticipants[[#This Row],[Asian]]=1,1,0),IF(tblParticipants[[#This Row],[BlkOrAfAmer]]=1,1,0),IF(tblParticipants[[#This Row],[NtvHawOrPacIsl]]=1,1,0),IF(tblParticipants[[#This Row],[White]]=1,1,0))&gt;1,1,0)</f>
        <v>0</v>
      </c>
      <c r="BY20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0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0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00" s="11">
        <f>IF(tblParticipants[[#This Row],[EarnWg2Qae]]=1,IFERROR(tblParticipants[[#This Row],[HoursPerWk2Qae]]*tblParticipants[[#This Row],[HrlyWg2Qae]]*13,0),0)</f>
        <v>0</v>
      </c>
      <c r="CC200" s="11">
        <f>IF(tblParticipants[[#This Row],[EarnWg3Qae]]=1,IFERROR(tblParticipants[[#This Row],[HoursPerWk3Qae]]*tblParticipants[[#This Row],[HrlyWg3Qae]]*13,0),0)</f>
        <v>0</v>
      </c>
      <c r="CD200" s="9">
        <f>IFERROR(IF(SUM(tblParticipants[[#This Row],[EarnWg1Qae]],tblParticipants[[#This Row],[EarnWg2Qae]],tblParticipants[[#This Row],[EarnWg3Qae]])=3,1,0),0)</f>
        <v>0</v>
      </c>
      <c r="CE200" s="12">
        <f>IF(tblParticipants[[#This Row],[EmplAll3Qae]]=1,tblParticipants[[#This Row],[Earnings2Qae]]+tblParticipants[[#This Row],[Earnings3Qae]],0)</f>
        <v>0</v>
      </c>
      <c r="CF200" s="407"/>
    </row>
    <row r="201" spans="1:84" x14ac:dyDescent="0.3">
      <c r="A201" s="19"/>
      <c r="B201" s="19"/>
      <c r="C201" s="20"/>
      <c r="D201" s="20"/>
      <c r="E201" s="26"/>
      <c r="F201" s="26"/>
      <c r="G201" s="26"/>
      <c r="H201" s="26"/>
      <c r="I201" s="26"/>
      <c r="J201" s="26"/>
      <c r="K201" s="26"/>
      <c r="L201" s="26"/>
      <c r="M201" s="20"/>
      <c r="N201" s="26"/>
      <c r="O201" s="22"/>
      <c r="P201" s="21"/>
      <c r="Q201" s="23"/>
      <c r="R201" s="21"/>
      <c r="S201" s="21"/>
      <c r="T201" s="21"/>
      <c r="U201" s="21"/>
      <c r="V201" s="21"/>
      <c r="W201" s="24"/>
      <c r="X201" s="20"/>
      <c r="Y201" s="20"/>
      <c r="Z201" s="21"/>
      <c r="AA201" s="21"/>
      <c r="AB201" s="21"/>
      <c r="AC201" s="21"/>
      <c r="AD201" s="21"/>
      <c r="AE201" s="21"/>
      <c r="AF201" s="21"/>
      <c r="AG201" s="21"/>
      <c r="AH201" s="21"/>
      <c r="AI201" s="25"/>
      <c r="AJ201" s="20"/>
      <c r="AK201" s="21"/>
      <c r="AL201" s="20"/>
      <c r="AM201" s="20"/>
      <c r="AN201" s="20"/>
      <c r="AO201" s="20"/>
      <c r="AP201" s="446"/>
      <c r="AQ201" s="20"/>
      <c r="AR201" s="20"/>
      <c r="AS201" s="20"/>
      <c r="AT201" s="20"/>
      <c r="AU201" s="26"/>
      <c r="AV201" s="98"/>
      <c r="AW201" s="98"/>
      <c r="AX201" s="98"/>
      <c r="AY201" s="98"/>
      <c r="AZ201" s="98"/>
      <c r="BA201" s="217"/>
      <c r="BB201" s="98"/>
      <c r="BC201" s="98"/>
      <c r="BD201" s="98"/>
      <c r="BE201" s="98"/>
      <c r="BF201" s="98"/>
      <c r="BG201" s="219"/>
      <c r="BH201" s="219"/>
      <c r="BI201" s="219"/>
      <c r="BJ201" s="26"/>
      <c r="BK201" s="21"/>
      <c r="BL201" s="21"/>
      <c r="BM201" s="22"/>
      <c r="BN201" s="21"/>
      <c r="BO201" s="21"/>
      <c r="BP201" s="22"/>
      <c r="BQ201" s="21"/>
      <c r="BR201" s="21"/>
      <c r="BS201" s="22"/>
      <c r="BT20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01" s="109" t="str">
        <f>IF(ISNUMBER(tblParticipants[[#This Row],[SvcStartDate]]),IF(AND(tblParticipants[[#This Row],[EnrollQtr]]=1,tblParticipants[[#This Row],[SvcStartDate]]&lt;DATE(conProgYear,7,1)),1,""),"")</f>
        <v/>
      </c>
      <c r="BV20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01" s="232" t="str">
        <f t="shared" ca="1" si="3"/>
        <v/>
      </c>
      <c r="BX201" s="9">
        <f>IF(SUM(IF(tblParticipants[[#This Row],[AmIndOrAkNtv]]=1,1,0),IF(tblParticipants[[#This Row],[Asian]]=1,1,0),IF(tblParticipants[[#This Row],[BlkOrAfAmer]]=1,1,0),IF(tblParticipants[[#This Row],[NtvHawOrPacIsl]]=1,1,0),IF(tblParticipants[[#This Row],[White]]=1,1,0))&gt;1,1,0)</f>
        <v>0</v>
      </c>
      <c r="BY20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0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0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01" s="11">
        <f>IF(tblParticipants[[#This Row],[EarnWg2Qae]]=1,IFERROR(tblParticipants[[#This Row],[HoursPerWk2Qae]]*tblParticipants[[#This Row],[HrlyWg2Qae]]*13,0),0)</f>
        <v>0</v>
      </c>
      <c r="CC201" s="11">
        <f>IF(tblParticipants[[#This Row],[EarnWg3Qae]]=1,IFERROR(tblParticipants[[#This Row],[HoursPerWk3Qae]]*tblParticipants[[#This Row],[HrlyWg3Qae]]*13,0),0)</f>
        <v>0</v>
      </c>
      <c r="CD201" s="9">
        <f>IFERROR(IF(SUM(tblParticipants[[#This Row],[EarnWg1Qae]],tblParticipants[[#This Row],[EarnWg2Qae]],tblParticipants[[#This Row],[EarnWg3Qae]])=3,1,0),0)</f>
        <v>0</v>
      </c>
      <c r="CE201" s="12">
        <f>IF(tblParticipants[[#This Row],[EmplAll3Qae]]=1,tblParticipants[[#This Row],[Earnings2Qae]]+tblParticipants[[#This Row],[Earnings3Qae]],0)</f>
        <v>0</v>
      </c>
      <c r="CF201" s="407"/>
    </row>
    <row r="202" spans="1:84" x14ac:dyDescent="0.3">
      <c r="A202" s="19"/>
      <c r="B202" s="19"/>
      <c r="C202" s="20"/>
      <c r="D202" s="20"/>
      <c r="E202" s="26"/>
      <c r="F202" s="26"/>
      <c r="G202" s="26"/>
      <c r="H202" s="26"/>
      <c r="I202" s="26"/>
      <c r="J202" s="26"/>
      <c r="K202" s="26"/>
      <c r="L202" s="26"/>
      <c r="M202" s="20"/>
      <c r="N202" s="26"/>
      <c r="O202" s="22"/>
      <c r="P202" s="21"/>
      <c r="Q202" s="23"/>
      <c r="R202" s="21"/>
      <c r="S202" s="21"/>
      <c r="T202" s="21"/>
      <c r="U202" s="21"/>
      <c r="V202" s="21"/>
      <c r="W202" s="24"/>
      <c r="X202" s="20"/>
      <c r="Y202" s="20"/>
      <c r="Z202" s="21"/>
      <c r="AA202" s="21"/>
      <c r="AB202" s="21"/>
      <c r="AC202" s="21"/>
      <c r="AD202" s="21"/>
      <c r="AE202" s="21"/>
      <c r="AF202" s="21"/>
      <c r="AG202" s="21"/>
      <c r="AH202" s="21"/>
      <c r="AI202" s="25"/>
      <c r="AJ202" s="20"/>
      <c r="AK202" s="21"/>
      <c r="AL202" s="20"/>
      <c r="AM202" s="20"/>
      <c r="AN202" s="20"/>
      <c r="AO202" s="20"/>
      <c r="AP202" s="446"/>
      <c r="AQ202" s="20"/>
      <c r="AR202" s="20"/>
      <c r="AS202" s="20"/>
      <c r="AT202" s="20"/>
      <c r="AU202" s="26"/>
      <c r="AV202" s="98"/>
      <c r="AW202" s="98"/>
      <c r="AX202" s="98"/>
      <c r="AY202" s="98"/>
      <c r="AZ202" s="98"/>
      <c r="BA202" s="217"/>
      <c r="BB202" s="98"/>
      <c r="BC202" s="98"/>
      <c r="BD202" s="98"/>
      <c r="BE202" s="98"/>
      <c r="BF202" s="98"/>
      <c r="BG202" s="219"/>
      <c r="BH202" s="219"/>
      <c r="BI202" s="219"/>
      <c r="BJ202" s="26"/>
      <c r="BK202" s="21"/>
      <c r="BL202" s="21"/>
      <c r="BM202" s="22"/>
      <c r="BN202" s="21"/>
      <c r="BO202" s="21"/>
      <c r="BP202" s="22"/>
      <c r="BQ202" s="21"/>
      <c r="BR202" s="21"/>
      <c r="BS202" s="22"/>
      <c r="BT20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02" s="109" t="str">
        <f>IF(ISNUMBER(tblParticipants[[#This Row],[SvcStartDate]]),IF(AND(tblParticipants[[#This Row],[EnrollQtr]]=1,tblParticipants[[#This Row],[SvcStartDate]]&lt;DATE(conProgYear,7,1)),1,""),"")</f>
        <v/>
      </c>
      <c r="BV20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02" s="232" t="str">
        <f t="shared" ca="1" si="3"/>
        <v/>
      </c>
      <c r="BX202" s="9">
        <f>IF(SUM(IF(tblParticipants[[#This Row],[AmIndOrAkNtv]]=1,1,0),IF(tblParticipants[[#This Row],[Asian]]=1,1,0),IF(tblParticipants[[#This Row],[BlkOrAfAmer]]=1,1,0),IF(tblParticipants[[#This Row],[NtvHawOrPacIsl]]=1,1,0),IF(tblParticipants[[#This Row],[White]]=1,1,0))&gt;1,1,0)</f>
        <v>0</v>
      </c>
      <c r="BY20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0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0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02" s="11">
        <f>IF(tblParticipants[[#This Row],[EarnWg2Qae]]=1,IFERROR(tblParticipants[[#This Row],[HoursPerWk2Qae]]*tblParticipants[[#This Row],[HrlyWg2Qae]]*13,0),0)</f>
        <v>0</v>
      </c>
      <c r="CC202" s="11">
        <f>IF(tblParticipants[[#This Row],[EarnWg3Qae]]=1,IFERROR(tblParticipants[[#This Row],[HoursPerWk3Qae]]*tblParticipants[[#This Row],[HrlyWg3Qae]]*13,0),0)</f>
        <v>0</v>
      </c>
      <c r="CD202" s="9">
        <f>IFERROR(IF(SUM(tblParticipants[[#This Row],[EarnWg1Qae]],tblParticipants[[#This Row],[EarnWg2Qae]],tblParticipants[[#This Row],[EarnWg3Qae]])=3,1,0),0)</f>
        <v>0</v>
      </c>
      <c r="CE202" s="12">
        <f>IF(tblParticipants[[#This Row],[EmplAll3Qae]]=1,tblParticipants[[#This Row],[Earnings2Qae]]+tblParticipants[[#This Row],[Earnings3Qae]],0)</f>
        <v>0</v>
      </c>
      <c r="CF202" s="407"/>
    </row>
    <row r="203" spans="1:84" x14ac:dyDescent="0.3">
      <c r="A203" s="19"/>
      <c r="B203" s="19"/>
      <c r="C203" s="20"/>
      <c r="D203" s="20"/>
      <c r="E203" s="26"/>
      <c r="F203" s="26"/>
      <c r="G203" s="26"/>
      <c r="H203" s="26"/>
      <c r="I203" s="26"/>
      <c r="J203" s="26"/>
      <c r="K203" s="26"/>
      <c r="L203" s="26"/>
      <c r="M203" s="20"/>
      <c r="N203" s="26"/>
      <c r="O203" s="22"/>
      <c r="P203" s="21"/>
      <c r="Q203" s="23"/>
      <c r="R203" s="21"/>
      <c r="S203" s="21"/>
      <c r="T203" s="21"/>
      <c r="U203" s="21"/>
      <c r="V203" s="21"/>
      <c r="W203" s="24"/>
      <c r="X203" s="20"/>
      <c r="Y203" s="20"/>
      <c r="Z203" s="21"/>
      <c r="AA203" s="21"/>
      <c r="AB203" s="21"/>
      <c r="AC203" s="21"/>
      <c r="AD203" s="21"/>
      <c r="AE203" s="21"/>
      <c r="AF203" s="21"/>
      <c r="AG203" s="21"/>
      <c r="AH203" s="21"/>
      <c r="AI203" s="25"/>
      <c r="AJ203" s="20"/>
      <c r="AK203" s="21"/>
      <c r="AL203" s="20"/>
      <c r="AM203" s="20"/>
      <c r="AN203" s="20"/>
      <c r="AO203" s="20"/>
      <c r="AP203" s="446"/>
      <c r="AQ203" s="20"/>
      <c r="AR203" s="20"/>
      <c r="AS203" s="20"/>
      <c r="AT203" s="20"/>
      <c r="AU203" s="26"/>
      <c r="AV203" s="98"/>
      <c r="AW203" s="98"/>
      <c r="AX203" s="98"/>
      <c r="AY203" s="98"/>
      <c r="AZ203" s="98"/>
      <c r="BA203" s="217"/>
      <c r="BB203" s="98"/>
      <c r="BC203" s="98"/>
      <c r="BD203" s="98"/>
      <c r="BE203" s="98"/>
      <c r="BF203" s="98"/>
      <c r="BG203" s="219"/>
      <c r="BH203" s="219"/>
      <c r="BI203" s="219"/>
      <c r="BJ203" s="26"/>
      <c r="BK203" s="21"/>
      <c r="BL203" s="21"/>
      <c r="BM203" s="22"/>
      <c r="BN203" s="21"/>
      <c r="BO203" s="21"/>
      <c r="BP203" s="22"/>
      <c r="BQ203" s="21"/>
      <c r="BR203" s="21"/>
      <c r="BS203" s="22"/>
      <c r="BT20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03" s="109" t="str">
        <f>IF(ISNUMBER(tblParticipants[[#This Row],[SvcStartDate]]),IF(AND(tblParticipants[[#This Row],[EnrollQtr]]=1,tblParticipants[[#This Row],[SvcStartDate]]&lt;DATE(conProgYear,7,1)),1,""),"")</f>
        <v/>
      </c>
      <c r="BV20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03" s="232" t="str">
        <f t="shared" ca="1" si="3"/>
        <v/>
      </c>
      <c r="BX203" s="9">
        <f>IF(SUM(IF(tblParticipants[[#This Row],[AmIndOrAkNtv]]=1,1,0),IF(tblParticipants[[#This Row],[Asian]]=1,1,0),IF(tblParticipants[[#This Row],[BlkOrAfAmer]]=1,1,0),IF(tblParticipants[[#This Row],[NtvHawOrPacIsl]]=1,1,0),IF(tblParticipants[[#This Row],[White]]=1,1,0))&gt;1,1,0)</f>
        <v>0</v>
      </c>
      <c r="BY20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0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0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03" s="11">
        <f>IF(tblParticipants[[#This Row],[EarnWg2Qae]]=1,IFERROR(tblParticipants[[#This Row],[HoursPerWk2Qae]]*tblParticipants[[#This Row],[HrlyWg2Qae]]*13,0),0)</f>
        <v>0</v>
      </c>
      <c r="CC203" s="11">
        <f>IF(tblParticipants[[#This Row],[EarnWg3Qae]]=1,IFERROR(tblParticipants[[#This Row],[HoursPerWk3Qae]]*tblParticipants[[#This Row],[HrlyWg3Qae]]*13,0),0)</f>
        <v>0</v>
      </c>
      <c r="CD203" s="9">
        <f>IFERROR(IF(SUM(tblParticipants[[#This Row],[EarnWg1Qae]],tblParticipants[[#This Row],[EarnWg2Qae]],tblParticipants[[#This Row],[EarnWg3Qae]])=3,1,0),0)</f>
        <v>0</v>
      </c>
      <c r="CE203" s="12">
        <f>IF(tblParticipants[[#This Row],[EmplAll3Qae]]=1,tblParticipants[[#This Row],[Earnings2Qae]]+tblParticipants[[#This Row],[Earnings3Qae]],0)</f>
        <v>0</v>
      </c>
      <c r="CF203" s="407"/>
    </row>
    <row r="204" spans="1:84" x14ac:dyDescent="0.3">
      <c r="A204" s="19"/>
      <c r="B204" s="19"/>
      <c r="C204" s="20"/>
      <c r="D204" s="20"/>
      <c r="E204" s="26"/>
      <c r="F204" s="26"/>
      <c r="G204" s="26"/>
      <c r="H204" s="26"/>
      <c r="I204" s="26"/>
      <c r="J204" s="26"/>
      <c r="K204" s="26"/>
      <c r="L204" s="26"/>
      <c r="M204" s="20"/>
      <c r="N204" s="26"/>
      <c r="O204" s="22"/>
      <c r="P204" s="21"/>
      <c r="Q204" s="23"/>
      <c r="R204" s="21"/>
      <c r="S204" s="21"/>
      <c r="T204" s="21"/>
      <c r="U204" s="21"/>
      <c r="V204" s="21"/>
      <c r="W204" s="24"/>
      <c r="X204" s="20"/>
      <c r="Y204" s="20"/>
      <c r="Z204" s="21"/>
      <c r="AA204" s="21"/>
      <c r="AB204" s="21"/>
      <c r="AC204" s="21"/>
      <c r="AD204" s="21"/>
      <c r="AE204" s="21"/>
      <c r="AF204" s="21"/>
      <c r="AG204" s="21"/>
      <c r="AH204" s="21"/>
      <c r="AI204" s="25"/>
      <c r="AJ204" s="20"/>
      <c r="AK204" s="21"/>
      <c r="AL204" s="20"/>
      <c r="AM204" s="20"/>
      <c r="AN204" s="20"/>
      <c r="AO204" s="20"/>
      <c r="AP204" s="446"/>
      <c r="AQ204" s="20"/>
      <c r="AR204" s="20"/>
      <c r="AS204" s="20"/>
      <c r="AT204" s="20"/>
      <c r="AU204" s="26"/>
      <c r="AV204" s="98"/>
      <c r="AW204" s="98"/>
      <c r="AX204" s="98"/>
      <c r="AY204" s="98"/>
      <c r="AZ204" s="98"/>
      <c r="BA204" s="217"/>
      <c r="BB204" s="98"/>
      <c r="BC204" s="98"/>
      <c r="BD204" s="98"/>
      <c r="BE204" s="98"/>
      <c r="BF204" s="98"/>
      <c r="BG204" s="219"/>
      <c r="BH204" s="219"/>
      <c r="BI204" s="219"/>
      <c r="BJ204" s="26"/>
      <c r="BK204" s="21"/>
      <c r="BL204" s="21"/>
      <c r="BM204" s="22"/>
      <c r="BN204" s="21"/>
      <c r="BO204" s="21"/>
      <c r="BP204" s="22"/>
      <c r="BQ204" s="21"/>
      <c r="BR204" s="21"/>
      <c r="BS204" s="22"/>
      <c r="BT20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04" s="109" t="str">
        <f>IF(ISNUMBER(tblParticipants[[#This Row],[SvcStartDate]]),IF(AND(tblParticipants[[#This Row],[EnrollQtr]]=1,tblParticipants[[#This Row],[SvcStartDate]]&lt;DATE(conProgYear,7,1)),1,""),"")</f>
        <v/>
      </c>
      <c r="BV20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04" s="232" t="str">
        <f t="shared" ca="1" si="3"/>
        <v/>
      </c>
      <c r="BX204" s="9">
        <f>IF(SUM(IF(tblParticipants[[#This Row],[AmIndOrAkNtv]]=1,1,0),IF(tblParticipants[[#This Row],[Asian]]=1,1,0),IF(tblParticipants[[#This Row],[BlkOrAfAmer]]=1,1,0),IF(tblParticipants[[#This Row],[NtvHawOrPacIsl]]=1,1,0),IF(tblParticipants[[#This Row],[White]]=1,1,0))&gt;1,1,0)</f>
        <v>0</v>
      </c>
      <c r="BY20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0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0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04" s="11">
        <f>IF(tblParticipants[[#This Row],[EarnWg2Qae]]=1,IFERROR(tblParticipants[[#This Row],[HoursPerWk2Qae]]*tblParticipants[[#This Row],[HrlyWg2Qae]]*13,0),0)</f>
        <v>0</v>
      </c>
      <c r="CC204" s="11">
        <f>IF(tblParticipants[[#This Row],[EarnWg3Qae]]=1,IFERROR(tblParticipants[[#This Row],[HoursPerWk3Qae]]*tblParticipants[[#This Row],[HrlyWg3Qae]]*13,0),0)</f>
        <v>0</v>
      </c>
      <c r="CD204" s="9">
        <f>IFERROR(IF(SUM(tblParticipants[[#This Row],[EarnWg1Qae]],tblParticipants[[#This Row],[EarnWg2Qae]],tblParticipants[[#This Row],[EarnWg3Qae]])=3,1,0),0)</f>
        <v>0</v>
      </c>
      <c r="CE204" s="12">
        <f>IF(tblParticipants[[#This Row],[EmplAll3Qae]]=1,tblParticipants[[#This Row],[Earnings2Qae]]+tblParticipants[[#This Row],[Earnings3Qae]],0)</f>
        <v>0</v>
      </c>
      <c r="CF204" s="407"/>
    </row>
    <row r="205" spans="1:84" x14ac:dyDescent="0.3">
      <c r="A205" s="19"/>
      <c r="B205" s="19"/>
      <c r="C205" s="20"/>
      <c r="D205" s="20"/>
      <c r="E205" s="26"/>
      <c r="F205" s="26"/>
      <c r="G205" s="26"/>
      <c r="H205" s="26"/>
      <c r="I205" s="26"/>
      <c r="J205" s="26"/>
      <c r="K205" s="26"/>
      <c r="L205" s="26"/>
      <c r="M205" s="20"/>
      <c r="N205" s="26"/>
      <c r="O205" s="22"/>
      <c r="P205" s="21"/>
      <c r="Q205" s="23"/>
      <c r="R205" s="21"/>
      <c r="S205" s="21"/>
      <c r="T205" s="21"/>
      <c r="U205" s="21"/>
      <c r="V205" s="21"/>
      <c r="W205" s="24"/>
      <c r="X205" s="20"/>
      <c r="Y205" s="20"/>
      <c r="Z205" s="21"/>
      <c r="AA205" s="21"/>
      <c r="AB205" s="21"/>
      <c r="AC205" s="21"/>
      <c r="AD205" s="21"/>
      <c r="AE205" s="21"/>
      <c r="AF205" s="21"/>
      <c r="AG205" s="21"/>
      <c r="AH205" s="21"/>
      <c r="AI205" s="25"/>
      <c r="AJ205" s="20"/>
      <c r="AK205" s="21"/>
      <c r="AL205" s="20"/>
      <c r="AM205" s="20"/>
      <c r="AN205" s="20"/>
      <c r="AO205" s="20"/>
      <c r="AP205" s="446"/>
      <c r="AQ205" s="20"/>
      <c r="AR205" s="20"/>
      <c r="AS205" s="20"/>
      <c r="AT205" s="20"/>
      <c r="AU205" s="26"/>
      <c r="AV205" s="98"/>
      <c r="AW205" s="98"/>
      <c r="AX205" s="98"/>
      <c r="AY205" s="98"/>
      <c r="AZ205" s="98"/>
      <c r="BA205" s="217"/>
      <c r="BB205" s="98"/>
      <c r="BC205" s="98"/>
      <c r="BD205" s="98"/>
      <c r="BE205" s="98"/>
      <c r="BF205" s="98"/>
      <c r="BG205" s="219"/>
      <c r="BH205" s="219"/>
      <c r="BI205" s="219"/>
      <c r="BJ205" s="26"/>
      <c r="BK205" s="21"/>
      <c r="BL205" s="21"/>
      <c r="BM205" s="22"/>
      <c r="BN205" s="21"/>
      <c r="BO205" s="21"/>
      <c r="BP205" s="22"/>
      <c r="BQ205" s="21"/>
      <c r="BR205" s="21"/>
      <c r="BS205" s="22"/>
      <c r="BT20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05" s="109" t="str">
        <f>IF(ISNUMBER(tblParticipants[[#This Row],[SvcStartDate]]),IF(AND(tblParticipants[[#This Row],[EnrollQtr]]=1,tblParticipants[[#This Row],[SvcStartDate]]&lt;DATE(conProgYear,7,1)),1,""),"")</f>
        <v/>
      </c>
      <c r="BV20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05" s="232" t="str">
        <f t="shared" ca="1" si="3"/>
        <v/>
      </c>
      <c r="BX205" s="9">
        <f>IF(SUM(IF(tblParticipants[[#This Row],[AmIndOrAkNtv]]=1,1,0),IF(tblParticipants[[#This Row],[Asian]]=1,1,0),IF(tblParticipants[[#This Row],[BlkOrAfAmer]]=1,1,0),IF(tblParticipants[[#This Row],[NtvHawOrPacIsl]]=1,1,0),IF(tblParticipants[[#This Row],[White]]=1,1,0))&gt;1,1,0)</f>
        <v>0</v>
      </c>
      <c r="BY20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0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0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05" s="11">
        <f>IF(tblParticipants[[#This Row],[EarnWg2Qae]]=1,IFERROR(tblParticipants[[#This Row],[HoursPerWk2Qae]]*tblParticipants[[#This Row],[HrlyWg2Qae]]*13,0),0)</f>
        <v>0</v>
      </c>
      <c r="CC205" s="11">
        <f>IF(tblParticipants[[#This Row],[EarnWg3Qae]]=1,IFERROR(tblParticipants[[#This Row],[HoursPerWk3Qae]]*tblParticipants[[#This Row],[HrlyWg3Qae]]*13,0),0)</f>
        <v>0</v>
      </c>
      <c r="CD205" s="9">
        <f>IFERROR(IF(SUM(tblParticipants[[#This Row],[EarnWg1Qae]],tblParticipants[[#This Row],[EarnWg2Qae]],tblParticipants[[#This Row],[EarnWg3Qae]])=3,1,0),0)</f>
        <v>0</v>
      </c>
      <c r="CE205" s="12">
        <f>IF(tblParticipants[[#This Row],[EmplAll3Qae]]=1,tblParticipants[[#This Row],[Earnings2Qae]]+tblParticipants[[#This Row],[Earnings3Qae]],0)</f>
        <v>0</v>
      </c>
      <c r="CF205" s="407"/>
    </row>
    <row r="206" spans="1:84" x14ac:dyDescent="0.3">
      <c r="A206" s="19"/>
      <c r="B206" s="19"/>
      <c r="C206" s="20"/>
      <c r="D206" s="20"/>
      <c r="E206" s="26"/>
      <c r="F206" s="26"/>
      <c r="G206" s="26"/>
      <c r="H206" s="26"/>
      <c r="I206" s="26"/>
      <c r="J206" s="26"/>
      <c r="K206" s="26"/>
      <c r="L206" s="26"/>
      <c r="M206" s="20"/>
      <c r="N206" s="26"/>
      <c r="O206" s="22"/>
      <c r="P206" s="21"/>
      <c r="Q206" s="23"/>
      <c r="R206" s="21"/>
      <c r="S206" s="21"/>
      <c r="T206" s="21"/>
      <c r="U206" s="21"/>
      <c r="V206" s="21"/>
      <c r="W206" s="24"/>
      <c r="X206" s="20"/>
      <c r="Y206" s="20"/>
      <c r="Z206" s="21"/>
      <c r="AA206" s="21"/>
      <c r="AB206" s="21"/>
      <c r="AC206" s="21"/>
      <c r="AD206" s="21"/>
      <c r="AE206" s="21"/>
      <c r="AF206" s="21"/>
      <c r="AG206" s="21"/>
      <c r="AH206" s="21"/>
      <c r="AI206" s="25"/>
      <c r="AJ206" s="20"/>
      <c r="AK206" s="21"/>
      <c r="AL206" s="20"/>
      <c r="AM206" s="20"/>
      <c r="AN206" s="20"/>
      <c r="AO206" s="20"/>
      <c r="AP206" s="446"/>
      <c r="AQ206" s="20"/>
      <c r="AR206" s="20"/>
      <c r="AS206" s="20"/>
      <c r="AT206" s="20"/>
      <c r="AU206" s="26"/>
      <c r="AV206" s="98"/>
      <c r="AW206" s="98"/>
      <c r="AX206" s="98"/>
      <c r="AY206" s="98"/>
      <c r="AZ206" s="98"/>
      <c r="BA206" s="217"/>
      <c r="BB206" s="98"/>
      <c r="BC206" s="98"/>
      <c r="BD206" s="98"/>
      <c r="BE206" s="98"/>
      <c r="BF206" s="98"/>
      <c r="BG206" s="219"/>
      <c r="BH206" s="219"/>
      <c r="BI206" s="219"/>
      <c r="BJ206" s="26"/>
      <c r="BK206" s="21"/>
      <c r="BL206" s="21"/>
      <c r="BM206" s="22"/>
      <c r="BN206" s="21"/>
      <c r="BO206" s="21"/>
      <c r="BP206" s="22"/>
      <c r="BQ206" s="21"/>
      <c r="BR206" s="21"/>
      <c r="BS206" s="22"/>
      <c r="BT20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06" s="109" t="str">
        <f>IF(ISNUMBER(tblParticipants[[#This Row],[SvcStartDate]]),IF(AND(tblParticipants[[#This Row],[EnrollQtr]]=1,tblParticipants[[#This Row],[SvcStartDate]]&lt;DATE(conProgYear,7,1)),1,""),"")</f>
        <v/>
      </c>
      <c r="BV20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06" s="232" t="str">
        <f t="shared" ca="1" si="3"/>
        <v/>
      </c>
      <c r="BX206" s="9">
        <f>IF(SUM(IF(tblParticipants[[#This Row],[AmIndOrAkNtv]]=1,1,0),IF(tblParticipants[[#This Row],[Asian]]=1,1,0),IF(tblParticipants[[#This Row],[BlkOrAfAmer]]=1,1,0),IF(tblParticipants[[#This Row],[NtvHawOrPacIsl]]=1,1,0),IF(tblParticipants[[#This Row],[White]]=1,1,0))&gt;1,1,0)</f>
        <v>0</v>
      </c>
      <c r="BY20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0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0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06" s="11">
        <f>IF(tblParticipants[[#This Row],[EarnWg2Qae]]=1,IFERROR(tblParticipants[[#This Row],[HoursPerWk2Qae]]*tblParticipants[[#This Row],[HrlyWg2Qae]]*13,0),0)</f>
        <v>0</v>
      </c>
      <c r="CC206" s="11">
        <f>IF(tblParticipants[[#This Row],[EarnWg3Qae]]=1,IFERROR(tblParticipants[[#This Row],[HoursPerWk3Qae]]*tblParticipants[[#This Row],[HrlyWg3Qae]]*13,0),0)</f>
        <v>0</v>
      </c>
      <c r="CD206" s="9">
        <f>IFERROR(IF(SUM(tblParticipants[[#This Row],[EarnWg1Qae]],tblParticipants[[#This Row],[EarnWg2Qae]],tblParticipants[[#This Row],[EarnWg3Qae]])=3,1,0),0)</f>
        <v>0</v>
      </c>
      <c r="CE206" s="12">
        <f>IF(tblParticipants[[#This Row],[EmplAll3Qae]]=1,tblParticipants[[#This Row],[Earnings2Qae]]+tblParticipants[[#This Row],[Earnings3Qae]],0)</f>
        <v>0</v>
      </c>
      <c r="CF206" s="407"/>
    </row>
    <row r="207" spans="1:84" x14ac:dyDescent="0.3">
      <c r="A207" s="19"/>
      <c r="B207" s="19"/>
      <c r="C207" s="20"/>
      <c r="D207" s="20"/>
      <c r="E207" s="26"/>
      <c r="F207" s="26"/>
      <c r="G207" s="26"/>
      <c r="H207" s="26"/>
      <c r="I207" s="26"/>
      <c r="J207" s="26"/>
      <c r="K207" s="26"/>
      <c r="L207" s="26"/>
      <c r="M207" s="20"/>
      <c r="N207" s="26"/>
      <c r="O207" s="22"/>
      <c r="P207" s="21"/>
      <c r="Q207" s="23"/>
      <c r="R207" s="21"/>
      <c r="S207" s="21"/>
      <c r="T207" s="21"/>
      <c r="U207" s="21"/>
      <c r="V207" s="21"/>
      <c r="W207" s="24"/>
      <c r="X207" s="20"/>
      <c r="Y207" s="20"/>
      <c r="Z207" s="21"/>
      <c r="AA207" s="21"/>
      <c r="AB207" s="21"/>
      <c r="AC207" s="21"/>
      <c r="AD207" s="21"/>
      <c r="AE207" s="21"/>
      <c r="AF207" s="21"/>
      <c r="AG207" s="21"/>
      <c r="AH207" s="21"/>
      <c r="AI207" s="25"/>
      <c r="AJ207" s="20"/>
      <c r="AK207" s="21"/>
      <c r="AL207" s="20"/>
      <c r="AM207" s="20"/>
      <c r="AN207" s="20"/>
      <c r="AO207" s="20"/>
      <c r="AP207" s="446"/>
      <c r="AQ207" s="20"/>
      <c r="AR207" s="20"/>
      <c r="AS207" s="20"/>
      <c r="AT207" s="20"/>
      <c r="AU207" s="26"/>
      <c r="AV207" s="98"/>
      <c r="AW207" s="98"/>
      <c r="AX207" s="98"/>
      <c r="AY207" s="98"/>
      <c r="AZ207" s="98"/>
      <c r="BA207" s="217"/>
      <c r="BB207" s="98"/>
      <c r="BC207" s="98"/>
      <c r="BD207" s="98"/>
      <c r="BE207" s="98"/>
      <c r="BF207" s="98"/>
      <c r="BG207" s="219"/>
      <c r="BH207" s="219"/>
      <c r="BI207" s="219"/>
      <c r="BJ207" s="26"/>
      <c r="BK207" s="21"/>
      <c r="BL207" s="21"/>
      <c r="BM207" s="22"/>
      <c r="BN207" s="21"/>
      <c r="BO207" s="21"/>
      <c r="BP207" s="22"/>
      <c r="BQ207" s="21"/>
      <c r="BR207" s="21"/>
      <c r="BS207" s="22"/>
      <c r="BT20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07" s="109" t="str">
        <f>IF(ISNUMBER(tblParticipants[[#This Row],[SvcStartDate]]),IF(AND(tblParticipants[[#This Row],[EnrollQtr]]=1,tblParticipants[[#This Row],[SvcStartDate]]&lt;DATE(conProgYear,7,1)),1,""),"")</f>
        <v/>
      </c>
      <c r="BV20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07" s="232" t="str">
        <f t="shared" ca="1" si="3"/>
        <v/>
      </c>
      <c r="BX207" s="9">
        <f>IF(SUM(IF(tblParticipants[[#This Row],[AmIndOrAkNtv]]=1,1,0),IF(tblParticipants[[#This Row],[Asian]]=1,1,0),IF(tblParticipants[[#This Row],[BlkOrAfAmer]]=1,1,0),IF(tblParticipants[[#This Row],[NtvHawOrPacIsl]]=1,1,0),IF(tblParticipants[[#This Row],[White]]=1,1,0))&gt;1,1,0)</f>
        <v>0</v>
      </c>
      <c r="BY20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0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0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07" s="11">
        <f>IF(tblParticipants[[#This Row],[EarnWg2Qae]]=1,IFERROR(tblParticipants[[#This Row],[HoursPerWk2Qae]]*tblParticipants[[#This Row],[HrlyWg2Qae]]*13,0),0)</f>
        <v>0</v>
      </c>
      <c r="CC207" s="11">
        <f>IF(tblParticipants[[#This Row],[EarnWg3Qae]]=1,IFERROR(tblParticipants[[#This Row],[HoursPerWk3Qae]]*tblParticipants[[#This Row],[HrlyWg3Qae]]*13,0),0)</f>
        <v>0</v>
      </c>
      <c r="CD207" s="9">
        <f>IFERROR(IF(SUM(tblParticipants[[#This Row],[EarnWg1Qae]],tblParticipants[[#This Row],[EarnWg2Qae]],tblParticipants[[#This Row],[EarnWg3Qae]])=3,1,0),0)</f>
        <v>0</v>
      </c>
      <c r="CE207" s="12">
        <f>IF(tblParticipants[[#This Row],[EmplAll3Qae]]=1,tblParticipants[[#This Row],[Earnings2Qae]]+tblParticipants[[#This Row],[Earnings3Qae]],0)</f>
        <v>0</v>
      </c>
      <c r="CF207" s="407"/>
    </row>
    <row r="208" spans="1:84" x14ac:dyDescent="0.3">
      <c r="A208" s="19"/>
      <c r="B208" s="19"/>
      <c r="C208" s="20"/>
      <c r="D208" s="20"/>
      <c r="E208" s="26"/>
      <c r="F208" s="26"/>
      <c r="G208" s="26"/>
      <c r="H208" s="26"/>
      <c r="I208" s="26"/>
      <c r="J208" s="26"/>
      <c r="K208" s="26"/>
      <c r="L208" s="26"/>
      <c r="M208" s="20"/>
      <c r="N208" s="26"/>
      <c r="O208" s="22"/>
      <c r="P208" s="21"/>
      <c r="Q208" s="23"/>
      <c r="R208" s="21"/>
      <c r="S208" s="21"/>
      <c r="T208" s="21"/>
      <c r="U208" s="21"/>
      <c r="V208" s="21"/>
      <c r="W208" s="24"/>
      <c r="X208" s="20"/>
      <c r="Y208" s="20"/>
      <c r="Z208" s="21"/>
      <c r="AA208" s="21"/>
      <c r="AB208" s="21"/>
      <c r="AC208" s="21"/>
      <c r="AD208" s="21"/>
      <c r="AE208" s="21"/>
      <c r="AF208" s="21"/>
      <c r="AG208" s="21"/>
      <c r="AH208" s="21"/>
      <c r="AI208" s="25"/>
      <c r="AJ208" s="20"/>
      <c r="AK208" s="21"/>
      <c r="AL208" s="20"/>
      <c r="AM208" s="20"/>
      <c r="AN208" s="20"/>
      <c r="AO208" s="20"/>
      <c r="AP208" s="446"/>
      <c r="AQ208" s="20"/>
      <c r="AR208" s="20"/>
      <c r="AS208" s="20"/>
      <c r="AT208" s="20"/>
      <c r="AU208" s="26"/>
      <c r="AV208" s="98"/>
      <c r="AW208" s="98"/>
      <c r="AX208" s="98"/>
      <c r="AY208" s="98"/>
      <c r="AZ208" s="98"/>
      <c r="BA208" s="217"/>
      <c r="BB208" s="98"/>
      <c r="BC208" s="98"/>
      <c r="BD208" s="98"/>
      <c r="BE208" s="98"/>
      <c r="BF208" s="98"/>
      <c r="BG208" s="219"/>
      <c r="BH208" s="219"/>
      <c r="BI208" s="219"/>
      <c r="BJ208" s="26"/>
      <c r="BK208" s="21"/>
      <c r="BL208" s="21"/>
      <c r="BM208" s="22"/>
      <c r="BN208" s="21"/>
      <c r="BO208" s="21"/>
      <c r="BP208" s="22"/>
      <c r="BQ208" s="21"/>
      <c r="BR208" s="21"/>
      <c r="BS208" s="22"/>
      <c r="BT20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08" s="109" t="str">
        <f>IF(ISNUMBER(tblParticipants[[#This Row],[SvcStartDate]]),IF(AND(tblParticipants[[#This Row],[EnrollQtr]]=1,tblParticipants[[#This Row],[SvcStartDate]]&lt;DATE(conProgYear,7,1)),1,""),"")</f>
        <v/>
      </c>
      <c r="BV20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08" s="232" t="str">
        <f t="shared" ca="1" si="3"/>
        <v/>
      </c>
      <c r="BX208" s="9">
        <f>IF(SUM(IF(tblParticipants[[#This Row],[AmIndOrAkNtv]]=1,1,0),IF(tblParticipants[[#This Row],[Asian]]=1,1,0),IF(tblParticipants[[#This Row],[BlkOrAfAmer]]=1,1,0),IF(tblParticipants[[#This Row],[NtvHawOrPacIsl]]=1,1,0),IF(tblParticipants[[#This Row],[White]]=1,1,0))&gt;1,1,0)</f>
        <v>0</v>
      </c>
      <c r="BY20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0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0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08" s="11">
        <f>IF(tblParticipants[[#This Row],[EarnWg2Qae]]=1,IFERROR(tblParticipants[[#This Row],[HoursPerWk2Qae]]*tblParticipants[[#This Row],[HrlyWg2Qae]]*13,0),0)</f>
        <v>0</v>
      </c>
      <c r="CC208" s="11">
        <f>IF(tblParticipants[[#This Row],[EarnWg3Qae]]=1,IFERROR(tblParticipants[[#This Row],[HoursPerWk3Qae]]*tblParticipants[[#This Row],[HrlyWg3Qae]]*13,0),0)</f>
        <v>0</v>
      </c>
      <c r="CD208" s="9">
        <f>IFERROR(IF(SUM(tblParticipants[[#This Row],[EarnWg1Qae]],tblParticipants[[#This Row],[EarnWg2Qae]],tblParticipants[[#This Row],[EarnWg3Qae]])=3,1,0),0)</f>
        <v>0</v>
      </c>
      <c r="CE208" s="12">
        <f>IF(tblParticipants[[#This Row],[EmplAll3Qae]]=1,tblParticipants[[#This Row],[Earnings2Qae]]+tblParticipants[[#This Row],[Earnings3Qae]],0)</f>
        <v>0</v>
      </c>
      <c r="CF208" s="407"/>
    </row>
    <row r="209" spans="1:84" x14ac:dyDescent="0.3">
      <c r="A209" s="19"/>
      <c r="B209" s="19"/>
      <c r="C209" s="20"/>
      <c r="D209" s="20"/>
      <c r="E209" s="26"/>
      <c r="F209" s="26"/>
      <c r="G209" s="26"/>
      <c r="H209" s="26"/>
      <c r="I209" s="26"/>
      <c r="J209" s="26"/>
      <c r="K209" s="26"/>
      <c r="L209" s="26"/>
      <c r="M209" s="20"/>
      <c r="N209" s="26"/>
      <c r="O209" s="22"/>
      <c r="P209" s="21"/>
      <c r="Q209" s="23"/>
      <c r="R209" s="21"/>
      <c r="S209" s="21"/>
      <c r="T209" s="21"/>
      <c r="U209" s="21"/>
      <c r="V209" s="21"/>
      <c r="W209" s="24"/>
      <c r="X209" s="20"/>
      <c r="Y209" s="20"/>
      <c r="Z209" s="21"/>
      <c r="AA209" s="21"/>
      <c r="AB209" s="21"/>
      <c r="AC209" s="21"/>
      <c r="AD209" s="21"/>
      <c r="AE209" s="21"/>
      <c r="AF209" s="21"/>
      <c r="AG209" s="21"/>
      <c r="AH209" s="21"/>
      <c r="AI209" s="25"/>
      <c r="AJ209" s="20"/>
      <c r="AK209" s="21"/>
      <c r="AL209" s="20"/>
      <c r="AM209" s="20"/>
      <c r="AN209" s="20"/>
      <c r="AO209" s="20"/>
      <c r="AP209" s="446"/>
      <c r="AQ209" s="20"/>
      <c r="AR209" s="20"/>
      <c r="AS209" s="20"/>
      <c r="AT209" s="20"/>
      <c r="AU209" s="26"/>
      <c r="AV209" s="98"/>
      <c r="AW209" s="98"/>
      <c r="AX209" s="98"/>
      <c r="AY209" s="98"/>
      <c r="AZ209" s="98"/>
      <c r="BA209" s="217"/>
      <c r="BB209" s="98"/>
      <c r="BC209" s="98"/>
      <c r="BD209" s="98"/>
      <c r="BE209" s="98"/>
      <c r="BF209" s="98"/>
      <c r="BG209" s="219"/>
      <c r="BH209" s="219"/>
      <c r="BI209" s="219"/>
      <c r="BJ209" s="26"/>
      <c r="BK209" s="21"/>
      <c r="BL209" s="21"/>
      <c r="BM209" s="22"/>
      <c r="BN209" s="21"/>
      <c r="BO209" s="21"/>
      <c r="BP209" s="22"/>
      <c r="BQ209" s="21"/>
      <c r="BR209" s="21"/>
      <c r="BS209" s="22"/>
      <c r="BT20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09" s="109" t="str">
        <f>IF(ISNUMBER(tblParticipants[[#This Row],[SvcStartDate]]),IF(AND(tblParticipants[[#This Row],[EnrollQtr]]=1,tblParticipants[[#This Row],[SvcStartDate]]&lt;DATE(conProgYear,7,1)),1,""),"")</f>
        <v/>
      </c>
      <c r="BV20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09" s="232" t="str">
        <f t="shared" ca="1" si="3"/>
        <v/>
      </c>
      <c r="BX209" s="9">
        <f>IF(SUM(IF(tblParticipants[[#This Row],[AmIndOrAkNtv]]=1,1,0),IF(tblParticipants[[#This Row],[Asian]]=1,1,0),IF(tblParticipants[[#This Row],[BlkOrAfAmer]]=1,1,0),IF(tblParticipants[[#This Row],[NtvHawOrPacIsl]]=1,1,0),IF(tblParticipants[[#This Row],[White]]=1,1,0))&gt;1,1,0)</f>
        <v>0</v>
      </c>
      <c r="BY20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0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0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09" s="11">
        <f>IF(tblParticipants[[#This Row],[EarnWg2Qae]]=1,IFERROR(tblParticipants[[#This Row],[HoursPerWk2Qae]]*tblParticipants[[#This Row],[HrlyWg2Qae]]*13,0),0)</f>
        <v>0</v>
      </c>
      <c r="CC209" s="11">
        <f>IF(tblParticipants[[#This Row],[EarnWg3Qae]]=1,IFERROR(tblParticipants[[#This Row],[HoursPerWk3Qae]]*tblParticipants[[#This Row],[HrlyWg3Qae]]*13,0),0)</f>
        <v>0</v>
      </c>
      <c r="CD209" s="9">
        <f>IFERROR(IF(SUM(tblParticipants[[#This Row],[EarnWg1Qae]],tblParticipants[[#This Row],[EarnWg2Qae]],tblParticipants[[#This Row],[EarnWg3Qae]])=3,1,0),0)</f>
        <v>0</v>
      </c>
      <c r="CE209" s="12">
        <f>IF(tblParticipants[[#This Row],[EmplAll3Qae]]=1,tblParticipants[[#This Row],[Earnings2Qae]]+tblParticipants[[#This Row],[Earnings3Qae]],0)</f>
        <v>0</v>
      </c>
      <c r="CF209" s="407"/>
    </row>
    <row r="210" spans="1:84" x14ac:dyDescent="0.3">
      <c r="A210" s="19"/>
      <c r="B210" s="19"/>
      <c r="C210" s="20"/>
      <c r="D210" s="20"/>
      <c r="E210" s="26"/>
      <c r="F210" s="26"/>
      <c r="G210" s="26"/>
      <c r="H210" s="26"/>
      <c r="I210" s="26"/>
      <c r="J210" s="26"/>
      <c r="K210" s="26"/>
      <c r="L210" s="26"/>
      <c r="M210" s="20"/>
      <c r="N210" s="26"/>
      <c r="O210" s="22"/>
      <c r="P210" s="21"/>
      <c r="Q210" s="23"/>
      <c r="R210" s="21"/>
      <c r="S210" s="21"/>
      <c r="T210" s="21"/>
      <c r="U210" s="21"/>
      <c r="V210" s="21"/>
      <c r="W210" s="24"/>
      <c r="X210" s="20"/>
      <c r="Y210" s="20"/>
      <c r="Z210" s="21"/>
      <c r="AA210" s="21"/>
      <c r="AB210" s="21"/>
      <c r="AC210" s="21"/>
      <c r="AD210" s="21"/>
      <c r="AE210" s="21"/>
      <c r="AF210" s="21"/>
      <c r="AG210" s="21"/>
      <c r="AH210" s="21"/>
      <c r="AI210" s="25"/>
      <c r="AJ210" s="20"/>
      <c r="AK210" s="21"/>
      <c r="AL210" s="20"/>
      <c r="AM210" s="20"/>
      <c r="AN210" s="20"/>
      <c r="AO210" s="20"/>
      <c r="AP210" s="446"/>
      <c r="AQ210" s="20"/>
      <c r="AR210" s="20"/>
      <c r="AS210" s="20"/>
      <c r="AT210" s="20"/>
      <c r="AU210" s="26"/>
      <c r="AV210" s="98"/>
      <c r="AW210" s="98"/>
      <c r="AX210" s="98"/>
      <c r="AY210" s="98"/>
      <c r="AZ210" s="98"/>
      <c r="BA210" s="217"/>
      <c r="BB210" s="98"/>
      <c r="BC210" s="98"/>
      <c r="BD210" s="98"/>
      <c r="BE210" s="98"/>
      <c r="BF210" s="98"/>
      <c r="BG210" s="219"/>
      <c r="BH210" s="219"/>
      <c r="BI210" s="219"/>
      <c r="BJ210" s="26"/>
      <c r="BK210" s="21"/>
      <c r="BL210" s="21"/>
      <c r="BM210" s="22"/>
      <c r="BN210" s="21"/>
      <c r="BO210" s="21"/>
      <c r="BP210" s="22"/>
      <c r="BQ210" s="21"/>
      <c r="BR210" s="21"/>
      <c r="BS210" s="22"/>
      <c r="BT21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10" s="109" t="str">
        <f>IF(ISNUMBER(tblParticipants[[#This Row],[SvcStartDate]]),IF(AND(tblParticipants[[#This Row],[EnrollQtr]]=1,tblParticipants[[#This Row],[SvcStartDate]]&lt;DATE(conProgYear,7,1)),1,""),"")</f>
        <v/>
      </c>
      <c r="BV21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10" s="232" t="str">
        <f t="shared" ca="1" si="3"/>
        <v/>
      </c>
      <c r="BX210" s="9">
        <f>IF(SUM(IF(tblParticipants[[#This Row],[AmIndOrAkNtv]]=1,1,0),IF(tblParticipants[[#This Row],[Asian]]=1,1,0),IF(tblParticipants[[#This Row],[BlkOrAfAmer]]=1,1,0),IF(tblParticipants[[#This Row],[NtvHawOrPacIsl]]=1,1,0),IF(tblParticipants[[#This Row],[White]]=1,1,0))&gt;1,1,0)</f>
        <v>0</v>
      </c>
      <c r="BY21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1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1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10" s="11">
        <f>IF(tblParticipants[[#This Row],[EarnWg2Qae]]=1,IFERROR(tblParticipants[[#This Row],[HoursPerWk2Qae]]*tblParticipants[[#This Row],[HrlyWg2Qae]]*13,0),0)</f>
        <v>0</v>
      </c>
      <c r="CC210" s="11">
        <f>IF(tblParticipants[[#This Row],[EarnWg3Qae]]=1,IFERROR(tblParticipants[[#This Row],[HoursPerWk3Qae]]*tblParticipants[[#This Row],[HrlyWg3Qae]]*13,0),0)</f>
        <v>0</v>
      </c>
      <c r="CD210" s="9">
        <f>IFERROR(IF(SUM(tblParticipants[[#This Row],[EarnWg1Qae]],tblParticipants[[#This Row],[EarnWg2Qae]],tblParticipants[[#This Row],[EarnWg3Qae]])=3,1,0),0)</f>
        <v>0</v>
      </c>
      <c r="CE210" s="12">
        <f>IF(tblParticipants[[#This Row],[EmplAll3Qae]]=1,tblParticipants[[#This Row],[Earnings2Qae]]+tblParticipants[[#This Row],[Earnings3Qae]],0)</f>
        <v>0</v>
      </c>
      <c r="CF210" s="407"/>
    </row>
    <row r="211" spans="1:84" x14ac:dyDescent="0.3">
      <c r="A211" s="19"/>
      <c r="B211" s="19"/>
      <c r="C211" s="20"/>
      <c r="D211" s="20"/>
      <c r="E211" s="26"/>
      <c r="F211" s="26"/>
      <c r="G211" s="26"/>
      <c r="H211" s="26"/>
      <c r="I211" s="26"/>
      <c r="J211" s="26"/>
      <c r="K211" s="26"/>
      <c r="L211" s="26"/>
      <c r="M211" s="20"/>
      <c r="N211" s="26"/>
      <c r="O211" s="22"/>
      <c r="P211" s="21"/>
      <c r="Q211" s="23"/>
      <c r="R211" s="21"/>
      <c r="S211" s="21"/>
      <c r="T211" s="21"/>
      <c r="U211" s="21"/>
      <c r="V211" s="21"/>
      <c r="W211" s="24"/>
      <c r="X211" s="20"/>
      <c r="Y211" s="20"/>
      <c r="Z211" s="21"/>
      <c r="AA211" s="21"/>
      <c r="AB211" s="21"/>
      <c r="AC211" s="21"/>
      <c r="AD211" s="21"/>
      <c r="AE211" s="21"/>
      <c r="AF211" s="21"/>
      <c r="AG211" s="21"/>
      <c r="AH211" s="21"/>
      <c r="AI211" s="25"/>
      <c r="AJ211" s="20"/>
      <c r="AK211" s="21"/>
      <c r="AL211" s="20"/>
      <c r="AM211" s="20"/>
      <c r="AN211" s="20"/>
      <c r="AO211" s="20"/>
      <c r="AP211" s="446"/>
      <c r="AQ211" s="20"/>
      <c r="AR211" s="20"/>
      <c r="AS211" s="20"/>
      <c r="AT211" s="20"/>
      <c r="AU211" s="26"/>
      <c r="AV211" s="98"/>
      <c r="AW211" s="98"/>
      <c r="AX211" s="98"/>
      <c r="AY211" s="98"/>
      <c r="AZ211" s="98"/>
      <c r="BA211" s="217"/>
      <c r="BB211" s="98"/>
      <c r="BC211" s="98"/>
      <c r="BD211" s="98"/>
      <c r="BE211" s="98"/>
      <c r="BF211" s="98"/>
      <c r="BG211" s="219"/>
      <c r="BH211" s="219"/>
      <c r="BI211" s="219"/>
      <c r="BJ211" s="26"/>
      <c r="BK211" s="21"/>
      <c r="BL211" s="21"/>
      <c r="BM211" s="22"/>
      <c r="BN211" s="21"/>
      <c r="BO211" s="21"/>
      <c r="BP211" s="22"/>
      <c r="BQ211" s="21"/>
      <c r="BR211" s="21"/>
      <c r="BS211" s="22"/>
      <c r="BT21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11" s="109" t="str">
        <f>IF(ISNUMBER(tblParticipants[[#This Row],[SvcStartDate]]),IF(AND(tblParticipants[[#This Row],[EnrollQtr]]=1,tblParticipants[[#This Row],[SvcStartDate]]&lt;DATE(conProgYear,7,1)),1,""),"")</f>
        <v/>
      </c>
      <c r="BV21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11" s="232" t="str">
        <f t="shared" ca="1" si="3"/>
        <v/>
      </c>
      <c r="BX211" s="9">
        <f>IF(SUM(IF(tblParticipants[[#This Row],[AmIndOrAkNtv]]=1,1,0),IF(tblParticipants[[#This Row],[Asian]]=1,1,0),IF(tblParticipants[[#This Row],[BlkOrAfAmer]]=1,1,0),IF(tblParticipants[[#This Row],[NtvHawOrPacIsl]]=1,1,0),IF(tblParticipants[[#This Row],[White]]=1,1,0))&gt;1,1,0)</f>
        <v>0</v>
      </c>
      <c r="BY21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1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1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11" s="11">
        <f>IF(tblParticipants[[#This Row],[EarnWg2Qae]]=1,IFERROR(tblParticipants[[#This Row],[HoursPerWk2Qae]]*tblParticipants[[#This Row],[HrlyWg2Qae]]*13,0),0)</f>
        <v>0</v>
      </c>
      <c r="CC211" s="11">
        <f>IF(tblParticipants[[#This Row],[EarnWg3Qae]]=1,IFERROR(tblParticipants[[#This Row],[HoursPerWk3Qae]]*tblParticipants[[#This Row],[HrlyWg3Qae]]*13,0),0)</f>
        <v>0</v>
      </c>
      <c r="CD211" s="9">
        <f>IFERROR(IF(SUM(tblParticipants[[#This Row],[EarnWg1Qae]],tblParticipants[[#This Row],[EarnWg2Qae]],tblParticipants[[#This Row],[EarnWg3Qae]])=3,1,0),0)</f>
        <v>0</v>
      </c>
      <c r="CE211" s="12">
        <f>IF(tblParticipants[[#This Row],[EmplAll3Qae]]=1,tblParticipants[[#This Row],[Earnings2Qae]]+tblParticipants[[#This Row],[Earnings3Qae]],0)</f>
        <v>0</v>
      </c>
      <c r="CF211" s="407"/>
    </row>
    <row r="212" spans="1:84" x14ac:dyDescent="0.3">
      <c r="A212" s="19"/>
      <c r="B212" s="19"/>
      <c r="C212" s="20"/>
      <c r="D212" s="20"/>
      <c r="E212" s="26"/>
      <c r="F212" s="26"/>
      <c r="G212" s="26"/>
      <c r="H212" s="26"/>
      <c r="I212" s="26"/>
      <c r="J212" s="26"/>
      <c r="K212" s="26"/>
      <c r="L212" s="26"/>
      <c r="M212" s="20"/>
      <c r="N212" s="26"/>
      <c r="O212" s="22"/>
      <c r="P212" s="21"/>
      <c r="Q212" s="23"/>
      <c r="R212" s="21"/>
      <c r="S212" s="21"/>
      <c r="T212" s="21"/>
      <c r="U212" s="21"/>
      <c r="V212" s="21"/>
      <c r="W212" s="24"/>
      <c r="X212" s="20"/>
      <c r="Y212" s="20"/>
      <c r="Z212" s="21"/>
      <c r="AA212" s="21"/>
      <c r="AB212" s="21"/>
      <c r="AC212" s="21"/>
      <c r="AD212" s="21"/>
      <c r="AE212" s="21"/>
      <c r="AF212" s="21"/>
      <c r="AG212" s="21"/>
      <c r="AH212" s="21"/>
      <c r="AI212" s="25"/>
      <c r="AJ212" s="20"/>
      <c r="AK212" s="21"/>
      <c r="AL212" s="20"/>
      <c r="AM212" s="20"/>
      <c r="AN212" s="20"/>
      <c r="AO212" s="20"/>
      <c r="AP212" s="446"/>
      <c r="AQ212" s="20"/>
      <c r="AR212" s="20"/>
      <c r="AS212" s="20"/>
      <c r="AT212" s="20"/>
      <c r="AU212" s="26"/>
      <c r="AV212" s="98"/>
      <c r="AW212" s="98"/>
      <c r="AX212" s="98"/>
      <c r="AY212" s="98"/>
      <c r="AZ212" s="98"/>
      <c r="BA212" s="217"/>
      <c r="BB212" s="98"/>
      <c r="BC212" s="98"/>
      <c r="BD212" s="98"/>
      <c r="BE212" s="98"/>
      <c r="BF212" s="98"/>
      <c r="BG212" s="219"/>
      <c r="BH212" s="219"/>
      <c r="BI212" s="219"/>
      <c r="BJ212" s="26"/>
      <c r="BK212" s="21"/>
      <c r="BL212" s="21"/>
      <c r="BM212" s="22"/>
      <c r="BN212" s="21"/>
      <c r="BO212" s="21"/>
      <c r="BP212" s="22"/>
      <c r="BQ212" s="21"/>
      <c r="BR212" s="21"/>
      <c r="BS212" s="22"/>
      <c r="BT21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12" s="109" t="str">
        <f>IF(ISNUMBER(tblParticipants[[#This Row],[SvcStartDate]]),IF(AND(tblParticipants[[#This Row],[EnrollQtr]]=1,tblParticipants[[#This Row],[SvcStartDate]]&lt;DATE(conProgYear,7,1)),1,""),"")</f>
        <v/>
      </c>
      <c r="BV21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12" s="232" t="str">
        <f t="shared" ca="1" si="3"/>
        <v/>
      </c>
      <c r="BX212" s="9">
        <f>IF(SUM(IF(tblParticipants[[#This Row],[AmIndOrAkNtv]]=1,1,0),IF(tblParticipants[[#This Row],[Asian]]=1,1,0),IF(tblParticipants[[#This Row],[BlkOrAfAmer]]=1,1,0),IF(tblParticipants[[#This Row],[NtvHawOrPacIsl]]=1,1,0),IF(tblParticipants[[#This Row],[White]]=1,1,0))&gt;1,1,0)</f>
        <v>0</v>
      </c>
      <c r="BY21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1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1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12" s="11">
        <f>IF(tblParticipants[[#This Row],[EarnWg2Qae]]=1,IFERROR(tblParticipants[[#This Row],[HoursPerWk2Qae]]*tblParticipants[[#This Row],[HrlyWg2Qae]]*13,0),0)</f>
        <v>0</v>
      </c>
      <c r="CC212" s="11">
        <f>IF(tblParticipants[[#This Row],[EarnWg3Qae]]=1,IFERROR(tblParticipants[[#This Row],[HoursPerWk3Qae]]*tblParticipants[[#This Row],[HrlyWg3Qae]]*13,0),0)</f>
        <v>0</v>
      </c>
      <c r="CD212" s="9">
        <f>IFERROR(IF(SUM(tblParticipants[[#This Row],[EarnWg1Qae]],tblParticipants[[#This Row],[EarnWg2Qae]],tblParticipants[[#This Row],[EarnWg3Qae]])=3,1,0),0)</f>
        <v>0</v>
      </c>
      <c r="CE212" s="12">
        <f>IF(tblParticipants[[#This Row],[EmplAll3Qae]]=1,tblParticipants[[#This Row],[Earnings2Qae]]+tblParticipants[[#This Row],[Earnings3Qae]],0)</f>
        <v>0</v>
      </c>
      <c r="CF212" s="407"/>
    </row>
    <row r="213" spans="1:84" x14ac:dyDescent="0.3">
      <c r="A213" s="19"/>
      <c r="B213" s="19"/>
      <c r="C213" s="20"/>
      <c r="D213" s="20"/>
      <c r="E213" s="26"/>
      <c r="F213" s="26"/>
      <c r="G213" s="26"/>
      <c r="H213" s="26"/>
      <c r="I213" s="26"/>
      <c r="J213" s="26"/>
      <c r="K213" s="26"/>
      <c r="L213" s="26"/>
      <c r="M213" s="20"/>
      <c r="N213" s="26"/>
      <c r="O213" s="22"/>
      <c r="P213" s="21"/>
      <c r="Q213" s="23"/>
      <c r="R213" s="21"/>
      <c r="S213" s="21"/>
      <c r="T213" s="21"/>
      <c r="U213" s="21"/>
      <c r="V213" s="21"/>
      <c r="W213" s="24"/>
      <c r="X213" s="20"/>
      <c r="Y213" s="20"/>
      <c r="Z213" s="21"/>
      <c r="AA213" s="21"/>
      <c r="AB213" s="21"/>
      <c r="AC213" s="21"/>
      <c r="AD213" s="21"/>
      <c r="AE213" s="21"/>
      <c r="AF213" s="21"/>
      <c r="AG213" s="21"/>
      <c r="AH213" s="21"/>
      <c r="AI213" s="25"/>
      <c r="AJ213" s="20"/>
      <c r="AK213" s="21"/>
      <c r="AL213" s="20"/>
      <c r="AM213" s="20"/>
      <c r="AN213" s="20"/>
      <c r="AO213" s="20"/>
      <c r="AP213" s="446"/>
      <c r="AQ213" s="20"/>
      <c r="AR213" s="20"/>
      <c r="AS213" s="20"/>
      <c r="AT213" s="20"/>
      <c r="AU213" s="26"/>
      <c r="AV213" s="98"/>
      <c r="AW213" s="98"/>
      <c r="AX213" s="98"/>
      <c r="AY213" s="98"/>
      <c r="AZ213" s="98"/>
      <c r="BA213" s="217"/>
      <c r="BB213" s="98"/>
      <c r="BC213" s="98"/>
      <c r="BD213" s="98"/>
      <c r="BE213" s="98"/>
      <c r="BF213" s="98"/>
      <c r="BG213" s="219"/>
      <c r="BH213" s="219"/>
      <c r="BI213" s="219"/>
      <c r="BJ213" s="26"/>
      <c r="BK213" s="21"/>
      <c r="BL213" s="21"/>
      <c r="BM213" s="22"/>
      <c r="BN213" s="21"/>
      <c r="BO213" s="21"/>
      <c r="BP213" s="22"/>
      <c r="BQ213" s="21"/>
      <c r="BR213" s="21"/>
      <c r="BS213" s="22"/>
      <c r="BT21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13" s="109" t="str">
        <f>IF(ISNUMBER(tblParticipants[[#This Row],[SvcStartDate]]),IF(AND(tblParticipants[[#This Row],[EnrollQtr]]=1,tblParticipants[[#This Row],[SvcStartDate]]&lt;DATE(conProgYear,7,1)),1,""),"")</f>
        <v/>
      </c>
      <c r="BV21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13" s="232" t="str">
        <f t="shared" ca="1" si="3"/>
        <v/>
      </c>
      <c r="BX213" s="9">
        <f>IF(SUM(IF(tblParticipants[[#This Row],[AmIndOrAkNtv]]=1,1,0),IF(tblParticipants[[#This Row],[Asian]]=1,1,0),IF(tblParticipants[[#This Row],[BlkOrAfAmer]]=1,1,0),IF(tblParticipants[[#This Row],[NtvHawOrPacIsl]]=1,1,0),IF(tblParticipants[[#This Row],[White]]=1,1,0))&gt;1,1,0)</f>
        <v>0</v>
      </c>
      <c r="BY21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1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1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13" s="11">
        <f>IF(tblParticipants[[#This Row],[EarnWg2Qae]]=1,IFERROR(tblParticipants[[#This Row],[HoursPerWk2Qae]]*tblParticipants[[#This Row],[HrlyWg2Qae]]*13,0),0)</f>
        <v>0</v>
      </c>
      <c r="CC213" s="11">
        <f>IF(tblParticipants[[#This Row],[EarnWg3Qae]]=1,IFERROR(tblParticipants[[#This Row],[HoursPerWk3Qae]]*tblParticipants[[#This Row],[HrlyWg3Qae]]*13,0),0)</f>
        <v>0</v>
      </c>
      <c r="CD213" s="9">
        <f>IFERROR(IF(SUM(tblParticipants[[#This Row],[EarnWg1Qae]],tblParticipants[[#This Row],[EarnWg2Qae]],tblParticipants[[#This Row],[EarnWg3Qae]])=3,1,0),0)</f>
        <v>0</v>
      </c>
      <c r="CE213" s="12">
        <f>IF(tblParticipants[[#This Row],[EmplAll3Qae]]=1,tblParticipants[[#This Row],[Earnings2Qae]]+tblParticipants[[#This Row],[Earnings3Qae]],0)</f>
        <v>0</v>
      </c>
      <c r="CF213" s="407"/>
    </row>
    <row r="214" spans="1:84" x14ac:dyDescent="0.3">
      <c r="A214" s="19"/>
      <c r="B214" s="19"/>
      <c r="C214" s="20"/>
      <c r="D214" s="20"/>
      <c r="E214" s="26"/>
      <c r="F214" s="26"/>
      <c r="G214" s="26"/>
      <c r="H214" s="26"/>
      <c r="I214" s="26"/>
      <c r="J214" s="26"/>
      <c r="K214" s="26"/>
      <c r="L214" s="26"/>
      <c r="M214" s="20"/>
      <c r="N214" s="26"/>
      <c r="O214" s="22"/>
      <c r="P214" s="21"/>
      <c r="Q214" s="23"/>
      <c r="R214" s="21"/>
      <c r="S214" s="21"/>
      <c r="T214" s="21"/>
      <c r="U214" s="21"/>
      <c r="V214" s="21"/>
      <c r="W214" s="24"/>
      <c r="X214" s="20"/>
      <c r="Y214" s="20"/>
      <c r="Z214" s="21"/>
      <c r="AA214" s="21"/>
      <c r="AB214" s="21"/>
      <c r="AC214" s="21"/>
      <c r="AD214" s="21"/>
      <c r="AE214" s="21"/>
      <c r="AF214" s="21"/>
      <c r="AG214" s="21"/>
      <c r="AH214" s="21"/>
      <c r="AI214" s="25"/>
      <c r="AJ214" s="20"/>
      <c r="AK214" s="21"/>
      <c r="AL214" s="20"/>
      <c r="AM214" s="20"/>
      <c r="AN214" s="20"/>
      <c r="AO214" s="20"/>
      <c r="AP214" s="446"/>
      <c r="AQ214" s="20"/>
      <c r="AR214" s="20"/>
      <c r="AS214" s="20"/>
      <c r="AT214" s="20"/>
      <c r="AU214" s="26"/>
      <c r="AV214" s="98"/>
      <c r="AW214" s="98"/>
      <c r="AX214" s="98"/>
      <c r="AY214" s="98"/>
      <c r="AZ214" s="98"/>
      <c r="BA214" s="217"/>
      <c r="BB214" s="98"/>
      <c r="BC214" s="98"/>
      <c r="BD214" s="98"/>
      <c r="BE214" s="98"/>
      <c r="BF214" s="98"/>
      <c r="BG214" s="219"/>
      <c r="BH214" s="219"/>
      <c r="BI214" s="219"/>
      <c r="BJ214" s="26"/>
      <c r="BK214" s="21"/>
      <c r="BL214" s="21"/>
      <c r="BM214" s="22"/>
      <c r="BN214" s="21"/>
      <c r="BO214" s="21"/>
      <c r="BP214" s="22"/>
      <c r="BQ214" s="21"/>
      <c r="BR214" s="21"/>
      <c r="BS214" s="22"/>
      <c r="BT21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14" s="109" t="str">
        <f>IF(ISNUMBER(tblParticipants[[#This Row],[SvcStartDate]]),IF(AND(tblParticipants[[#This Row],[EnrollQtr]]=1,tblParticipants[[#This Row],[SvcStartDate]]&lt;DATE(conProgYear,7,1)),1,""),"")</f>
        <v/>
      </c>
      <c r="BV21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14" s="232" t="str">
        <f t="shared" ca="1" si="3"/>
        <v/>
      </c>
      <c r="BX214" s="9">
        <f>IF(SUM(IF(tblParticipants[[#This Row],[AmIndOrAkNtv]]=1,1,0),IF(tblParticipants[[#This Row],[Asian]]=1,1,0),IF(tblParticipants[[#This Row],[BlkOrAfAmer]]=1,1,0),IF(tblParticipants[[#This Row],[NtvHawOrPacIsl]]=1,1,0),IF(tblParticipants[[#This Row],[White]]=1,1,0))&gt;1,1,0)</f>
        <v>0</v>
      </c>
      <c r="BY21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1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1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14" s="11">
        <f>IF(tblParticipants[[#This Row],[EarnWg2Qae]]=1,IFERROR(tblParticipants[[#This Row],[HoursPerWk2Qae]]*tblParticipants[[#This Row],[HrlyWg2Qae]]*13,0),0)</f>
        <v>0</v>
      </c>
      <c r="CC214" s="11">
        <f>IF(tblParticipants[[#This Row],[EarnWg3Qae]]=1,IFERROR(tblParticipants[[#This Row],[HoursPerWk3Qae]]*tblParticipants[[#This Row],[HrlyWg3Qae]]*13,0),0)</f>
        <v>0</v>
      </c>
      <c r="CD214" s="9">
        <f>IFERROR(IF(SUM(tblParticipants[[#This Row],[EarnWg1Qae]],tblParticipants[[#This Row],[EarnWg2Qae]],tblParticipants[[#This Row],[EarnWg3Qae]])=3,1,0),0)</f>
        <v>0</v>
      </c>
      <c r="CE214" s="12">
        <f>IF(tblParticipants[[#This Row],[EmplAll3Qae]]=1,tblParticipants[[#This Row],[Earnings2Qae]]+tblParticipants[[#This Row],[Earnings3Qae]],0)</f>
        <v>0</v>
      </c>
      <c r="CF214" s="407"/>
    </row>
    <row r="215" spans="1:84" x14ac:dyDescent="0.3">
      <c r="A215" s="19"/>
      <c r="B215" s="19"/>
      <c r="C215" s="20"/>
      <c r="D215" s="20"/>
      <c r="E215" s="26"/>
      <c r="F215" s="26"/>
      <c r="G215" s="26"/>
      <c r="H215" s="26"/>
      <c r="I215" s="26"/>
      <c r="J215" s="26"/>
      <c r="K215" s="26"/>
      <c r="L215" s="26"/>
      <c r="M215" s="20"/>
      <c r="N215" s="26"/>
      <c r="O215" s="22"/>
      <c r="P215" s="21"/>
      <c r="Q215" s="23"/>
      <c r="R215" s="21"/>
      <c r="S215" s="21"/>
      <c r="T215" s="21"/>
      <c r="U215" s="21"/>
      <c r="V215" s="21"/>
      <c r="W215" s="24"/>
      <c r="X215" s="20"/>
      <c r="Y215" s="20"/>
      <c r="Z215" s="21"/>
      <c r="AA215" s="21"/>
      <c r="AB215" s="21"/>
      <c r="AC215" s="21"/>
      <c r="AD215" s="21"/>
      <c r="AE215" s="21"/>
      <c r="AF215" s="21"/>
      <c r="AG215" s="21"/>
      <c r="AH215" s="21"/>
      <c r="AI215" s="25"/>
      <c r="AJ215" s="20"/>
      <c r="AK215" s="21"/>
      <c r="AL215" s="20"/>
      <c r="AM215" s="20"/>
      <c r="AN215" s="20"/>
      <c r="AO215" s="20"/>
      <c r="AP215" s="446"/>
      <c r="AQ215" s="20"/>
      <c r="AR215" s="20"/>
      <c r="AS215" s="20"/>
      <c r="AT215" s="20"/>
      <c r="AU215" s="26"/>
      <c r="AV215" s="98"/>
      <c r="AW215" s="98"/>
      <c r="AX215" s="98"/>
      <c r="AY215" s="98"/>
      <c r="AZ215" s="98"/>
      <c r="BA215" s="217"/>
      <c r="BB215" s="98"/>
      <c r="BC215" s="98"/>
      <c r="BD215" s="98"/>
      <c r="BE215" s="98"/>
      <c r="BF215" s="98"/>
      <c r="BG215" s="219"/>
      <c r="BH215" s="219"/>
      <c r="BI215" s="219"/>
      <c r="BJ215" s="26"/>
      <c r="BK215" s="21"/>
      <c r="BL215" s="21"/>
      <c r="BM215" s="22"/>
      <c r="BN215" s="21"/>
      <c r="BO215" s="21"/>
      <c r="BP215" s="22"/>
      <c r="BQ215" s="21"/>
      <c r="BR215" s="21"/>
      <c r="BS215" s="22"/>
      <c r="BT21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15" s="109" t="str">
        <f>IF(ISNUMBER(tblParticipants[[#This Row],[SvcStartDate]]),IF(AND(tblParticipants[[#This Row],[EnrollQtr]]=1,tblParticipants[[#This Row],[SvcStartDate]]&lt;DATE(conProgYear,7,1)),1,""),"")</f>
        <v/>
      </c>
      <c r="BV21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15" s="232" t="str">
        <f t="shared" ca="1" si="3"/>
        <v/>
      </c>
      <c r="BX215" s="9">
        <f>IF(SUM(IF(tblParticipants[[#This Row],[AmIndOrAkNtv]]=1,1,0),IF(tblParticipants[[#This Row],[Asian]]=1,1,0),IF(tblParticipants[[#This Row],[BlkOrAfAmer]]=1,1,0),IF(tblParticipants[[#This Row],[NtvHawOrPacIsl]]=1,1,0),IF(tblParticipants[[#This Row],[White]]=1,1,0))&gt;1,1,0)</f>
        <v>0</v>
      </c>
      <c r="BY21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1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1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15" s="11">
        <f>IF(tblParticipants[[#This Row],[EarnWg2Qae]]=1,IFERROR(tblParticipants[[#This Row],[HoursPerWk2Qae]]*tblParticipants[[#This Row],[HrlyWg2Qae]]*13,0),0)</f>
        <v>0</v>
      </c>
      <c r="CC215" s="11">
        <f>IF(tblParticipants[[#This Row],[EarnWg3Qae]]=1,IFERROR(tblParticipants[[#This Row],[HoursPerWk3Qae]]*tblParticipants[[#This Row],[HrlyWg3Qae]]*13,0),0)</f>
        <v>0</v>
      </c>
      <c r="CD215" s="9">
        <f>IFERROR(IF(SUM(tblParticipants[[#This Row],[EarnWg1Qae]],tblParticipants[[#This Row],[EarnWg2Qae]],tblParticipants[[#This Row],[EarnWg3Qae]])=3,1,0),0)</f>
        <v>0</v>
      </c>
      <c r="CE215" s="12">
        <f>IF(tblParticipants[[#This Row],[EmplAll3Qae]]=1,tblParticipants[[#This Row],[Earnings2Qae]]+tblParticipants[[#This Row],[Earnings3Qae]],0)</f>
        <v>0</v>
      </c>
      <c r="CF215" s="407"/>
    </row>
    <row r="216" spans="1:84" x14ac:dyDescent="0.3">
      <c r="A216" s="19"/>
      <c r="B216" s="19"/>
      <c r="C216" s="20"/>
      <c r="D216" s="20"/>
      <c r="E216" s="26"/>
      <c r="F216" s="26"/>
      <c r="G216" s="26"/>
      <c r="H216" s="26"/>
      <c r="I216" s="26"/>
      <c r="J216" s="26"/>
      <c r="K216" s="26"/>
      <c r="L216" s="26"/>
      <c r="M216" s="20"/>
      <c r="N216" s="26"/>
      <c r="O216" s="22"/>
      <c r="P216" s="21"/>
      <c r="Q216" s="23"/>
      <c r="R216" s="21"/>
      <c r="S216" s="21"/>
      <c r="T216" s="21"/>
      <c r="U216" s="21"/>
      <c r="V216" s="21"/>
      <c r="W216" s="24"/>
      <c r="X216" s="20"/>
      <c r="Y216" s="20"/>
      <c r="Z216" s="21"/>
      <c r="AA216" s="21"/>
      <c r="AB216" s="21"/>
      <c r="AC216" s="21"/>
      <c r="AD216" s="21"/>
      <c r="AE216" s="21"/>
      <c r="AF216" s="21"/>
      <c r="AG216" s="21"/>
      <c r="AH216" s="21"/>
      <c r="AI216" s="25"/>
      <c r="AJ216" s="20"/>
      <c r="AK216" s="21"/>
      <c r="AL216" s="20"/>
      <c r="AM216" s="20"/>
      <c r="AN216" s="20"/>
      <c r="AO216" s="20"/>
      <c r="AP216" s="446"/>
      <c r="AQ216" s="20"/>
      <c r="AR216" s="20"/>
      <c r="AS216" s="20"/>
      <c r="AT216" s="20"/>
      <c r="AU216" s="26"/>
      <c r="AV216" s="98"/>
      <c r="AW216" s="98"/>
      <c r="AX216" s="98"/>
      <c r="AY216" s="98"/>
      <c r="AZ216" s="98"/>
      <c r="BA216" s="217"/>
      <c r="BB216" s="98"/>
      <c r="BC216" s="98"/>
      <c r="BD216" s="98"/>
      <c r="BE216" s="98"/>
      <c r="BF216" s="98"/>
      <c r="BG216" s="219"/>
      <c r="BH216" s="219"/>
      <c r="BI216" s="219"/>
      <c r="BJ216" s="26"/>
      <c r="BK216" s="21"/>
      <c r="BL216" s="21"/>
      <c r="BM216" s="22"/>
      <c r="BN216" s="21"/>
      <c r="BO216" s="21"/>
      <c r="BP216" s="22"/>
      <c r="BQ216" s="21"/>
      <c r="BR216" s="21"/>
      <c r="BS216" s="22"/>
      <c r="BT21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16" s="109" t="str">
        <f>IF(ISNUMBER(tblParticipants[[#This Row],[SvcStartDate]]),IF(AND(tblParticipants[[#This Row],[EnrollQtr]]=1,tblParticipants[[#This Row],[SvcStartDate]]&lt;DATE(conProgYear,7,1)),1,""),"")</f>
        <v/>
      </c>
      <c r="BV21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16" s="232" t="str">
        <f t="shared" ca="1" si="3"/>
        <v/>
      </c>
      <c r="BX216" s="9">
        <f>IF(SUM(IF(tblParticipants[[#This Row],[AmIndOrAkNtv]]=1,1,0),IF(tblParticipants[[#This Row],[Asian]]=1,1,0),IF(tblParticipants[[#This Row],[BlkOrAfAmer]]=1,1,0),IF(tblParticipants[[#This Row],[NtvHawOrPacIsl]]=1,1,0),IF(tblParticipants[[#This Row],[White]]=1,1,0))&gt;1,1,0)</f>
        <v>0</v>
      </c>
      <c r="BY21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1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1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16" s="11">
        <f>IF(tblParticipants[[#This Row],[EarnWg2Qae]]=1,IFERROR(tblParticipants[[#This Row],[HoursPerWk2Qae]]*tblParticipants[[#This Row],[HrlyWg2Qae]]*13,0),0)</f>
        <v>0</v>
      </c>
      <c r="CC216" s="11">
        <f>IF(tblParticipants[[#This Row],[EarnWg3Qae]]=1,IFERROR(tblParticipants[[#This Row],[HoursPerWk3Qae]]*tblParticipants[[#This Row],[HrlyWg3Qae]]*13,0),0)</f>
        <v>0</v>
      </c>
      <c r="CD216" s="9">
        <f>IFERROR(IF(SUM(tblParticipants[[#This Row],[EarnWg1Qae]],tblParticipants[[#This Row],[EarnWg2Qae]],tblParticipants[[#This Row],[EarnWg3Qae]])=3,1,0),0)</f>
        <v>0</v>
      </c>
      <c r="CE216" s="12">
        <f>IF(tblParticipants[[#This Row],[EmplAll3Qae]]=1,tblParticipants[[#This Row],[Earnings2Qae]]+tblParticipants[[#This Row],[Earnings3Qae]],0)</f>
        <v>0</v>
      </c>
      <c r="CF216" s="407"/>
    </row>
    <row r="217" spans="1:84" x14ac:dyDescent="0.3">
      <c r="A217" s="19"/>
      <c r="B217" s="19"/>
      <c r="C217" s="20"/>
      <c r="D217" s="20"/>
      <c r="E217" s="26"/>
      <c r="F217" s="26"/>
      <c r="G217" s="26"/>
      <c r="H217" s="26"/>
      <c r="I217" s="26"/>
      <c r="J217" s="26"/>
      <c r="K217" s="26"/>
      <c r="L217" s="26"/>
      <c r="M217" s="20"/>
      <c r="N217" s="26"/>
      <c r="O217" s="22"/>
      <c r="P217" s="21"/>
      <c r="Q217" s="23"/>
      <c r="R217" s="21"/>
      <c r="S217" s="21"/>
      <c r="T217" s="21"/>
      <c r="U217" s="21"/>
      <c r="V217" s="21"/>
      <c r="W217" s="24"/>
      <c r="X217" s="20"/>
      <c r="Y217" s="20"/>
      <c r="Z217" s="21"/>
      <c r="AA217" s="21"/>
      <c r="AB217" s="21"/>
      <c r="AC217" s="21"/>
      <c r="AD217" s="21"/>
      <c r="AE217" s="21"/>
      <c r="AF217" s="21"/>
      <c r="AG217" s="21"/>
      <c r="AH217" s="21"/>
      <c r="AI217" s="25"/>
      <c r="AJ217" s="20"/>
      <c r="AK217" s="21"/>
      <c r="AL217" s="20"/>
      <c r="AM217" s="20"/>
      <c r="AN217" s="20"/>
      <c r="AO217" s="20"/>
      <c r="AP217" s="446"/>
      <c r="AQ217" s="20"/>
      <c r="AR217" s="20"/>
      <c r="AS217" s="20"/>
      <c r="AT217" s="20"/>
      <c r="AU217" s="26"/>
      <c r="AV217" s="98"/>
      <c r="AW217" s="98"/>
      <c r="AX217" s="98"/>
      <c r="AY217" s="98"/>
      <c r="AZ217" s="98"/>
      <c r="BA217" s="217"/>
      <c r="BB217" s="98"/>
      <c r="BC217" s="98"/>
      <c r="BD217" s="98"/>
      <c r="BE217" s="98"/>
      <c r="BF217" s="98"/>
      <c r="BG217" s="219"/>
      <c r="BH217" s="219"/>
      <c r="BI217" s="219"/>
      <c r="BJ217" s="26"/>
      <c r="BK217" s="21"/>
      <c r="BL217" s="21"/>
      <c r="BM217" s="22"/>
      <c r="BN217" s="21"/>
      <c r="BO217" s="21"/>
      <c r="BP217" s="22"/>
      <c r="BQ217" s="21"/>
      <c r="BR217" s="21"/>
      <c r="BS217" s="22"/>
      <c r="BT21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17" s="109" t="str">
        <f>IF(ISNUMBER(tblParticipants[[#This Row],[SvcStartDate]]),IF(AND(tblParticipants[[#This Row],[EnrollQtr]]=1,tblParticipants[[#This Row],[SvcStartDate]]&lt;DATE(conProgYear,7,1)),1,""),"")</f>
        <v/>
      </c>
      <c r="BV21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17" s="232" t="str">
        <f t="shared" ca="1" si="3"/>
        <v/>
      </c>
      <c r="BX217" s="9">
        <f>IF(SUM(IF(tblParticipants[[#This Row],[AmIndOrAkNtv]]=1,1,0),IF(tblParticipants[[#This Row],[Asian]]=1,1,0),IF(tblParticipants[[#This Row],[BlkOrAfAmer]]=1,1,0),IF(tblParticipants[[#This Row],[NtvHawOrPacIsl]]=1,1,0),IF(tblParticipants[[#This Row],[White]]=1,1,0))&gt;1,1,0)</f>
        <v>0</v>
      </c>
      <c r="BY21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1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1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17" s="11">
        <f>IF(tblParticipants[[#This Row],[EarnWg2Qae]]=1,IFERROR(tblParticipants[[#This Row],[HoursPerWk2Qae]]*tblParticipants[[#This Row],[HrlyWg2Qae]]*13,0),0)</f>
        <v>0</v>
      </c>
      <c r="CC217" s="11">
        <f>IF(tblParticipants[[#This Row],[EarnWg3Qae]]=1,IFERROR(tblParticipants[[#This Row],[HoursPerWk3Qae]]*tblParticipants[[#This Row],[HrlyWg3Qae]]*13,0),0)</f>
        <v>0</v>
      </c>
      <c r="CD217" s="9">
        <f>IFERROR(IF(SUM(tblParticipants[[#This Row],[EarnWg1Qae]],tblParticipants[[#This Row],[EarnWg2Qae]],tblParticipants[[#This Row],[EarnWg3Qae]])=3,1,0),0)</f>
        <v>0</v>
      </c>
      <c r="CE217" s="12">
        <f>IF(tblParticipants[[#This Row],[EmplAll3Qae]]=1,tblParticipants[[#This Row],[Earnings2Qae]]+tblParticipants[[#This Row],[Earnings3Qae]],0)</f>
        <v>0</v>
      </c>
      <c r="CF217" s="407"/>
    </row>
    <row r="218" spans="1:84" x14ac:dyDescent="0.3">
      <c r="A218" s="19"/>
      <c r="B218" s="19"/>
      <c r="C218" s="20"/>
      <c r="D218" s="20"/>
      <c r="E218" s="26"/>
      <c r="F218" s="26"/>
      <c r="G218" s="26"/>
      <c r="H218" s="26"/>
      <c r="I218" s="26"/>
      <c r="J218" s="26"/>
      <c r="K218" s="26"/>
      <c r="L218" s="26"/>
      <c r="M218" s="20"/>
      <c r="N218" s="26"/>
      <c r="O218" s="22"/>
      <c r="P218" s="21"/>
      <c r="Q218" s="23"/>
      <c r="R218" s="21"/>
      <c r="S218" s="21"/>
      <c r="T218" s="21"/>
      <c r="U218" s="21"/>
      <c r="V218" s="21"/>
      <c r="W218" s="24"/>
      <c r="X218" s="20"/>
      <c r="Y218" s="20"/>
      <c r="Z218" s="21"/>
      <c r="AA218" s="21"/>
      <c r="AB218" s="21"/>
      <c r="AC218" s="21"/>
      <c r="AD218" s="21"/>
      <c r="AE218" s="21"/>
      <c r="AF218" s="21"/>
      <c r="AG218" s="21"/>
      <c r="AH218" s="21"/>
      <c r="AI218" s="25"/>
      <c r="AJ218" s="20"/>
      <c r="AK218" s="21"/>
      <c r="AL218" s="20"/>
      <c r="AM218" s="20"/>
      <c r="AN218" s="20"/>
      <c r="AO218" s="20"/>
      <c r="AP218" s="446"/>
      <c r="AQ218" s="20"/>
      <c r="AR218" s="20"/>
      <c r="AS218" s="20"/>
      <c r="AT218" s="20"/>
      <c r="AU218" s="26"/>
      <c r="AV218" s="98"/>
      <c r="AW218" s="98"/>
      <c r="AX218" s="98"/>
      <c r="AY218" s="98"/>
      <c r="AZ218" s="98"/>
      <c r="BA218" s="217"/>
      <c r="BB218" s="98"/>
      <c r="BC218" s="98"/>
      <c r="BD218" s="98"/>
      <c r="BE218" s="98"/>
      <c r="BF218" s="98"/>
      <c r="BG218" s="219"/>
      <c r="BH218" s="219"/>
      <c r="BI218" s="219"/>
      <c r="BJ218" s="26"/>
      <c r="BK218" s="21"/>
      <c r="BL218" s="21"/>
      <c r="BM218" s="22"/>
      <c r="BN218" s="21"/>
      <c r="BO218" s="21"/>
      <c r="BP218" s="22"/>
      <c r="BQ218" s="21"/>
      <c r="BR218" s="21"/>
      <c r="BS218" s="22"/>
      <c r="BT21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18" s="109" t="str">
        <f>IF(ISNUMBER(tblParticipants[[#This Row],[SvcStartDate]]),IF(AND(tblParticipants[[#This Row],[EnrollQtr]]=1,tblParticipants[[#This Row],[SvcStartDate]]&lt;DATE(conProgYear,7,1)),1,""),"")</f>
        <v/>
      </c>
      <c r="BV21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18" s="232" t="str">
        <f t="shared" ca="1" si="3"/>
        <v/>
      </c>
      <c r="BX218" s="9">
        <f>IF(SUM(IF(tblParticipants[[#This Row],[AmIndOrAkNtv]]=1,1,0),IF(tblParticipants[[#This Row],[Asian]]=1,1,0),IF(tblParticipants[[#This Row],[BlkOrAfAmer]]=1,1,0),IF(tblParticipants[[#This Row],[NtvHawOrPacIsl]]=1,1,0),IF(tblParticipants[[#This Row],[White]]=1,1,0))&gt;1,1,0)</f>
        <v>0</v>
      </c>
      <c r="BY21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1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1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18" s="11">
        <f>IF(tblParticipants[[#This Row],[EarnWg2Qae]]=1,IFERROR(tblParticipants[[#This Row],[HoursPerWk2Qae]]*tblParticipants[[#This Row],[HrlyWg2Qae]]*13,0),0)</f>
        <v>0</v>
      </c>
      <c r="CC218" s="11">
        <f>IF(tblParticipants[[#This Row],[EarnWg3Qae]]=1,IFERROR(tblParticipants[[#This Row],[HoursPerWk3Qae]]*tblParticipants[[#This Row],[HrlyWg3Qae]]*13,0),0)</f>
        <v>0</v>
      </c>
      <c r="CD218" s="9">
        <f>IFERROR(IF(SUM(tblParticipants[[#This Row],[EarnWg1Qae]],tblParticipants[[#This Row],[EarnWg2Qae]],tblParticipants[[#This Row],[EarnWg3Qae]])=3,1,0),0)</f>
        <v>0</v>
      </c>
      <c r="CE218" s="12">
        <f>IF(tblParticipants[[#This Row],[EmplAll3Qae]]=1,tblParticipants[[#This Row],[Earnings2Qae]]+tblParticipants[[#This Row],[Earnings3Qae]],0)</f>
        <v>0</v>
      </c>
      <c r="CF218" s="407"/>
    </row>
    <row r="219" spans="1:84" x14ac:dyDescent="0.3">
      <c r="A219" s="19"/>
      <c r="B219" s="19"/>
      <c r="C219" s="20"/>
      <c r="D219" s="20"/>
      <c r="E219" s="26"/>
      <c r="F219" s="26"/>
      <c r="G219" s="26"/>
      <c r="H219" s="26"/>
      <c r="I219" s="26"/>
      <c r="J219" s="26"/>
      <c r="K219" s="26"/>
      <c r="L219" s="26"/>
      <c r="M219" s="20"/>
      <c r="N219" s="26"/>
      <c r="O219" s="22"/>
      <c r="P219" s="21"/>
      <c r="Q219" s="23"/>
      <c r="R219" s="21"/>
      <c r="S219" s="21"/>
      <c r="T219" s="21"/>
      <c r="U219" s="21"/>
      <c r="V219" s="21"/>
      <c r="W219" s="24"/>
      <c r="X219" s="20"/>
      <c r="Y219" s="20"/>
      <c r="Z219" s="21"/>
      <c r="AA219" s="21"/>
      <c r="AB219" s="21"/>
      <c r="AC219" s="21"/>
      <c r="AD219" s="21"/>
      <c r="AE219" s="21"/>
      <c r="AF219" s="21"/>
      <c r="AG219" s="21"/>
      <c r="AH219" s="21"/>
      <c r="AI219" s="25"/>
      <c r="AJ219" s="20"/>
      <c r="AK219" s="21"/>
      <c r="AL219" s="20"/>
      <c r="AM219" s="20"/>
      <c r="AN219" s="20"/>
      <c r="AO219" s="20"/>
      <c r="AP219" s="446"/>
      <c r="AQ219" s="20"/>
      <c r="AR219" s="20"/>
      <c r="AS219" s="20"/>
      <c r="AT219" s="20"/>
      <c r="AU219" s="26"/>
      <c r="AV219" s="98"/>
      <c r="AW219" s="98"/>
      <c r="AX219" s="98"/>
      <c r="AY219" s="98"/>
      <c r="AZ219" s="98"/>
      <c r="BA219" s="217"/>
      <c r="BB219" s="98"/>
      <c r="BC219" s="98"/>
      <c r="BD219" s="98"/>
      <c r="BE219" s="98"/>
      <c r="BF219" s="98"/>
      <c r="BG219" s="219"/>
      <c r="BH219" s="219"/>
      <c r="BI219" s="219"/>
      <c r="BJ219" s="26"/>
      <c r="BK219" s="21"/>
      <c r="BL219" s="21"/>
      <c r="BM219" s="22"/>
      <c r="BN219" s="21"/>
      <c r="BO219" s="21"/>
      <c r="BP219" s="22"/>
      <c r="BQ219" s="21"/>
      <c r="BR219" s="21"/>
      <c r="BS219" s="22"/>
      <c r="BT21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19" s="109" t="str">
        <f>IF(ISNUMBER(tblParticipants[[#This Row],[SvcStartDate]]),IF(AND(tblParticipants[[#This Row],[EnrollQtr]]=1,tblParticipants[[#This Row],[SvcStartDate]]&lt;DATE(conProgYear,7,1)),1,""),"")</f>
        <v/>
      </c>
      <c r="BV21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19" s="232" t="str">
        <f t="shared" ca="1" si="3"/>
        <v/>
      </c>
      <c r="BX219" s="9">
        <f>IF(SUM(IF(tblParticipants[[#This Row],[AmIndOrAkNtv]]=1,1,0),IF(tblParticipants[[#This Row],[Asian]]=1,1,0),IF(tblParticipants[[#This Row],[BlkOrAfAmer]]=1,1,0),IF(tblParticipants[[#This Row],[NtvHawOrPacIsl]]=1,1,0),IF(tblParticipants[[#This Row],[White]]=1,1,0))&gt;1,1,0)</f>
        <v>0</v>
      </c>
      <c r="BY21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1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1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19" s="11">
        <f>IF(tblParticipants[[#This Row],[EarnWg2Qae]]=1,IFERROR(tblParticipants[[#This Row],[HoursPerWk2Qae]]*tblParticipants[[#This Row],[HrlyWg2Qae]]*13,0),0)</f>
        <v>0</v>
      </c>
      <c r="CC219" s="11">
        <f>IF(tblParticipants[[#This Row],[EarnWg3Qae]]=1,IFERROR(tblParticipants[[#This Row],[HoursPerWk3Qae]]*tblParticipants[[#This Row],[HrlyWg3Qae]]*13,0),0)</f>
        <v>0</v>
      </c>
      <c r="CD219" s="9">
        <f>IFERROR(IF(SUM(tblParticipants[[#This Row],[EarnWg1Qae]],tblParticipants[[#This Row],[EarnWg2Qae]],tblParticipants[[#This Row],[EarnWg3Qae]])=3,1,0),0)</f>
        <v>0</v>
      </c>
      <c r="CE219" s="12">
        <f>IF(tblParticipants[[#This Row],[EmplAll3Qae]]=1,tblParticipants[[#This Row],[Earnings2Qae]]+tblParticipants[[#This Row],[Earnings3Qae]],0)</f>
        <v>0</v>
      </c>
      <c r="CF219" s="407"/>
    </row>
    <row r="220" spans="1:84" x14ac:dyDescent="0.3">
      <c r="A220" s="19"/>
      <c r="B220" s="19"/>
      <c r="C220" s="20"/>
      <c r="D220" s="20"/>
      <c r="E220" s="26"/>
      <c r="F220" s="26"/>
      <c r="G220" s="26"/>
      <c r="H220" s="26"/>
      <c r="I220" s="26"/>
      <c r="J220" s="26"/>
      <c r="K220" s="26"/>
      <c r="L220" s="26"/>
      <c r="M220" s="20"/>
      <c r="N220" s="26"/>
      <c r="O220" s="22"/>
      <c r="P220" s="21"/>
      <c r="Q220" s="23"/>
      <c r="R220" s="21"/>
      <c r="S220" s="21"/>
      <c r="T220" s="21"/>
      <c r="U220" s="21"/>
      <c r="V220" s="21"/>
      <c r="W220" s="24"/>
      <c r="X220" s="20"/>
      <c r="Y220" s="20"/>
      <c r="Z220" s="21"/>
      <c r="AA220" s="21"/>
      <c r="AB220" s="21"/>
      <c r="AC220" s="21"/>
      <c r="AD220" s="21"/>
      <c r="AE220" s="21"/>
      <c r="AF220" s="21"/>
      <c r="AG220" s="21"/>
      <c r="AH220" s="21"/>
      <c r="AI220" s="25"/>
      <c r="AJ220" s="20"/>
      <c r="AK220" s="21"/>
      <c r="AL220" s="20"/>
      <c r="AM220" s="20"/>
      <c r="AN220" s="20"/>
      <c r="AO220" s="20"/>
      <c r="AP220" s="446"/>
      <c r="AQ220" s="20"/>
      <c r="AR220" s="20"/>
      <c r="AS220" s="20"/>
      <c r="AT220" s="20"/>
      <c r="AU220" s="26"/>
      <c r="AV220" s="98"/>
      <c r="AW220" s="98"/>
      <c r="AX220" s="98"/>
      <c r="AY220" s="98"/>
      <c r="AZ220" s="98"/>
      <c r="BA220" s="217"/>
      <c r="BB220" s="98"/>
      <c r="BC220" s="98"/>
      <c r="BD220" s="98"/>
      <c r="BE220" s="98"/>
      <c r="BF220" s="98"/>
      <c r="BG220" s="219"/>
      <c r="BH220" s="219"/>
      <c r="BI220" s="219"/>
      <c r="BJ220" s="26"/>
      <c r="BK220" s="21"/>
      <c r="BL220" s="21"/>
      <c r="BM220" s="22"/>
      <c r="BN220" s="21"/>
      <c r="BO220" s="21"/>
      <c r="BP220" s="22"/>
      <c r="BQ220" s="21"/>
      <c r="BR220" s="21"/>
      <c r="BS220" s="22"/>
      <c r="BT22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20" s="109" t="str">
        <f>IF(ISNUMBER(tblParticipants[[#This Row],[SvcStartDate]]),IF(AND(tblParticipants[[#This Row],[EnrollQtr]]=1,tblParticipants[[#This Row],[SvcStartDate]]&lt;DATE(conProgYear,7,1)),1,""),"")</f>
        <v/>
      </c>
      <c r="BV22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20" s="232" t="str">
        <f t="shared" ca="1" si="3"/>
        <v/>
      </c>
      <c r="BX220" s="9">
        <f>IF(SUM(IF(tblParticipants[[#This Row],[AmIndOrAkNtv]]=1,1,0),IF(tblParticipants[[#This Row],[Asian]]=1,1,0),IF(tblParticipants[[#This Row],[BlkOrAfAmer]]=1,1,0),IF(tblParticipants[[#This Row],[NtvHawOrPacIsl]]=1,1,0),IF(tblParticipants[[#This Row],[White]]=1,1,0))&gt;1,1,0)</f>
        <v>0</v>
      </c>
      <c r="BY22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2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2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20" s="11">
        <f>IF(tblParticipants[[#This Row],[EarnWg2Qae]]=1,IFERROR(tblParticipants[[#This Row],[HoursPerWk2Qae]]*tblParticipants[[#This Row],[HrlyWg2Qae]]*13,0),0)</f>
        <v>0</v>
      </c>
      <c r="CC220" s="11">
        <f>IF(tblParticipants[[#This Row],[EarnWg3Qae]]=1,IFERROR(tblParticipants[[#This Row],[HoursPerWk3Qae]]*tblParticipants[[#This Row],[HrlyWg3Qae]]*13,0),0)</f>
        <v>0</v>
      </c>
      <c r="CD220" s="9">
        <f>IFERROR(IF(SUM(tblParticipants[[#This Row],[EarnWg1Qae]],tblParticipants[[#This Row],[EarnWg2Qae]],tblParticipants[[#This Row],[EarnWg3Qae]])=3,1,0),0)</f>
        <v>0</v>
      </c>
      <c r="CE220" s="12">
        <f>IF(tblParticipants[[#This Row],[EmplAll3Qae]]=1,tblParticipants[[#This Row],[Earnings2Qae]]+tblParticipants[[#This Row],[Earnings3Qae]],0)</f>
        <v>0</v>
      </c>
      <c r="CF220" s="407"/>
    </row>
    <row r="221" spans="1:84" x14ac:dyDescent="0.3">
      <c r="A221" s="19"/>
      <c r="B221" s="19"/>
      <c r="C221" s="20"/>
      <c r="D221" s="20"/>
      <c r="E221" s="26"/>
      <c r="F221" s="26"/>
      <c r="G221" s="26"/>
      <c r="H221" s="26"/>
      <c r="I221" s="26"/>
      <c r="J221" s="26"/>
      <c r="K221" s="26"/>
      <c r="L221" s="26"/>
      <c r="M221" s="20"/>
      <c r="N221" s="26"/>
      <c r="O221" s="22"/>
      <c r="P221" s="21"/>
      <c r="Q221" s="23"/>
      <c r="R221" s="21"/>
      <c r="S221" s="21"/>
      <c r="T221" s="21"/>
      <c r="U221" s="21"/>
      <c r="V221" s="21"/>
      <c r="W221" s="24"/>
      <c r="X221" s="20"/>
      <c r="Y221" s="20"/>
      <c r="Z221" s="21"/>
      <c r="AA221" s="21"/>
      <c r="AB221" s="21"/>
      <c r="AC221" s="21"/>
      <c r="AD221" s="21"/>
      <c r="AE221" s="21"/>
      <c r="AF221" s="21"/>
      <c r="AG221" s="21"/>
      <c r="AH221" s="21"/>
      <c r="AI221" s="25"/>
      <c r="AJ221" s="20"/>
      <c r="AK221" s="21"/>
      <c r="AL221" s="20"/>
      <c r="AM221" s="20"/>
      <c r="AN221" s="20"/>
      <c r="AO221" s="20"/>
      <c r="AP221" s="446"/>
      <c r="AQ221" s="20"/>
      <c r="AR221" s="20"/>
      <c r="AS221" s="20"/>
      <c r="AT221" s="20"/>
      <c r="AU221" s="26"/>
      <c r="AV221" s="98"/>
      <c r="AW221" s="98"/>
      <c r="AX221" s="98"/>
      <c r="AY221" s="98"/>
      <c r="AZ221" s="98"/>
      <c r="BA221" s="217"/>
      <c r="BB221" s="98"/>
      <c r="BC221" s="98"/>
      <c r="BD221" s="98"/>
      <c r="BE221" s="98"/>
      <c r="BF221" s="98"/>
      <c r="BG221" s="219"/>
      <c r="BH221" s="219"/>
      <c r="BI221" s="219"/>
      <c r="BJ221" s="26"/>
      <c r="BK221" s="21"/>
      <c r="BL221" s="21"/>
      <c r="BM221" s="22"/>
      <c r="BN221" s="21"/>
      <c r="BO221" s="21"/>
      <c r="BP221" s="22"/>
      <c r="BQ221" s="21"/>
      <c r="BR221" s="21"/>
      <c r="BS221" s="22"/>
      <c r="BT22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21" s="109" t="str">
        <f>IF(ISNUMBER(tblParticipants[[#This Row],[SvcStartDate]]),IF(AND(tblParticipants[[#This Row],[EnrollQtr]]=1,tblParticipants[[#This Row],[SvcStartDate]]&lt;DATE(conProgYear,7,1)),1,""),"")</f>
        <v/>
      </c>
      <c r="BV22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21" s="232" t="str">
        <f t="shared" ca="1" si="3"/>
        <v/>
      </c>
      <c r="BX221" s="9">
        <f>IF(SUM(IF(tblParticipants[[#This Row],[AmIndOrAkNtv]]=1,1,0),IF(tblParticipants[[#This Row],[Asian]]=1,1,0),IF(tblParticipants[[#This Row],[BlkOrAfAmer]]=1,1,0),IF(tblParticipants[[#This Row],[NtvHawOrPacIsl]]=1,1,0),IF(tblParticipants[[#This Row],[White]]=1,1,0))&gt;1,1,0)</f>
        <v>0</v>
      </c>
      <c r="BY22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2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2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21" s="11">
        <f>IF(tblParticipants[[#This Row],[EarnWg2Qae]]=1,IFERROR(tblParticipants[[#This Row],[HoursPerWk2Qae]]*tblParticipants[[#This Row],[HrlyWg2Qae]]*13,0),0)</f>
        <v>0</v>
      </c>
      <c r="CC221" s="11">
        <f>IF(tblParticipants[[#This Row],[EarnWg3Qae]]=1,IFERROR(tblParticipants[[#This Row],[HoursPerWk3Qae]]*tblParticipants[[#This Row],[HrlyWg3Qae]]*13,0),0)</f>
        <v>0</v>
      </c>
      <c r="CD221" s="9">
        <f>IFERROR(IF(SUM(tblParticipants[[#This Row],[EarnWg1Qae]],tblParticipants[[#This Row],[EarnWg2Qae]],tblParticipants[[#This Row],[EarnWg3Qae]])=3,1,0),0)</f>
        <v>0</v>
      </c>
      <c r="CE221" s="12">
        <f>IF(tblParticipants[[#This Row],[EmplAll3Qae]]=1,tblParticipants[[#This Row],[Earnings2Qae]]+tblParticipants[[#This Row],[Earnings3Qae]],0)</f>
        <v>0</v>
      </c>
      <c r="CF221" s="407"/>
    </row>
    <row r="222" spans="1:84" x14ac:dyDescent="0.3">
      <c r="A222" s="19"/>
      <c r="B222" s="19"/>
      <c r="C222" s="20"/>
      <c r="D222" s="20"/>
      <c r="E222" s="26"/>
      <c r="F222" s="26"/>
      <c r="G222" s="26"/>
      <c r="H222" s="26"/>
      <c r="I222" s="26"/>
      <c r="J222" s="26"/>
      <c r="K222" s="26"/>
      <c r="L222" s="26"/>
      <c r="M222" s="20"/>
      <c r="N222" s="26"/>
      <c r="O222" s="22"/>
      <c r="P222" s="21"/>
      <c r="Q222" s="23"/>
      <c r="R222" s="21"/>
      <c r="S222" s="21"/>
      <c r="T222" s="21"/>
      <c r="U222" s="21"/>
      <c r="V222" s="21"/>
      <c r="W222" s="24"/>
      <c r="X222" s="20"/>
      <c r="Y222" s="20"/>
      <c r="Z222" s="21"/>
      <c r="AA222" s="21"/>
      <c r="AB222" s="21"/>
      <c r="AC222" s="21"/>
      <c r="AD222" s="21"/>
      <c r="AE222" s="21"/>
      <c r="AF222" s="21"/>
      <c r="AG222" s="21"/>
      <c r="AH222" s="21"/>
      <c r="AI222" s="25"/>
      <c r="AJ222" s="20"/>
      <c r="AK222" s="21"/>
      <c r="AL222" s="20"/>
      <c r="AM222" s="20"/>
      <c r="AN222" s="20"/>
      <c r="AO222" s="20"/>
      <c r="AP222" s="446"/>
      <c r="AQ222" s="20"/>
      <c r="AR222" s="20"/>
      <c r="AS222" s="20"/>
      <c r="AT222" s="20"/>
      <c r="AU222" s="26"/>
      <c r="AV222" s="98"/>
      <c r="AW222" s="98"/>
      <c r="AX222" s="98"/>
      <c r="AY222" s="98"/>
      <c r="AZ222" s="98"/>
      <c r="BA222" s="217"/>
      <c r="BB222" s="98"/>
      <c r="BC222" s="98"/>
      <c r="BD222" s="98"/>
      <c r="BE222" s="98"/>
      <c r="BF222" s="98"/>
      <c r="BG222" s="219"/>
      <c r="BH222" s="219"/>
      <c r="BI222" s="219"/>
      <c r="BJ222" s="26"/>
      <c r="BK222" s="21"/>
      <c r="BL222" s="21"/>
      <c r="BM222" s="22"/>
      <c r="BN222" s="21"/>
      <c r="BO222" s="21"/>
      <c r="BP222" s="22"/>
      <c r="BQ222" s="21"/>
      <c r="BR222" s="21"/>
      <c r="BS222" s="22"/>
      <c r="BT22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22" s="109" t="str">
        <f>IF(ISNUMBER(tblParticipants[[#This Row],[SvcStartDate]]),IF(AND(tblParticipants[[#This Row],[EnrollQtr]]=1,tblParticipants[[#This Row],[SvcStartDate]]&lt;DATE(conProgYear,7,1)),1,""),"")</f>
        <v/>
      </c>
      <c r="BV22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22" s="232" t="str">
        <f t="shared" ca="1" si="3"/>
        <v/>
      </c>
      <c r="BX222" s="9">
        <f>IF(SUM(IF(tblParticipants[[#This Row],[AmIndOrAkNtv]]=1,1,0),IF(tblParticipants[[#This Row],[Asian]]=1,1,0),IF(tblParticipants[[#This Row],[BlkOrAfAmer]]=1,1,0),IF(tblParticipants[[#This Row],[NtvHawOrPacIsl]]=1,1,0),IF(tblParticipants[[#This Row],[White]]=1,1,0))&gt;1,1,0)</f>
        <v>0</v>
      </c>
      <c r="BY22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2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2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22" s="11">
        <f>IF(tblParticipants[[#This Row],[EarnWg2Qae]]=1,IFERROR(tblParticipants[[#This Row],[HoursPerWk2Qae]]*tblParticipants[[#This Row],[HrlyWg2Qae]]*13,0),0)</f>
        <v>0</v>
      </c>
      <c r="CC222" s="11">
        <f>IF(tblParticipants[[#This Row],[EarnWg3Qae]]=1,IFERROR(tblParticipants[[#This Row],[HoursPerWk3Qae]]*tblParticipants[[#This Row],[HrlyWg3Qae]]*13,0),0)</f>
        <v>0</v>
      </c>
      <c r="CD222" s="9">
        <f>IFERROR(IF(SUM(tblParticipants[[#This Row],[EarnWg1Qae]],tblParticipants[[#This Row],[EarnWg2Qae]],tblParticipants[[#This Row],[EarnWg3Qae]])=3,1,0),0)</f>
        <v>0</v>
      </c>
      <c r="CE222" s="12">
        <f>IF(tblParticipants[[#This Row],[EmplAll3Qae]]=1,tblParticipants[[#This Row],[Earnings2Qae]]+tblParticipants[[#This Row],[Earnings3Qae]],0)</f>
        <v>0</v>
      </c>
      <c r="CF222" s="407"/>
    </row>
    <row r="223" spans="1:84" x14ac:dyDescent="0.3">
      <c r="A223" s="19"/>
      <c r="B223" s="19"/>
      <c r="C223" s="20"/>
      <c r="D223" s="20"/>
      <c r="E223" s="26"/>
      <c r="F223" s="26"/>
      <c r="G223" s="26"/>
      <c r="H223" s="26"/>
      <c r="I223" s="26"/>
      <c r="J223" s="26"/>
      <c r="K223" s="26"/>
      <c r="L223" s="26"/>
      <c r="M223" s="20"/>
      <c r="N223" s="26"/>
      <c r="O223" s="22"/>
      <c r="P223" s="21"/>
      <c r="Q223" s="23"/>
      <c r="R223" s="21"/>
      <c r="S223" s="21"/>
      <c r="T223" s="21"/>
      <c r="U223" s="21"/>
      <c r="V223" s="21"/>
      <c r="W223" s="24"/>
      <c r="X223" s="20"/>
      <c r="Y223" s="20"/>
      <c r="Z223" s="21"/>
      <c r="AA223" s="21"/>
      <c r="AB223" s="21"/>
      <c r="AC223" s="21"/>
      <c r="AD223" s="21"/>
      <c r="AE223" s="21"/>
      <c r="AF223" s="21"/>
      <c r="AG223" s="21"/>
      <c r="AH223" s="21"/>
      <c r="AI223" s="25"/>
      <c r="AJ223" s="20"/>
      <c r="AK223" s="21"/>
      <c r="AL223" s="20"/>
      <c r="AM223" s="20"/>
      <c r="AN223" s="20"/>
      <c r="AO223" s="20"/>
      <c r="AP223" s="446"/>
      <c r="AQ223" s="20"/>
      <c r="AR223" s="20"/>
      <c r="AS223" s="20"/>
      <c r="AT223" s="20"/>
      <c r="AU223" s="26"/>
      <c r="AV223" s="98"/>
      <c r="AW223" s="98"/>
      <c r="AX223" s="98"/>
      <c r="AY223" s="98"/>
      <c r="AZ223" s="98"/>
      <c r="BA223" s="217"/>
      <c r="BB223" s="98"/>
      <c r="BC223" s="98"/>
      <c r="BD223" s="98"/>
      <c r="BE223" s="98"/>
      <c r="BF223" s="98"/>
      <c r="BG223" s="219"/>
      <c r="BH223" s="219"/>
      <c r="BI223" s="219"/>
      <c r="BJ223" s="26"/>
      <c r="BK223" s="21"/>
      <c r="BL223" s="21"/>
      <c r="BM223" s="22"/>
      <c r="BN223" s="21"/>
      <c r="BO223" s="21"/>
      <c r="BP223" s="22"/>
      <c r="BQ223" s="21"/>
      <c r="BR223" s="21"/>
      <c r="BS223" s="22"/>
      <c r="BT22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23" s="109" t="str">
        <f>IF(ISNUMBER(tblParticipants[[#This Row],[SvcStartDate]]),IF(AND(tblParticipants[[#This Row],[EnrollQtr]]=1,tblParticipants[[#This Row],[SvcStartDate]]&lt;DATE(conProgYear,7,1)),1,""),"")</f>
        <v/>
      </c>
      <c r="BV22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23" s="232" t="str">
        <f t="shared" ca="1" si="3"/>
        <v/>
      </c>
      <c r="BX223" s="9">
        <f>IF(SUM(IF(tblParticipants[[#This Row],[AmIndOrAkNtv]]=1,1,0),IF(tblParticipants[[#This Row],[Asian]]=1,1,0),IF(tblParticipants[[#This Row],[BlkOrAfAmer]]=1,1,0),IF(tblParticipants[[#This Row],[NtvHawOrPacIsl]]=1,1,0),IF(tblParticipants[[#This Row],[White]]=1,1,0))&gt;1,1,0)</f>
        <v>0</v>
      </c>
      <c r="BY22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2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2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23" s="11">
        <f>IF(tblParticipants[[#This Row],[EarnWg2Qae]]=1,IFERROR(tblParticipants[[#This Row],[HoursPerWk2Qae]]*tblParticipants[[#This Row],[HrlyWg2Qae]]*13,0),0)</f>
        <v>0</v>
      </c>
      <c r="CC223" s="11">
        <f>IF(tblParticipants[[#This Row],[EarnWg3Qae]]=1,IFERROR(tblParticipants[[#This Row],[HoursPerWk3Qae]]*tblParticipants[[#This Row],[HrlyWg3Qae]]*13,0),0)</f>
        <v>0</v>
      </c>
      <c r="CD223" s="9">
        <f>IFERROR(IF(SUM(tblParticipants[[#This Row],[EarnWg1Qae]],tblParticipants[[#This Row],[EarnWg2Qae]],tblParticipants[[#This Row],[EarnWg3Qae]])=3,1,0),0)</f>
        <v>0</v>
      </c>
      <c r="CE223" s="12">
        <f>IF(tblParticipants[[#This Row],[EmplAll3Qae]]=1,tblParticipants[[#This Row],[Earnings2Qae]]+tblParticipants[[#This Row],[Earnings3Qae]],0)</f>
        <v>0</v>
      </c>
      <c r="CF223" s="407"/>
    </row>
    <row r="224" spans="1:84" x14ac:dyDescent="0.3">
      <c r="A224" s="19"/>
      <c r="B224" s="19"/>
      <c r="C224" s="20"/>
      <c r="D224" s="20"/>
      <c r="E224" s="26"/>
      <c r="F224" s="26"/>
      <c r="G224" s="26"/>
      <c r="H224" s="26"/>
      <c r="I224" s="26"/>
      <c r="J224" s="26"/>
      <c r="K224" s="26"/>
      <c r="L224" s="26"/>
      <c r="M224" s="20"/>
      <c r="N224" s="26"/>
      <c r="O224" s="22"/>
      <c r="P224" s="21"/>
      <c r="Q224" s="23"/>
      <c r="R224" s="21"/>
      <c r="S224" s="21"/>
      <c r="T224" s="21"/>
      <c r="U224" s="21"/>
      <c r="V224" s="21"/>
      <c r="W224" s="24"/>
      <c r="X224" s="20"/>
      <c r="Y224" s="20"/>
      <c r="Z224" s="21"/>
      <c r="AA224" s="21"/>
      <c r="AB224" s="21"/>
      <c r="AC224" s="21"/>
      <c r="AD224" s="21"/>
      <c r="AE224" s="21"/>
      <c r="AF224" s="21"/>
      <c r="AG224" s="21"/>
      <c r="AH224" s="21"/>
      <c r="AI224" s="25"/>
      <c r="AJ224" s="20"/>
      <c r="AK224" s="21"/>
      <c r="AL224" s="20"/>
      <c r="AM224" s="20"/>
      <c r="AN224" s="20"/>
      <c r="AO224" s="20"/>
      <c r="AP224" s="446"/>
      <c r="AQ224" s="20"/>
      <c r="AR224" s="20"/>
      <c r="AS224" s="20"/>
      <c r="AT224" s="20"/>
      <c r="AU224" s="26"/>
      <c r="AV224" s="98"/>
      <c r="AW224" s="98"/>
      <c r="AX224" s="98"/>
      <c r="AY224" s="98"/>
      <c r="AZ224" s="98"/>
      <c r="BA224" s="217"/>
      <c r="BB224" s="98"/>
      <c r="BC224" s="98"/>
      <c r="BD224" s="98"/>
      <c r="BE224" s="98"/>
      <c r="BF224" s="98"/>
      <c r="BG224" s="219"/>
      <c r="BH224" s="219"/>
      <c r="BI224" s="219"/>
      <c r="BJ224" s="26"/>
      <c r="BK224" s="21"/>
      <c r="BL224" s="21"/>
      <c r="BM224" s="22"/>
      <c r="BN224" s="21"/>
      <c r="BO224" s="21"/>
      <c r="BP224" s="22"/>
      <c r="BQ224" s="21"/>
      <c r="BR224" s="21"/>
      <c r="BS224" s="22"/>
      <c r="BT22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24" s="109" t="str">
        <f>IF(ISNUMBER(tblParticipants[[#This Row],[SvcStartDate]]),IF(AND(tblParticipants[[#This Row],[EnrollQtr]]=1,tblParticipants[[#This Row],[SvcStartDate]]&lt;DATE(conProgYear,7,1)),1,""),"")</f>
        <v/>
      </c>
      <c r="BV22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24" s="232" t="str">
        <f t="shared" ca="1" si="3"/>
        <v/>
      </c>
      <c r="BX224" s="9">
        <f>IF(SUM(IF(tblParticipants[[#This Row],[AmIndOrAkNtv]]=1,1,0),IF(tblParticipants[[#This Row],[Asian]]=1,1,0),IF(tblParticipants[[#This Row],[BlkOrAfAmer]]=1,1,0),IF(tblParticipants[[#This Row],[NtvHawOrPacIsl]]=1,1,0),IF(tblParticipants[[#This Row],[White]]=1,1,0))&gt;1,1,0)</f>
        <v>0</v>
      </c>
      <c r="BY22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2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2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24" s="11">
        <f>IF(tblParticipants[[#This Row],[EarnWg2Qae]]=1,IFERROR(tblParticipants[[#This Row],[HoursPerWk2Qae]]*tblParticipants[[#This Row],[HrlyWg2Qae]]*13,0),0)</f>
        <v>0</v>
      </c>
      <c r="CC224" s="11">
        <f>IF(tblParticipants[[#This Row],[EarnWg3Qae]]=1,IFERROR(tblParticipants[[#This Row],[HoursPerWk3Qae]]*tblParticipants[[#This Row],[HrlyWg3Qae]]*13,0),0)</f>
        <v>0</v>
      </c>
      <c r="CD224" s="9">
        <f>IFERROR(IF(SUM(tblParticipants[[#This Row],[EarnWg1Qae]],tblParticipants[[#This Row],[EarnWg2Qae]],tblParticipants[[#This Row],[EarnWg3Qae]])=3,1,0),0)</f>
        <v>0</v>
      </c>
      <c r="CE224" s="12">
        <f>IF(tblParticipants[[#This Row],[EmplAll3Qae]]=1,tblParticipants[[#This Row],[Earnings2Qae]]+tblParticipants[[#This Row],[Earnings3Qae]],0)</f>
        <v>0</v>
      </c>
      <c r="CF224" s="407"/>
    </row>
    <row r="225" spans="1:84" x14ac:dyDescent="0.3">
      <c r="A225" s="19"/>
      <c r="B225" s="19"/>
      <c r="C225" s="20"/>
      <c r="D225" s="20"/>
      <c r="E225" s="26"/>
      <c r="F225" s="26"/>
      <c r="G225" s="26"/>
      <c r="H225" s="26"/>
      <c r="I225" s="26"/>
      <c r="J225" s="26"/>
      <c r="K225" s="26"/>
      <c r="L225" s="26"/>
      <c r="M225" s="20"/>
      <c r="N225" s="26"/>
      <c r="O225" s="22"/>
      <c r="P225" s="21"/>
      <c r="Q225" s="23"/>
      <c r="R225" s="21"/>
      <c r="S225" s="21"/>
      <c r="T225" s="21"/>
      <c r="U225" s="21"/>
      <c r="V225" s="21"/>
      <c r="W225" s="24"/>
      <c r="X225" s="20"/>
      <c r="Y225" s="20"/>
      <c r="Z225" s="21"/>
      <c r="AA225" s="21"/>
      <c r="AB225" s="21"/>
      <c r="AC225" s="21"/>
      <c r="AD225" s="21"/>
      <c r="AE225" s="21"/>
      <c r="AF225" s="21"/>
      <c r="AG225" s="21"/>
      <c r="AH225" s="21"/>
      <c r="AI225" s="25"/>
      <c r="AJ225" s="20"/>
      <c r="AK225" s="21"/>
      <c r="AL225" s="20"/>
      <c r="AM225" s="20"/>
      <c r="AN225" s="20"/>
      <c r="AO225" s="20"/>
      <c r="AP225" s="446"/>
      <c r="AQ225" s="20"/>
      <c r="AR225" s="20"/>
      <c r="AS225" s="20"/>
      <c r="AT225" s="20"/>
      <c r="AU225" s="26"/>
      <c r="AV225" s="98"/>
      <c r="AW225" s="98"/>
      <c r="AX225" s="98"/>
      <c r="AY225" s="98"/>
      <c r="AZ225" s="98"/>
      <c r="BA225" s="217"/>
      <c r="BB225" s="98"/>
      <c r="BC225" s="98"/>
      <c r="BD225" s="98"/>
      <c r="BE225" s="98"/>
      <c r="BF225" s="98"/>
      <c r="BG225" s="219"/>
      <c r="BH225" s="219"/>
      <c r="BI225" s="219"/>
      <c r="BJ225" s="26"/>
      <c r="BK225" s="21"/>
      <c r="BL225" s="21"/>
      <c r="BM225" s="22"/>
      <c r="BN225" s="21"/>
      <c r="BO225" s="21"/>
      <c r="BP225" s="22"/>
      <c r="BQ225" s="21"/>
      <c r="BR225" s="21"/>
      <c r="BS225" s="22"/>
      <c r="BT22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25" s="109" t="str">
        <f>IF(ISNUMBER(tblParticipants[[#This Row],[SvcStartDate]]),IF(AND(tblParticipants[[#This Row],[EnrollQtr]]=1,tblParticipants[[#This Row],[SvcStartDate]]&lt;DATE(conProgYear,7,1)),1,""),"")</f>
        <v/>
      </c>
      <c r="BV22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25" s="232" t="str">
        <f t="shared" ca="1" si="3"/>
        <v/>
      </c>
      <c r="BX225" s="9">
        <f>IF(SUM(IF(tblParticipants[[#This Row],[AmIndOrAkNtv]]=1,1,0),IF(tblParticipants[[#This Row],[Asian]]=1,1,0),IF(tblParticipants[[#This Row],[BlkOrAfAmer]]=1,1,0),IF(tblParticipants[[#This Row],[NtvHawOrPacIsl]]=1,1,0),IF(tblParticipants[[#This Row],[White]]=1,1,0))&gt;1,1,0)</f>
        <v>0</v>
      </c>
      <c r="BY22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2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2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25" s="11">
        <f>IF(tblParticipants[[#This Row],[EarnWg2Qae]]=1,IFERROR(tblParticipants[[#This Row],[HoursPerWk2Qae]]*tblParticipants[[#This Row],[HrlyWg2Qae]]*13,0),0)</f>
        <v>0</v>
      </c>
      <c r="CC225" s="11">
        <f>IF(tblParticipants[[#This Row],[EarnWg3Qae]]=1,IFERROR(tblParticipants[[#This Row],[HoursPerWk3Qae]]*tblParticipants[[#This Row],[HrlyWg3Qae]]*13,0),0)</f>
        <v>0</v>
      </c>
      <c r="CD225" s="9">
        <f>IFERROR(IF(SUM(tblParticipants[[#This Row],[EarnWg1Qae]],tblParticipants[[#This Row],[EarnWg2Qae]],tblParticipants[[#This Row],[EarnWg3Qae]])=3,1,0),0)</f>
        <v>0</v>
      </c>
      <c r="CE225" s="12">
        <f>IF(tblParticipants[[#This Row],[EmplAll3Qae]]=1,tblParticipants[[#This Row],[Earnings2Qae]]+tblParticipants[[#This Row],[Earnings3Qae]],0)</f>
        <v>0</v>
      </c>
      <c r="CF225" s="407"/>
    </row>
    <row r="226" spans="1:84" x14ac:dyDescent="0.3">
      <c r="A226" s="19"/>
      <c r="B226" s="19"/>
      <c r="C226" s="20"/>
      <c r="D226" s="20"/>
      <c r="E226" s="26"/>
      <c r="F226" s="26"/>
      <c r="G226" s="26"/>
      <c r="H226" s="26"/>
      <c r="I226" s="26"/>
      <c r="J226" s="26"/>
      <c r="K226" s="26"/>
      <c r="L226" s="26"/>
      <c r="M226" s="20"/>
      <c r="N226" s="26"/>
      <c r="O226" s="22"/>
      <c r="P226" s="21"/>
      <c r="Q226" s="23"/>
      <c r="R226" s="21"/>
      <c r="S226" s="21"/>
      <c r="T226" s="21"/>
      <c r="U226" s="21"/>
      <c r="V226" s="21"/>
      <c r="W226" s="24"/>
      <c r="X226" s="20"/>
      <c r="Y226" s="20"/>
      <c r="Z226" s="21"/>
      <c r="AA226" s="21"/>
      <c r="AB226" s="21"/>
      <c r="AC226" s="21"/>
      <c r="AD226" s="21"/>
      <c r="AE226" s="21"/>
      <c r="AF226" s="21"/>
      <c r="AG226" s="21"/>
      <c r="AH226" s="21"/>
      <c r="AI226" s="25"/>
      <c r="AJ226" s="20"/>
      <c r="AK226" s="21"/>
      <c r="AL226" s="20"/>
      <c r="AM226" s="20"/>
      <c r="AN226" s="20"/>
      <c r="AO226" s="20"/>
      <c r="AP226" s="446"/>
      <c r="AQ226" s="20"/>
      <c r="AR226" s="20"/>
      <c r="AS226" s="20"/>
      <c r="AT226" s="20"/>
      <c r="AU226" s="26"/>
      <c r="AV226" s="98"/>
      <c r="AW226" s="98"/>
      <c r="AX226" s="98"/>
      <c r="AY226" s="98"/>
      <c r="AZ226" s="98"/>
      <c r="BA226" s="217"/>
      <c r="BB226" s="98"/>
      <c r="BC226" s="98"/>
      <c r="BD226" s="98"/>
      <c r="BE226" s="98"/>
      <c r="BF226" s="98"/>
      <c r="BG226" s="219"/>
      <c r="BH226" s="219"/>
      <c r="BI226" s="219"/>
      <c r="BJ226" s="26"/>
      <c r="BK226" s="21"/>
      <c r="BL226" s="21"/>
      <c r="BM226" s="22"/>
      <c r="BN226" s="21"/>
      <c r="BO226" s="21"/>
      <c r="BP226" s="22"/>
      <c r="BQ226" s="21"/>
      <c r="BR226" s="21"/>
      <c r="BS226" s="22"/>
      <c r="BT22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26" s="109" t="str">
        <f>IF(ISNUMBER(tblParticipants[[#This Row],[SvcStartDate]]),IF(AND(tblParticipants[[#This Row],[EnrollQtr]]=1,tblParticipants[[#This Row],[SvcStartDate]]&lt;DATE(conProgYear,7,1)),1,""),"")</f>
        <v/>
      </c>
      <c r="BV22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26" s="232" t="str">
        <f t="shared" ca="1" si="3"/>
        <v/>
      </c>
      <c r="BX226" s="9">
        <f>IF(SUM(IF(tblParticipants[[#This Row],[AmIndOrAkNtv]]=1,1,0),IF(tblParticipants[[#This Row],[Asian]]=1,1,0),IF(tblParticipants[[#This Row],[BlkOrAfAmer]]=1,1,0),IF(tblParticipants[[#This Row],[NtvHawOrPacIsl]]=1,1,0),IF(tblParticipants[[#This Row],[White]]=1,1,0))&gt;1,1,0)</f>
        <v>0</v>
      </c>
      <c r="BY22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2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2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26" s="11">
        <f>IF(tblParticipants[[#This Row],[EarnWg2Qae]]=1,IFERROR(tblParticipants[[#This Row],[HoursPerWk2Qae]]*tblParticipants[[#This Row],[HrlyWg2Qae]]*13,0),0)</f>
        <v>0</v>
      </c>
      <c r="CC226" s="11">
        <f>IF(tblParticipants[[#This Row],[EarnWg3Qae]]=1,IFERROR(tblParticipants[[#This Row],[HoursPerWk3Qae]]*tblParticipants[[#This Row],[HrlyWg3Qae]]*13,0),0)</f>
        <v>0</v>
      </c>
      <c r="CD226" s="9">
        <f>IFERROR(IF(SUM(tblParticipants[[#This Row],[EarnWg1Qae]],tblParticipants[[#This Row],[EarnWg2Qae]],tblParticipants[[#This Row],[EarnWg3Qae]])=3,1,0),0)</f>
        <v>0</v>
      </c>
      <c r="CE226" s="12">
        <f>IF(tblParticipants[[#This Row],[EmplAll3Qae]]=1,tblParticipants[[#This Row],[Earnings2Qae]]+tblParticipants[[#This Row],[Earnings3Qae]],0)</f>
        <v>0</v>
      </c>
      <c r="CF226" s="407"/>
    </row>
    <row r="227" spans="1:84" x14ac:dyDescent="0.3">
      <c r="A227" s="19"/>
      <c r="B227" s="19"/>
      <c r="C227" s="20"/>
      <c r="D227" s="20"/>
      <c r="E227" s="26"/>
      <c r="F227" s="26"/>
      <c r="G227" s="26"/>
      <c r="H227" s="26"/>
      <c r="I227" s="26"/>
      <c r="J227" s="26"/>
      <c r="K227" s="26"/>
      <c r="L227" s="26"/>
      <c r="M227" s="20"/>
      <c r="N227" s="26"/>
      <c r="O227" s="22"/>
      <c r="P227" s="21"/>
      <c r="Q227" s="23"/>
      <c r="R227" s="21"/>
      <c r="S227" s="21"/>
      <c r="T227" s="21"/>
      <c r="U227" s="21"/>
      <c r="V227" s="21"/>
      <c r="W227" s="24"/>
      <c r="X227" s="20"/>
      <c r="Y227" s="20"/>
      <c r="Z227" s="21"/>
      <c r="AA227" s="21"/>
      <c r="AB227" s="21"/>
      <c r="AC227" s="21"/>
      <c r="AD227" s="21"/>
      <c r="AE227" s="21"/>
      <c r="AF227" s="21"/>
      <c r="AG227" s="21"/>
      <c r="AH227" s="21"/>
      <c r="AI227" s="25"/>
      <c r="AJ227" s="20"/>
      <c r="AK227" s="21"/>
      <c r="AL227" s="20"/>
      <c r="AM227" s="20"/>
      <c r="AN227" s="20"/>
      <c r="AO227" s="20"/>
      <c r="AP227" s="446"/>
      <c r="AQ227" s="20"/>
      <c r="AR227" s="20"/>
      <c r="AS227" s="20"/>
      <c r="AT227" s="20"/>
      <c r="AU227" s="26"/>
      <c r="AV227" s="98"/>
      <c r="AW227" s="98"/>
      <c r="AX227" s="98"/>
      <c r="AY227" s="98"/>
      <c r="AZ227" s="98"/>
      <c r="BA227" s="217"/>
      <c r="BB227" s="98"/>
      <c r="BC227" s="98"/>
      <c r="BD227" s="98"/>
      <c r="BE227" s="98"/>
      <c r="BF227" s="98"/>
      <c r="BG227" s="219"/>
      <c r="BH227" s="219"/>
      <c r="BI227" s="219"/>
      <c r="BJ227" s="26"/>
      <c r="BK227" s="21"/>
      <c r="BL227" s="21"/>
      <c r="BM227" s="22"/>
      <c r="BN227" s="21"/>
      <c r="BO227" s="21"/>
      <c r="BP227" s="22"/>
      <c r="BQ227" s="21"/>
      <c r="BR227" s="21"/>
      <c r="BS227" s="22"/>
      <c r="BT22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27" s="109" t="str">
        <f>IF(ISNUMBER(tblParticipants[[#This Row],[SvcStartDate]]),IF(AND(tblParticipants[[#This Row],[EnrollQtr]]=1,tblParticipants[[#This Row],[SvcStartDate]]&lt;DATE(conProgYear,7,1)),1,""),"")</f>
        <v/>
      </c>
      <c r="BV22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27" s="232" t="str">
        <f t="shared" ca="1" si="3"/>
        <v/>
      </c>
      <c r="BX227" s="9">
        <f>IF(SUM(IF(tblParticipants[[#This Row],[AmIndOrAkNtv]]=1,1,0),IF(tblParticipants[[#This Row],[Asian]]=1,1,0),IF(tblParticipants[[#This Row],[BlkOrAfAmer]]=1,1,0),IF(tblParticipants[[#This Row],[NtvHawOrPacIsl]]=1,1,0),IF(tblParticipants[[#This Row],[White]]=1,1,0))&gt;1,1,0)</f>
        <v>0</v>
      </c>
      <c r="BY22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2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2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27" s="11">
        <f>IF(tblParticipants[[#This Row],[EarnWg2Qae]]=1,IFERROR(tblParticipants[[#This Row],[HoursPerWk2Qae]]*tblParticipants[[#This Row],[HrlyWg2Qae]]*13,0),0)</f>
        <v>0</v>
      </c>
      <c r="CC227" s="11">
        <f>IF(tblParticipants[[#This Row],[EarnWg3Qae]]=1,IFERROR(tblParticipants[[#This Row],[HoursPerWk3Qae]]*tblParticipants[[#This Row],[HrlyWg3Qae]]*13,0),0)</f>
        <v>0</v>
      </c>
      <c r="CD227" s="9">
        <f>IFERROR(IF(SUM(tblParticipants[[#This Row],[EarnWg1Qae]],tblParticipants[[#This Row],[EarnWg2Qae]],tblParticipants[[#This Row],[EarnWg3Qae]])=3,1,0),0)</f>
        <v>0</v>
      </c>
      <c r="CE227" s="12">
        <f>IF(tblParticipants[[#This Row],[EmplAll3Qae]]=1,tblParticipants[[#This Row],[Earnings2Qae]]+tblParticipants[[#This Row],[Earnings3Qae]],0)</f>
        <v>0</v>
      </c>
      <c r="CF227" s="407"/>
    </row>
    <row r="228" spans="1:84" x14ac:dyDescent="0.3">
      <c r="A228" s="19"/>
      <c r="B228" s="19"/>
      <c r="C228" s="20"/>
      <c r="D228" s="20"/>
      <c r="E228" s="26"/>
      <c r="F228" s="26"/>
      <c r="G228" s="26"/>
      <c r="H228" s="26"/>
      <c r="I228" s="26"/>
      <c r="J228" s="26"/>
      <c r="K228" s="26"/>
      <c r="L228" s="26"/>
      <c r="M228" s="20"/>
      <c r="N228" s="26"/>
      <c r="O228" s="22"/>
      <c r="P228" s="21"/>
      <c r="Q228" s="23"/>
      <c r="R228" s="21"/>
      <c r="S228" s="21"/>
      <c r="T228" s="21"/>
      <c r="U228" s="21"/>
      <c r="V228" s="21"/>
      <c r="W228" s="24"/>
      <c r="X228" s="20"/>
      <c r="Y228" s="20"/>
      <c r="Z228" s="21"/>
      <c r="AA228" s="21"/>
      <c r="AB228" s="21"/>
      <c r="AC228" s="21"/>
      <c r="AD228" s="21"/>
      <c r="AE228" s="21"/>
      <c r="AF228" s="21"/>
      <c r="AG228" s="21"/>
      <c r="AH228" s="21"/>
      <c r="AI228" s="25"/>
      <c r="AJ228" s="20"/>
      <c r="AK228" s="21"/>
      <c r="AL228" s="20"/>
      <c r="AM228" s="20"/>
      <c r="AN228" s="20"/>
      <c r="AO228" s="20"/>
      <c r="AP228" s="446"/>
      <c r="AQ228" s="20"/>
      <c r="AR228" s="20"/>
      <c r="AS228" s="20"/>
      <c r="AT228" s="20"/>
      <c r="AU228" s="26"/>
      <c r="AV228" s="98"/>
      <c r="AW228" s="98"/>
      <c r="AX228" s="98"/>
      <c r="AY228" s="98"/>
      <c r="AZ228" s="98"/>
      <c r="BA228" s="217"/>
      <c r="BB228" s="98"/>
      <c r="BC228" s="98"/>
      <c r="BD228" s="98"/>
      <c r="BE228" s="98"/>
      <c r="BF228" s="98"/>
      <c r="BG228" s="219"/>
      <c r="BH228" s="219"/>
      <c r="BI228" s="219"/>
      <c r="BJ228" s="26"/>
      <c r="BK228" s="21"/>
      <c r="BL228" s="21"/>
      <c r="BM228" s="22"/>
      <c r="BN228" s="21"/>
      <c r="BO228" s="21"/>
      <c r="BP228" s="22"/>
      <c r="BQ228" s="21"/>
      <c r="BR228" s="21"/>
      <c r="BS228" s="22"/>
      <c r="BT22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28" s="109" t="str">
        <f>IF(ISNUMBER(tblParticipants[[#This Row],[SvcStartDate]]),IF(AND(tblParticipants[[#This Row],[EnrollQtr]]=1,tblParticipants[[#This Row],[SvcStartDate]]&lt;DATE(conProgYear,7,1)),1,""),"")</f>
        <v/>
      </c>
      <c r="BV22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28" s="232" t="str">
        <f t="shared" ca="1" si="3"/>
        <v/>
      </c>
      <c r="BX228" s="9">
        <f>IF(SUM(IF(tblParticipants[[#This Row],[AmIndOrAkNtv]]=1,1,0),IF(tblParticipants[[#This Row],[Asian]]=1,1,0),IF(tblParticipants[[#This Row],[BlkOrAfAmer]]=1,1,0),IF(tblParticipants[[#This Row],[NtvHawOrPacIsl]]=1,1,0),IF(tblParticipants[[#This Row],[White]]=1,1,0))&gt;1,1,0)</f>
        <v>0</v>
      </c>
      <c r="BY22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2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2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28" s="11">
        <f>IF(tblParticipants[[#This Row],[EarnWg2Qae]]=1,IFERROR(tblParticipants[[#This Row],[HoursPerWk2Qae]]*tblParticipants[[#This Row],[HrlyWg2Qae]]*13,0),0)</f>
        <v>0</v>
      </c>
      <c r="CC228" s="11">
        <f>IF(tblParticipants[[#This Row],[EarnWg3Qae]]=1,IFERROR(tblParticipants[[#This Row],[HoursPerWk3Qae]]*tblParticipants[[#This Row],[HrlyWg3Qae]]*13,0),0)</f>
        <v>0</v>
      </c>
      <c r="CD228" s="9">
        <f>IFERROR(IF(SUM(tblParticipants[[#This Row],[EarnWg1Qae]],tblParticipants[[#This Row],[EarnWg2Qae]],tblParticipants[[#This Row],[EarnWg3Qae]])=3,1,0),0)</f>
        <v>0</v>
      </c>
      <c r="CE228" s="12">
        <f>IF(tblParticipants[[#This Row],[EmplAll3Qae]]=1,tblParticipants[[#This Row],[Earnings2Qae]]+tblParticipants[[#This Row],[Earnings3Qae]],0)</f>
        <v>0</v>
      </c>
      <c r="CF228" s="407"/>
    </row>
    <row r="229" spans="1:84" x14ac:dyDescent="0.3">
      <c r="A229" s="19"/>
      <c r="B229" s="19"/>
      <c r="C229" s="20"/>
      <c r="D229" s="20"/>
      <c r="E229" s="26"/>
      <c r="F229" s="26"/>
      <c r="G229" s="26"/>
      <c r="H229" s="26"/>
      <c r="I229" s="26"/>
      <c r="J229" s="26"/>
      <c r="K229" s="26"/>
      <c r="L229" s="26"/>
      <c r="M229" s="20"/>
      <c r="N229" s="26"/>
      <c r="O229" s="22"/>
      <c r="P229" s="21"/>
      <c r="Q229" s="23"/>
      <c r="R229" s="21"/>
      <c r="S229" s="21"/>
      <c r="T229" s="21"/>
      <c r="U229" s="21"/>
      <c r="V229" s="21"/>
      <c r="W229" s="24"/>
      <c r="X229" s="20"/>
      <c r="Y229" s="20"/>
      <c r="Z229" s="21"/>
      <c r="AA229" s="21"/>
      <c r="AB229" s="21"/>
      <c r="AC229" s="21"/>
      <c r="AD229" s="21"/>
      <c r="AE229" s="21"/>
      <c r="AF229" s="21"/>
      <c r="AG229" s="21"/>
      <c r="AH229" s="21"/>
      <c r="AI229" s="25"/>
      <c r="AJ229" s="20"/>
      <c r="AK229" s="21"/>
      <c r="AL229" s="20"/>
      <c r="AM229" s="20"/>
      <c r="AN229" s="20"/>
      <c r="AO229" s="20"/>
      <c r="AP229" s="446"/>
      <c r="AQ229" s="20"/>
      <c r="AR229" s="20"/>
      <c r="AS229" s="20"/>
      <c r="AT229" s="20"/>
      <c r="AU229" s="26"/>
      <c r="AV229" s="98"/>
      <c r="AW229" s="98"/>
      <c r="AX229" s="98"/>
      <c r="AY229" s="98"/>
      <c r="AZ229" s="98"/>
      <c r="BA229" s="217"/>
      <c r="BB229" s="98"/>
      <c r="BC229" s="98"/>
      <c r="BD229" s="98"/>
      <c r="BE229" s="98"/>
      <c r="BF229" s="98"/>
      <c r="BG229" s="219"/>
      <c r="BH229" s="219"/>
      <c r="BI229" s="219"/>
      <c r="BJ229" s="26"/>
      <c r="BK229" s="21"/>
      <c r="BL229" s="21"/>
      <c r="BM229" s="22"/>
      <c r="BN229" s="21"/>
      <c r="BO229" s="21"/>
      <c r="BP229" s="22"/>
      <c r="BQ229" s="21"/>
      <c r="BR229" s="21"/>
      <c r="BS229" s="22"/>
      <c r="BT22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29" s="109" t="str">
        <f>IF(ISNUMBER(tblParticipants[[#This Row],[SvcStartDate]]),IF(AND(tblParticipants[[#This Row],[EnrollQtr]]=1,tblParticipants[[#This Row],[SvcStartDate]]&lt;DATE(conProgYear,7,1)),1,""),"")</f>
        <v/>
      </c>
      <c r="BV22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29" s="232" t="str">
        <f t="shared" ca="1" si="3"/>
        <v/>
      </c>
      <c r="BX229" s="9">
        <f>IF(SUM(IF(tblParticipants[[#This Row],[AmIndOrAkNtv]]=1,1,0),IF(tblParticipants[[#This Row],[Asian]]=1,1,0),IF(tblParticipants[[#This Row],[BlkOrAfAmer]]=1,1,0),IF(tblParticipants[[#This Row],[NtvHawOrPacIsl]]=1,1,0),IF(tblParticipants[[#This Row],[White]]=1,1,0))&gt;1,1,0)</f>
        <v>0</v>
      </c>
      <c r="BY22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2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2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29" s="11">
        <f>IF(tblParticipants[[#This Row],[EarnWg2Qae]]=1,IFERROR(tblParticipants[[#This Row],[HoursPerWk2Qae]]*tblParticipants[[#This Row],[HrlyWg2Qae]]*13,0),0)</f>
        <v>0</v>
      </c>
      <c r="CC229" s="11">
        <f>IF(tblParticipants[[#This Row],[EarnWg3Qae]]=1,IFERROR(tblParticipants[[#This Row],[HoursPerWk3Qae]]*tblParticipants[[#This Row],[HrlyWg3Qae]]*13,0),0)</f>
        <v>0</v>
      </c>
      <c r="CD229" s="9">
        <f>IFERROR(IF(SUM(tblParticipants[[#This Row],[EarnWg1Qae]],tblParticipants[[#This Row],[EarnWg2Qae]],tblParticipants[[#This Row],[EarnWg3Qae]])=3,1,0),0)</f>
        <v>0</v>
      </c>
      <c r="CE229" s="12">
        <f>IF(tblParticipants[[#This Row],[EmplAll3Qae]]=1,tblParticipants[[#This Row],[Earnings2Qae]]+tblParticipants[[#This Row],[Earnings3Qae]],0)</f>
        <v>0</v>
      </c>
      <c r="CF229" s="407"/>
    </row>
    <row r="230" spans="1:84" x14ac:dyDescent="0.3">
      <c r="A230" s="19"/>
      <c r="B230" s="19"/>
      <c r="C230" s="20"/>
      <c r="D230" s="20"/>
      <c r="E230" s="26"/>
      <c r="F230" s="26"/>
      <c r="G230" s="26"/>
      <c r="H230" s="26"/>
      <c r="I230" s="26"/>
      <c r="J230" s="26"/>
      <c r="K230" s="26"/>
      <c r="L230" s="26"/>
      <c r="M230" s="20"/>
      <c r="N230" s="26"/>
      <c r="O230" s="22"/>
      <c r="P230" s="21"/>
      <c r="Q230" s="23"/>
      <c r="R230" s="21"/>
      <c r="S230" s="21"/>
      <c r="T230" s="21"/>
      <c r="U230" s="21"/>
      <c r="V230" s="21"/>
      <c r="W230" s="24"/>
      <c r="X230" s="20"/>
      <c r="Y230" s="20"/>
      <c r="Z230" s="21"/>
      <c r="AA230" s="21"/>
      <c r="AB230" s="21"/>
      <c r="AC230" s="21"/>
      <c r="AD230" s="21"/>
      <c r="AE230" s="21"/>
      <c r="AF230" s="21"/>
      <c r="AG230" s="21"/>
      <c r="AH230" s="21"/>
      <c r="AI230" s="25"/>
      <c r="AJ230" s="20"/>
      <c r="AK230" s="21"/>
      <c r="AL230" s="20"/>
      <c r="AM230" s="20"/>
      <c r="AN230" s="20"/>
      <c r="AO230" s="20"/>
      <c r="AP230" s="446"/>
      <c r="AQ230" s="20"/>
      <c r="AR230" s="20"/>
      <c r="AS230" s="20"/>
      <c r="AT230" s="20"/>
      <c r="AU230" s="26"/>
      <c r="AV230" s="98"/>
      <c r="AW230" s="98"/>
      <c r="AX230" s="98"/>
      <c r="AY230" s="98"/>
      <c r="AZ230" s="98"/>
      <c r="BA230" s="217"/>
      <c r="BB230" s="98"/>
      <c r="BC230" s="98"/>
      <c r="BD230" s="98"/>
      <c r="BE230" s="98"/>
      <c r="BF230" s="98"/>
      <c r="BG230" s="219"/>
      <c r="BH230" s="219"/>
      <c r="BI230" s="219"/>
      <c r="BJ230" s="26"/>
      <c r="BK230" s="21"/>
      <c r="BL230" s="21"/>
      <c r="BM230" s="22"/>
      <c r="BN230" s="21"/>
      <c r="BO230" s="21"/>
      <c r="BP230" s="22"/>
      <c r="BQ230" s="21"/>
      <c r="BR230" s="21"/>
      <c r="BS230" s="22"/>
      <c r="BT23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30" s="109" t="str">
        <f>IF(ISNUMBER(tblParticipants[[#This Row],[SvcStartDate]]),IF(AND(tblParticipants[[#This Row],[EnrollQtr]]=1,tblParticipants[[#This Row],[SvcStartDate]]&lt;DATE(conProgYear,7,1)),1,""),"")</f>
        <v/>
      </c>
      <c r="BV23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30" s="232" t="str">
        <f t="shared" ca="1" si="3"/>
        <v/>
      </c>
      <c r="BX230" s="9">
        <f>IF(SUM(IF(tblParticipants[[#This Row],[AmIndOrAkNtv]]=1,1,0),IF(tblParticipants[[#This Row],[Asian]]=1,1,0),IF(tblParticipants[[#This Row],[BlkOrAfAmer]]=1,1,0),IF(tblParticipants[[#This Row],[NtvHawOrPacIsl]]=1,1,0),IF(tblParticipants[[#This Row],[White]]=1,1,0))&gt;1,1,0)</f>
        <v>0</v>
      </c>
      <c r="BY23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3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3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30" s="11">
        <f>IF(tblParticipants[[#This Row],[EarnWg2Qae]]=1,IFERROR(tblParticipants[[#This Row],[HoursPerWk2Qae]]*tblParticipants[[#This Row],[HrlyWg2Qae]]*13,0),0)</f>
        <v>0</v>
      </c>
      <c r="CC230" s="11">
        <f>IF(tblParticipants[[#This Row],[EarnWg3Qae]]=1,IFERROR(tblParticipants[[#This Row],[HoursPerWk3Qae]]*tblParticipants[[#This Row],[HrlyWg3Qae]]*13,0),0)</f>
        <v>0</v>
      </c>
      <c r="CD230" s="9">
        <f>IFERROR(IF(SUM(tblParticipants[[#This Row],[EarnWg1Qae]],tblParticipants[[#This Row],[EarnWg2Qae]],tblParticipants[[#This Row],[EarnWg3Qae]])=3,1,0),0)</f>
        <v>0</v>
      </c>
      <c r="CE230" s="12">
        <f>IF(tblParticipants[[#This Row],[EmplAll3Qae]]=1,tblParticipants[[#This Row],[Earnings2Qae]]+tblParticipants[[#This Row],[Earnings3Qae]],0)</f>
        <v>0</v>
      </c>
      <c r="CF230" s="407"/>
    </row>
    <row r="231" spans="1:84" x14ac:dyDescent="0.3">
      <c r="A231" s="19"/>
      <c r="B231" s="19"/>
      <c r="C231" s="20"/>
      <c r="D231" s="20"/>
      <c r="E231" s="26"/>
      <c r="F231" s="26"/>
      <c r="G231" s="26"/>
      <c r="H231" s="26"/>
      <c r="I231" s="26"/>
      <c r="J231" s="26"/>
      <c r="K231" s="26"/>
      <c r="L231" s="26"/>
      <c r="M231" s="20"/>
      <c r="N231" s="26"/>
      <c r="O231" s="22"/>
      <c r="P231" s="21"/>
      <c r="Q231" s="23"/>
      <c r="R231" s="21"/>
      <c r="S231" s="21"/>
      <c r="T231" s="21"/>
      <c r="U231" s="21"/>
      <c r="V231" s="21"/>
      <c r="W231" s="24"/>
      <c r="X231" s="20"/>
      <c r="Y231" s="20"/>
      <c r="Z231" s="21"/>
      <c r="AA231" s="21"/>
      <c r="AB231" s="21"/>
      <c r="AC231" s="21"/>
      <c r="AD231" s="21"/>
      <c r="AE231" s="21"/>
      <c r="AF231" s="21"/>
      <c r="AG231" s="21"/>
      <c r="AH231" s="21"/>
      <c r="AI231" s="25"/>
      <c r="AJ231" s="20"/>
      <c r="AK231" s="21"/>
      <c r="AL231" s="20"/>
      <c r="AM231" s="20"/>
      <c r="AN231" s="20"/>
      <c r="AO231" s="20"/>
      <c r="AP231" s="446"/>
      <c r="AQ231" s="20"/>
      <c r="AR231" s="20"/>
      <c r="AS231" s="20"/>
      <c r="AT231" s="20"/>
      <c r="AU231" s="26"/>
      <c r="AV231" s="98"/>
      <c r="AW231" s="98"/>
      <c r="AX231" s="98"/>
      <c r="AY231" s="98"/>
      <c r="AZ231" s="98"/>
      <c r="BA231" s="217"/>
      <c r="BB231" s="98"/>
      <c r="BC231" s="98"/>
      <c r="BD231" s="98"/>
      <c r="BE231" s="98"/>
      <c r="BF231" s="98"/>
      <c r="BG231" s="219"/>
      <c r="BH231" s="219"/>
      <c r="BI231" s="219"/>
      <c r="BJ231" s="26"/>
      <c r="BK231" s="21"/>
      <c r="BL231" s="21"/>
      <c r="BM231" s="22"/>
      <c r="BN231" s="21"/>
      <c r="BO231" s="21"/>
      <c r="BP231" s="22"/>
      <c r="BQ231" s="21"/>
      <c r="BR231" s="21"/>
      <c r="BS231" s="22"/>
      <c r="BT23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31" s="109" t="str">
        <f>IF(ISNUMBER(tblParticipants[[#This Row],[SvcStartDate]]),IF(AND(tblParticipants[[#This Row],[EnrollQtr]]=1,tblParticipants[[#This Row],[SvcStartDate]]&lt;DATE(conProgYear,7,1)),1,""),"")</f>
        <v/>
      </c>
      <c r="BV23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31" s="232" t="str">
        <f t="shared" ca="1" si="3"/>
        <v/>
      </c>
      <c r="BX231" s="9">
        <f>IF(SUM(IF(tblParticipants[[#This Row],[AmIndOrAkNtv]]=1,1,0),IF(tblParticipants[[#This Row],[Asian]]=1,1,0),IF(tblParticipants[[#This Row],[BlkOrAfAmer]]=1,1,0),IF(tblParticipants[[#This Row],[NtvHawOrPacIsl]]=1,1,0),IF(tblParticipants[[#This Row],[White]]=1,1,0))&gt;1,1,0)</f>
        <v>0</v>
      </c>
      <c r="BY23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3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3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31" s="11">
        <f>IF(tblParticipants[[#This Row],[EarnWg2Qae]]=1,IFERROR(tblParticipants[[#This Row],[HoursPerWk2Qae]]*tblParticipants[[#This Row],[HrlyWg2Qae]]*13,0),0)</f>
        <v>0</v>
      </c>
      <c r="CC231" s="11">
        <f>IF(tblParticipants[[#This Row],[EarnWg3Qae]]=1,IFERROR(tblParticipants[[#This Row],[HoursPerWk3Qae]]*tblParticipants[[#This Row],[HrlyWg3Qae]]*13,0),0)</f>
        <v>0</v>
      </c>
      <c r="CD231" s="9">
        <f>IFERROR(IF(SUM(tblParticipants[[#This Row],[EarnWg1Qae]],tblParticipants[[#This Row],[EarnWg2Qae]],tblParticipants[[#This Row],[EarnWg3Qae]])=3,1,0),0)</f>
        <v>0</v>
      </c>
      <c r="CE231" s="12">
        <f>IF(tblParticipants[[#This Row],[EmplAll3Qae]]=1,tblParticipants[[#This Row],[Earnings2Qae]]+tblParticipants[[#This Row],[Earnings3Qae]],0)</f>
        <v>0</v>
      </c>
      <c r="CF231" s="407"/>
    </row>
    <row r="232" spans="1:84" x14ac:dyDescent="0.3">
      <c r="A232" s="19"/>
      <c r="B232" s="19"/>
      <c r="C232" s="20"/>
      <c r="D232" s="20"/>
      <c r="E232" s="26"/>
      <c r="F232" s="26"/>
      <c r="G232" s="26"/>
      <c r="H232" s="26"/>
      <c r="I232" s="26"/>
      <c r="J232" s="26"/>
      <c r="K232" s="26"/>
      <c r="L232" s="26"/>
      <c r="M232" s="20"/>
      <c r="N232" s="26"/>
      <c r="O232" s="22"/>
      <c r="P232" s="21"/>
      <c r="Q232" s="23"/>
      <c r="R232" s="21"/>
      <c r="S232" s="21"/>
      <c r="T232" s="21"/>
      <c r="U232" s="21"/>
      <c r="V232" s="21"/>
      <c r="W232" s="24"/>
      <c r="X232" s="20"/>
      <c r="Y232" s="20"/>
      <c r="Z232" s="21"/>
      <c r="AA232" s="21"/>
      <c r="AB232" s="21"/>
      <c r="AC232" s="21"/>
      <c r="AD232" s="21"/>
      <c r="AE232" s="21"/>
      <c r="AF232" s="21"/>
      <c r="AG232" s="21"/>
      <c r="AH232" s="21"/>
      <c r="AI232" s="25"/>
      <c r="AJ232" s="20"/>
      <c r="AK232" s="21"/>
      <c r="AL232" s="20"/>
      <c r="AM232" s="20"/>
      <c r="AN232" s="20"/>
      <c r="AO232" s="20"/>
      <c r="AP232" s="446"/>
      <c r="AQ232" s="20"/>
      <c r="AR232" s="20"/>
      <c r="AS232" s="20"/>
      <c r="AT232" s="20"/>
      <c r="AU232" s="26"/>
      <c r="AV232" s="98"/>
      <c r="AW232" s="98"/>
      <c r="AX232" s="98"/>
      <c r="AY232" s="98"/>
      <c r="AZ232" s="98"/>
      <c r="BA232" s="217"/>
      <c r="BB232" s="98"/>
      <c r="BC232" s="98"/>
      <c r="BD232" s="98"/>
      <c r="BE232" s="98"/>
      <c r="BF232" s="98"/>
      <c r="BG232" s="219"/>
      <c r="BH232" s="219"/>
      <c r="BI232" s="219"/>
      <c r="BJ232" s="26"/>
      <c r="BK232" s="21"/>
      <c r="BL232" s="21"/>
      <c r="BM232" s="22"/>
      <c r="BN232" s="21"/>
      <c r="BO232" s="21"/>
      <c r="BP232" s="22"/>
      <c r="BQ232" s="21"/>
      <c r="BR232" s="21"/>
      <c r="BS232" s="22"/>
      <c r="BT23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32" s="109" t="str">
        <f>IF(ISNUMBER(tblParticipants[[#This Row],[SvcStartDate]]),IF(AND(tblParticipants[[#This Row],[EnrollQtr]]=1,tblParticipants[[#This Row],[SvcStartDate]]&lt;DATE(conProgYear,7,1)),1,""),"")</f>
        <v/>
      </c>
      <c r="BV23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32" s="232" t="str">
        <f t="shared" ca="1" si="3"/>
        <v/>
      </c>
      <c r="BX232" s="9">
        <f>IF(SUM(IF(tblParticipants[[#This Row],[AmIndOrAkNtv]]=1,1,0),IF(tblParticipants[[#This Row],[Asian]]=1,1,0),IF(tblParticipants[[#This Row],[BlkOrAfAmer]]=1,1,0),IF(tblParticipants[[#This Row],[NtvHawOrPacIsl]]=1,1,0),IF(tblParticipants[[#This Row],[White]]=1,1,0))&gt;1,1,0)</f>
        <v>0</v>
      </c>
      <c r="BY23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3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3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32" s="11">
        <f>IF(tblParticipants[[#This Row],[EarnWg2Qae]]=1,IFERROR(tblParticipants[[#This Row],[HoursPerWk2Qae]]*tblParticipants[[#This Row],[HrlyWg2Qae]]*13,0),0)</f>
        <v>0</v>
      </c>
      <c r="CC232" s="11">
        <f>IF(tblParticipants[[#This Row],[EarnWg3Qae]]=1,IFERROR(tblParticipants[[#This Row],[HoursPerWk3Qae]]*tblParticipants[[#This Row],[HrlyWg3Qae]]*13,0),0)</f>
        <v>0</v>
      </c>
      <c r="CD232" s="9">
        <f>IFERROR(IF(SUM(tblParticipants[[#This Row],[EarnWg1Qae]],tblParticipants[[#This Row],[EarnWg2Qae]],tblParticipants[[#This Row],[EarnWg3Qae]])=3,1,0),0)</f>
        <v>0</v>
      </c>
      <c r="CE232" s="12">
        <f>IF(tblParticipants[[#This Row],[EmplAll3Qae]]=1,tblParticipants[[#This Row],[Earnings2Qae]]+tblParticipants[[#This Row],[Earnings3Qae]],0)</f>
        <v>0</v>
      </c>
      <c r="CF232" s="407"/>
    </row>
    <row r="233" spans="1:84" x14ac:dyDescent="0.3">
      <c r="A233" s="19"/>
      <c r="B233" s="19"/>
      <c r="C233" s="20"/>
      <c r="D233" s="20"/>
      <c r="E233" s="26"/>
      <c r="F233" s="26"/>
      <c r="G233" s="26"/>
      <c r="H233" s="26"/>
      <c r="I233" s="26"/>
      <c r="J233" s="26"/>
      <c r="K233" s="26"/>
      <c r="L233" s="26"/>
      <c r="M233" s="20"/>
      <c r="N233" s="26"/>
      <c r="O233" s="22"/>
      <c r="P233" s="21"/>
      <c r="Q233" s="23"/>
      <c r="R233" s="21"/>
      <c r="S233" s="21"/>
      <c r="T233" s="21"/>
      <c r="U233" s="21"/>
      <c r="V233" s="21"/>
      <c r="W233" s="24"/>
      <c r="X233" s="20"/>
      <c r="Y233" s="20"/>
      <c r="Z233" s="21"/>
      <c r="AA233" s="21"/>
      <c r="AB233" s="21"/>
      <c r="AC233" s="21"/>
      <c r="AD233" s="21"/>
      <c r="AE233" s="21"/>
      <c r="AF233" s="21"/>
      <c r="AG233" s="21"/>
      <c r="AH233" s="21"/>
      <c r="AI233" s="25"/>
      <c r="AJ233" s="20"/>
      <c r="AK233" s="21"/>
      <c r="AL233" s="20"/>
      <c r="AM233" s="20"/>
      <c r="AN233" s="20"/>
      <c r="AO233" s="20"/>
      <c r="AP233" s="446"/>
      <c r="AQ233" s="20"/>
      <c r="AR233" s="20"/>
      <c r="AS233" s="20"/>
      <c r="AT233" s="20"/>
      <c r="AU233" s="26"/>
      <c r="AV233" s="98"/>
      <c r="AW233" s="98"/>
      <c r="AX233" s="98"/>
      <c r="AY233" s="98"/>
      <c r="AZ233" s="98"/>
      <c r="BA233" s="217"/>
      <c r="BB233" s="98"/>
      <c r="BC233" s="98"/>
      <c r="BD233" s="98"/>
      <c r="BE233" s="98"/>
      <c r="BF233" s="98"/>
      <c r="BG233" s="219"/>
      <c r="BH233" s="219"/>
      <c r="BI233" s="219"/>
      <c r="BJ233" s="26"/>
      <c r="BK233" s="21"/>
      <c r="BL233" s="21"/>
      <c r="BM233" s="22"/>
      <c r="BN233" s="21"/>
      <c r="BO233" s="21"/>
      <c r="BP233" s="22"/>
      <c r="BQ233" s="21"/>
      <c r="BR233" s="21"/>
      <c r="BS233" s="22"/>
      <c r="BT23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33" s="109" t="str">
        <f>IF(ISNUMBER(tblParticipants[[#This Row],[SvcStartDate]]),IF(AND(tblParticipants[[#This Row],[EnrollQtr]]=1,tblParticipants[[#This Row],[SvcStartDate]]&lt;DATE(conProgYear,7,1)),1,""),"")</f>
        <v/>
      </c>
      <c r="BV23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33" s="232" t="str">
        <f t="shared" ca="1" si="3"/>
        <v/>
      </c>
      <c r="BX233" s="9">
        <f>IF(SUM(IF(tblParticipants[[#This Row],[AmIndOrAkNtv]]=1,1,0),IF(tblParticipants[[#This Row],[Asian]]=1,1,0),IF(tblParticipants[[#This Row],[BlkOrAfAmer]]=1,1,0),IF(tblParticipants[[#This Row],[NtvHawOrPacIsl]]=1,1,0),IF(tblParticipants[[#This Row],[White]]=1,1,0))&gt;1,1,0)</f>
        <v>0</v>
      </c>
      <c r="BY23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3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3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33" s="11">
        <f>IF(tblParticipants[[#This Row],[EarnWg2Qae]]=1,IFERROR(tblParticipants[[#This Row],[HoursPerWk2Qae]]*tblParticipants[[#This Row],[HrlyWg2Qae]]*13,0),0)</f>
        <v>0</v>
      </c>
      <c r="CC233" s="11">
        <f>IF(tblParticipants[[#This Row],[EarnWg3Qae]]=1,IFERROR(tblParticipants[[#This Row],[HoursPerWk3Qae]]*tblParticipants[[#This Row],[HrlyWg3Qae]]*13,0),0)</f>
        <v>0</v>
      </c>
      <c r="CD233" s="9">
        <f>IFERROR(IF(SUM(tblParticipants[[#This Row],[EarnWg1Qae]],tblParticipants[[#This Row],[EarnWg2Qae]],tblParticipants[[#This Row],[EarnWg3Qae]])=3,1,0),0)</f>
        <v>0</v>
      </c>
      <c r="CE233" s="12">
        <f>IF(tblParticipants[[#This Row],[EmplAll3Qae]]=1,tblParticipants[[#This Row],[Earnings2Qae]]+tblParticipants[[#This Row],[Earnings3Qae]],0)</f>
        <v>0</v>
      </c>
      <c r="CF233" s="407"/>
    </row>
    <row r="234" spans="1:84" x14ac:dyDescent="0.3">
      <c r="A234" s="19"/>
      <c r="B234" s="19"/>
      <c r="C234" s="20"/>
      <c r="D234" s="20"/>
      <c r="E234" s="26"/>
      <c r="F234" s="26"/>
      <c r="G234" s="26"/>
      <c r="H234" s="26"/>
      <c r="I234" s="26"/>
      <c r="J234" s="26"/>
      <c r="K234" s="26"/>
      <c r="L234" s="26"/>
      <c r="M234" s="20"/>
      <c r="N234" s="26"/>
      <c r="O234" s="22"/>
      <c r="P234" s="21"/>
      <c r="Q234" s="23"/>
      <c r="R234" s="21"/>
      <c r="S234" s="21"/>
      <c r="T234" s="21"/>
      <c r="U234" s="21"/>
      <c r="V234" s="21"/>
      <c r="W234" s="24"/>
      <c r="X234" s="20"/>
      <c r="Y234" s="20"/>
      <c r="Z234" s="21"/>
      <c r="AA234" s="21"/>
      <c r="AB234" s="21"/>
      <c r="AC234" s="21"/>
      <c r="AD234" s="21"/>
      <c r="AE234" s="21"/>
      <c r="AF234" s="21"/>
      <c r="AG234" s="21"/>
      <c r="AH234" s="21"/>
      <c r="AI234" s="25"/>
      <c r="AJ234" s="20"/>
      <c r="AK234" s="21"/>
      <c r="AL234" s="20"/>
      <c r="AM234" s="20"/>
      <c r="AN234" s="20"/>
      <c r="AO234" s="20"/>
      <c r="AP234" s="446"/>
      <c r="AQ234" s="20"/>
      <c r="AR234" s="20"/>
      <c r="AS234" s="20"/>
      <c r="AT234" s="20"/>
      <c r="AU234" s="26"/>
      <c r="AV234" s="98"/>
      <c r="AW234" s="98"/>
      <c r="AX234" s="98"/>
      <c r="AY234" s="98"/>
      <c r="AZ234" s="98"/>
      <c r="BA234" s="217"/>
      <c r="BB234" s="98"/>
      <c r="BC234" s="98"/>
      <c r="BD234" s="98"/>
      <c r="BE234" s="98"/>
      <c r="BF234" s="98"/>
      <c r="BG234" s="219"/>
      <c r="BH234" s="219"/>
      <c r="BI234" s="219"/>
      <c r="BJ234" s="26"/>
      <c r="BK234" s="21"/>
      <c r="BL234" s="21"/>
      <c r="BM234" s="22"/>
      <c r="BN234" s="21"/>
      <c r="BO234" s="21"/>
      <c r="BP234" s="22"/>
      <c r="BQ234" s="21"/>
      <c r="BR234" s="21"/>
      <c r="BS234" s="22"/>
      <c r="BT23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34" s="109" t="str">
        <f>IF(ISNUMBER(tblParticipants[[#This Row],[SvcStartDate]]),IF(AND(tblParticipants[[#This Row],[EnrollQtr]]=1,tblParticipants[[#This Row],[SvcStartDate]]&lt;DATE(conProgYear,7,1)),1,""),"")</f>
        <v/>
      </c>
      <c r="BV23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34" s="232" t="str">
        <f t="shared" ca="1" si="3"/>
        <v/>
      </c>
      <c r="BX234" s="9">
        <f>IF(SUM(IF(tblParticipants[[#This Row],[AmIndOrAkNtv]]=1,1,0),IF(tblParticipants[[#This Row],[Asian]]=1,1,0),IF(tblParticipants[[#This Row],[BlkOrAfAmer]]=1,1,0),IF(tblParticipants[[#This Row],[NtvHawOrPacIsl]]=1,1,0),IF(tblParticipants[[#This Row],[White]]=1,1,0))&gt;1,1,0)</f>
        <v>0</v>
      </c>
      <c r="BY23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3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3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34" s="11">
        <f>IF(tblParticipants[[#This Row],[EarnWg2Qae]]=1,IFERROR(tblParticipants[[#This Row],[HoursPerWk2Qae]]*tblParticipants[[#This Row],[HrlyWg2Qae]]*13,0),0)</f>
        <v>0</v>
      </c>
      <c r="CC234" s="11">
        <f>IF(tblParticipants[[#This Row],[EarnWg3Qae]]=1,IFERROR(tblParticipants[[#This Row],[HoursPerWk3Qae]]*tblParticipants[[#This Row],[HrlyWg3Qae]]*13,0),0)</f>
        <v>0</v>
      </c>
      <c r="CD234" s="9">
        <f>IFERROR(IF(SUM(tblParticipants[[#This Row],[EarnWg1Qae]],tblParticipants[[#This Row],[EarnWg2Qae]],tblParticipants[[#This Row],[EarnWg3Qae]])=3,1,0),0)</f>
        <v>0</v>
      </c>
      <c r="CE234" s="12">
        <f>IF(tblParticipants[[#This Row],[EmplAll3Qae]]=1,tblParticipants[[#This Row],[Earnings2Qae]]+tblParticipants[[#This Row],[Earnings3Qae]],0)</f>
        <v>0</v>
      </c>
      <c r="CF234" s="407"/>
    </row>
    <row r="235" spans="1:84" x14ac:dyDescent="0.3">
      <c r="A235" s="19"/>
      <c r="B235" s="19"/>
      <c r="C235" s="20"/>
      <c r="D235" s="20"/>
      <c r="E235" s="26"/>
      <c r="F235" s="26"/>
      <c r="G235" s="26"/>
      <c r="H235" s="26"/>
      <c r="I235" s="26"/>
      <c r="J235" s="26"/>
      <c r="K235" s="26"/>
      <c r="L235" s="26"/>
      <c r="M235" s="20"/>
      <c r="N235" s="26"/>
      <c r="O235" s="22"/>
      <c r="P235" s="21"/>
      <c r="Q235" s="23"/>
      <c r="R235" s="21"/>
      <c r="S235" s="21"/>
      <c r="T235" s="21"/>
      <c r="U235" s="21"/>
      <c r="V235" s="21"/>
      <c r="W235" s="24"/>
      <c r="X235" s="20"/>
      <c r="Y235" s="20"/>
      <c r="Z235" s="21"/>
      <c r="AA235" s="21"/>
      <c r="AB235" s="21"/>
      <c r="AC235" s="21"/>
      <c r="AD235" s="21"/>
      <c r="AE235" s="21"/>
      <c r="AF235" s="21"/>
      <c r="AG235" s="21"/>
      <c r="AH235" s="21"/>
      <c r="AI235" s="25"/>
      <c r="AJ235" s="20"/>
      <c r="AK235" s="21"/>
      <c r="AL235" s="20"/>
      <c r="AM235" s="20"/>
      <c r="AN235" s="20"/>
      <c r="AO235" s="20"/>
      <c r="AP235" s="446"/>
      <c r="AQ235" s="20"/>
      <c r="AR235" s="20"/>
      <c r="AS235" s="20"/>
      <c r="AT235" s="20"/>
      <c r="AU235" s="26"/>
      <c r="AV235" s="98"/>
      <c r="AW235" s="98"/>
      <c r="AX235" s="98"/>
      <c r="AY235" s="98"/>
      <c r="AZ235" s="98"/>
      <c r="BA235" s="217"/>
      <c r="BB235" s="98"/>
      <c r="BC235" s="98"/>
      <c r="BD235" s="98"/>
      <c r="BE235" s="98"/>
      <c r="BF235" s="98"/>
      <c r="BG235" s="219"/>
      <c r="BH235" s="219"/>
      <c r="BI235" s="219"/>
      <c r="BJ235" s="26"/>
      <c r="BK235" s="21"/>
      <c r="BL235" s="21"/>
      <c r="BM235" s="22"/>
      <c r="BN235" s="21"/>
      <c r="BO235" s="21"/>
      <c r="BP235" s="22"/>
      <c r="BQ235" s="21"/>
      <c r="BR235" s="21"/>
      <c r="BS235" s="22"/>
      <c r="BT23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35" s="109" t="str">
        <f>IF(ISNUMBER(tblParticipants[[#This Row],[SvcStartDate]]),IF(AND(tblParticipants[[#This Row],[EnrollQtr]]=1,tblParticipants[[#This Row],[SvcStartDate]]&lt;DATE(conProgYear,7,1)),1,""),"")</f>
        <v/>
      </c>
      <c r="BV23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35" s="232" t="str">
        <f t="shared" ca="1" si="3"/>
        <v/>
      </c>
      <c r="BX235" s="9">
        <f>IF(SUM(IF(tblParticipants[[#This Row],[AmIndOrAkNtv]]=1,1,0),IF(tblParticipants[[#This Row],[Asian]]=1,1,0),IF(tblParticipants[[#This Row],[BlkOrAfAmer]]=1,1,0),IF(tblParticipants[[#This Row],[NtvHawOrPacIsl]]=1,1,0),IF(tblParticipants[[#This Row],[White]]=1,1,0))&gt;1,1,0)</f>
        <v>0</v>
      </c>
      <c r="BY23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3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3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35" s="11">
        <f>IF(tblParticipants[[#This Row],[EarnWg2Qae]]=1,IFERROR(tblParticipants[[#This Row],[HoursPerWk2Qae]]*tblParticipants[[#This Row],[HrlyWg2Qae]]*13,0),0)</f>
        <v>0</v>
      </c>
      <c r="CC235" s="11">
        <f>IF(tblParticipants[[#This Row],[EarnWg3Qae]]=1,IFERROR(tblParticipants[[#This Row],[HoursPerWk3Qae]]*tblParticipants[[#This Row],[HrlyWg3Qae]]*13,0),0)</f>
        <v>0</v>
      </c>
      <c r="CD235" s="9">
        <f>IFERROR(IF(SUM(tblParticipants[[#This Row],[EarnWg1Qae]],tblParticipants[[#This Row],[EarnWg2Qae]],tblParticipants[[#This Row],[EarnWg3Qae]])=3,1,0),0)</f>
        <v>0</v>
      </c>
      <c r="CE235" s="12">
        <f>IF(tblParticipants[[#This Row],[EmplAll3Qae]]=1,tblParticipants[[#This Row],[Earnings2Qae]]+tblParticipants[[#This Row],[Earnings3Qae]],0)</f>
        <v>0</v>
      </c>
      <c r="CF235" s="407"/>
    </row>
    <row r="236" spans="1:84" x14ac:dyDescent="0.3">
      <c r="A236" s="19"/>
      <c r="B236" s="19"/>
      <c r="C236" s="20"/>
      <c r="D236" s="20"/>
      <c r="E236" s="26"/>
      <c r="F236" s="26"/>
      <c r="G236" s="26"/>
      <c r="H236" s="26"/>
      <c r="I236" s="26"/>
      <c r="J236" s="26"/>
      <c r="K236" s="26"/>
      <c r="L236" s="26"/>
      <c r="M236" s="20"/>
      <c r="N236" s="26"/>
      <c r="O236" s="22"/>
      <c r="P236" s="21"/>
      <c r="Q236" s="23"/>
      <c r="R236" s="21"/>
      <c r="S236" s="21"/>
      <c r="T236" s="21"/>
      <c r="U236" s="21"/>
      <c r="V236" s="21"/>
      <c r="W236" s="24"/>
      <c r="X236" s="20"/>
      <c r="Y236" s="20"/>
      <c r="Z236" s="21"/>
      <c r="AA236" s="21"/>
      <c r="AB236" s="21"/>
      <c r="AC236" s="21"/>
      <c r="AD236" s="21"/>
      <c r="AE236" s="21"/>
      <c r="AF236" s="21"/>
      <c r="AG236" s="21"/>
      <c r="AH236" s="21"/>
      <c r="AI236" s="25"/>
      <c r="AJ236" s="20"/>
      <c r="AK236" s="21"/>
      <c r="AL236" s="20"/>
      <c r="AM236" s="20"/>
      <c r="AN236" s="20"/>
      <c r="AO236" s="20"/>
      <c r="AP236" s="446"/>
      <c r="AQ236" s="20"/>
      <c r="AR236" s="20"/>
      <c r="AS236" s="20"/>
      <c r="AT236" s="20"/>
      <c r="AU236" s="26"/>
      <c r="AV236" s="98"/>
      <c r="AW236" s="98"/>
      <c r="AX236" s="98"/>
      <c r="AY236" s="98"/>
      <c r="AZ236" s="98"/>
      <c r="BA236" s="217"/>
      <c r="BB236" s="98"/>
      <c r="BC236" s="98"/>
      <c r="BD236" s="98"/>
      <c r="BE236" s="98"/>
      <c r="BF236" s="98"/>
      <c r="BG236" s="219"/>
      <c r="BH236" s="219"/>
      <c r="BI236" s="219"/>
      <c r="BJ236" s="26"/>
      <c r="BK236" s="21"/>
      <c r="BL236" s="21"/>
      <c r="BM236" s="22"/>
      <c r="BN236" s="21"/>
      <c r="BO236" s="21"/>
      <c r="BP236" s="22"/>
      <c r="BQ236" s="21"/>
      <c r="BR236" s="21"/>
      <c r="BS236" s="22"/>
      <c r="BT23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36" s="109" t="str">
        <f>IF(ISNUMBER(tblParticipants[[#This Row],[SvcStartDate]]),IF(AND(tblParticipants[[#This Row],[EnrollQtr]]=1,tblParticipants[[#This Row],[SvcStartDate]]&lt;DATE(conProgYear,7,1)),1,""),"")</f>
        <v/>
      </c>
      <c r="BV23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36" s="232" t="str">
        <f t="shared" ca="1" si="3"/>
        <v/>
      </c>
      <c r="BX236" s="9">
        <f>IF(SUM(IF(tblParticipants[[#This Row],[AmIndOrAkNtv]]=1,1,0),IF(tblParticipants[[#This Row],[Asian]]=1,1,0),IF(tblParticipants[[#This Row],[BlkOrAfAmer]]=1,1,0),IF(tblParticipants[[#This Row],[NtvHawOrPacIsl]]=1,1,0),IF(tblParticipants[[#This Row],[White]]=1,1,0))&gt;1,1,0)</f>
        <v>0</v>
      </c>
      <c r="BY23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3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3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36" s="11">
        <f>IF(tblParticipants[[#This Row],[EarnWg2Qae]]=1,IFERROR(tblParticipants[[#This Row],[HoursPerWk2Qae]]*tblParticipants[[#This Row],[HrlyWg2Qae]]*13,0),0)</f>
        <v>0</v>
      </c>
      <c r="CC236" s="11">
        <f>IF(tblParticipants[[#This Row],[EarnWg3Qae]]=1,IFERROR(tblParticipants[[#This Row],[HoursPerWk3Qae]]*tblParticipants[[#This Row],[HrlyWg3Qae]]*13,0),0)</f>
        <v>0</v>
      </c>
      <c r="CD236" s="9">
        <f>IFERROR(IF(SUM(tblParticipants[[#This Row],[EarnWg1Qae]],tblParticipants[[#This Row],[EarnWg2Qae]],tblParticipants[[#This Row],[EarnWg3Qae]])=3,1,0),0)</f>
        <v>0</v>
      </c>
      <c r="CE236" s="12">
        <f>IF(tblParticipants[[#This Row],[EmplAll3Qae]]=1,tblParticipants[[#This Row],[Earnings2Qae]]+tblParticipants[[#This Row],[Earnings3Qae]],0)</f>
        <v>0</v>
      </c>
      <c r="CF236" s="407"/>
    </row>
    <row r="237" spans="1:84" x14ac:dyDescent="0.3">
      <c r="A237" s="19"/>
      <c r="B237" s="19"/>
      <c r="C237" s="20"/>
      <c r="D237" s="20"/>
      <c r="E237" s="26"/>
      <c r="F237" s="26"/>
      <c r="G237" s="26"/>
      <c r="H237" s="26"/>
      <c r="I237" s="26"/>
      <c r="J237" s="26"/>
      <c r="K237" s="26"/>
      <c r="L237" s="26"/>
      <c r="M237" s="20"/>
      <c r="N237" s="26"/>
      <c r="O237" s="22"/>
      <c r="P237" s="21"/>
      <c r="Q237" s="23"/>
      <c r="R237" s="21"/>
      <c r="S237" s="21"/>
      <c r="T237" s="21"/>
      <c r="U237" s="21"/>
      <c r="V237" s="21"/>
      <c r="W237" s="24"/>
      <c r="X237" s="20"/>
      <c r="Y237" s="20"/>
      <c r="Z237" s="21"/>
      <c r="AA237" s="21"/>
      <c r="AB237" s="21"/>
      <c r="AC237" s="21"/>
      <c r="AD237" s="21"/>
      <c r="AE237" s="21"/>
      <c r="AF237" s="21"/>
      <c r="AG237" s="21"/>
      <c r="AH237" s="21"/>
      <c r="AI237" s="25"/>
      <c r="AJ237" s="20"/>
      <c r="AK237" s="21"/>
      <c r="AL237" s="20"/>
      <c r="AM237" s="20"/>
      <c r="AN237" s="20"/>
      <c r="AO237" s="20"/>
      <c r="AP237" s="446"/>
      <c r="AQ237" s="20"/>
      <c r="AR237" s="20"/>
      <c r="AS237" s="20"/>
      <c r="AT237" s="20"/>
      <c r="AU237" s="26"/>
      <c r="AV237" s="98"/>
      <c r="AW237" s="98"/>
      <c r="AX237" s="98"/>
      <c r="AY237" s="98"/>
      <c r="AZ237" s="98"/>
      <c r="BA237" s="217"/>
      <c r="BB237" s="98"/>
      <c r="BC237" s="98"/>
      <c r="BD237" s="98"/>
      <c r="BE237" s="98"/>
      <c r="BF237" s="98"/>
      <c r="BG237" s="219"/>
      <c r="BH237" s="219"/>
      <c r="BI237" s="219"/>
      <c r="BJ237" s="26"/>
      <c r="BK237" s="21"/>
      <c r="BL237" s="21"/>
      <c r="BM237" s="22"/>
      <c r="BN237" s="21"/>
      <c r="BO237" s="21"/>
      <c r="BP237" s="22"/>
      <c r="BQ237" s="21"/>
      <c r="BR237" s="21"/>
      <c r="BS237" s="22"/>
      <c r="BT23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37" s="109" t="str">
        <f>IF(ISNUMBER(tblParticipants[[#This Row],[SvcStartDate]]),IF(AND(tblParticipants[[#This Row],[EnrollQtr]]=1,tblParticipants[[#This Row],[SvcStartDate]]&lt;DATE(conProgYear,7,1)),1,""),"")</f>
        <v/>
      </c>
      <c r="BV23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37" s="232" t="str">
        <f t="shared" ca="1" si="3"/>
        <v/>
      </c>
      <c r="BX237" s="9">
        <f>IF(SUM(IF(tblParticipants[[#This Row],[AmIndOrAkNtv]]=1,1,0),IF(tblParticipants[[#This Row],[Asian]]=1,1,0),IF(tblParticipants[[#This Row],[BlkOrAfAmer]]=1,1,0),IF(tblParticipants[[#This Row],[NtvHawOrPacIsl]]=1,1,0),IF(tblParticipants[[#This Row],[White]]=1,1,0))&gt;1,1,0)</f>
        <v>0</v>
      </c>
      <c r="BY23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3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3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37" s="11">
        <f>IF(tblParticipants[[#This Row],[EarnWg2Qae]]=1,IFERROR(tblParticipants[[#This Row],[HoursPerWk2Qae]]*tblParticipants[[#This Row],[HrlyWg2Qae]]*13,0),0)</f>
        <v>0</v>
      </c>
      <c r="CC237" s="11">
        <f>IF(tblParticipants[[#This Row],[EarnWg3Qae]]=1,IFERROR(tblParticipants[[#This Row],[HoursPerWk3Qae]]*tblParticipants[[#This Row],[HrlyWg3Qae]]*13,0),0)</f>
        <v>0</v>
      </c>
      <c r="CD237" s="9">
        <f>IFERROR(IF(SUM(tblParticipants[[#This Row],[EarnWg1Qae]],tblParticipants[[#This Row],[EarnWg2Qae]],tblParticipants[[#This Row],[EarnWg3Qae]])=3,1,0),0)</f>
        <v>0</v>
      </c>
      <c r="CE237" s="12">
        <f>IF(tblParticipants[[#This Row],[EmplAll3Qae]]=1,tblParticipants[[#This Row],[Earnings2Qae]]+tblParticipants[[#This Row],[Earnings3Qae]],0)</f>
        <v>0</v>
      </c>
      <c r="CF237" s="407"/>
    </row>
    <row r="238" spans="1:84" x14ac:dyDescent="0.3">
      <c r="A238" s="19"/>
      <c r="B238" s="19"/>
      <c r="C238" s="20"/>
      <c r="D238" s="20"/>
      <c r="E238" s="26"/>
      <c r="F238" s="26"/>
      <c r="G238" s="26"/>
      <c r="H238" s="26"/>
      <c r="I238" s="26"/>
      <c r="J238" s="26"/>
      <c r="K238" s="26"/>
      <c r="L238" s="26"/>
      <c r="M238" s="20"/>
      <c r="N238" s="26"/>
      <c r="O238" s="22"/>
      <c r="P238" s="21"/>
      <c r="Q238" s="23"/>
      <c r="R238" s="21"/>
      <c r="S238" s="21"/>
      <c r="T238" s="21"/>
      <c r="U238" s="21"/>
      <c r="V238" s="21"/>
      <c r="W238" s="24"/>
      <c r="X238" s="20"/>
      <c r="Y238" s="20"/>
      <c r="Z238" s="21"/>
      <c r="AA238" s="21"/>
      <c r="AB238" s="21"/>
      <c r="AC238" s="21"/>
      <c r="AD238" s="21"/>
      <c r="AE238" s="21"/>
      <c r="AF238" s="21"/>
      <c r="AG238" s="21"/>
      <c r="AH238" s="21"/>
      <c r="AI238" s="25"/>
      <c r="AJ238" s="20"/>
      <c r="AK238" s="21"/>
      <c r="AL238" s="20"/>
      <c r="AM238" s="20"/>
      <c r="AN238" s="20"/>
      <c r="AO238" s="20"/>
      <c r="AP238" s="446"/>
      <c r="AQ238" s="20"/>
      <c r="AR238" s="20"/>
      <c r="AS238" s="20"/>
      <c r="AT238" s="20"/>
      <c r="AU238" s="26"/>
      <c r="AV238" s="98"/>
      <c r="AW238" s="98"/>
      <c r="AX238" s="98"/>
      <c r="AY238" s="98"/>
      <c r="AZ238" s="98"/>
      <c r="BA238" s="217"/>
      <c r="BB238" s="98"/>
      <c r="BC238" s="98"/>
      <c r="BD238" s="98"/>
      <c r="BE238" s="98"/>
      <c r="BF238" s="98"/>
      <c r="BG238" s="219"/>
      <c r="BH238" s="219"/>
      <c r="BI238" s="219"/>
      <c r="BJ238" s="26"/>
      <c r="BK238" s="21"/>
      <c r="BL238" s="21"/>
      <c r="BM238" s="22"/>
      <c r="BN238" s="21"/>
      <c r="BO238" s="21"/>
      <c r="BP238" s="22"/>
      <c r="BQ238" s="21"/>
      <c r="BR238" s="21"/>
      <c r="BS238" s="22"/>
      <c r="BT23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38" s="109" t="str">
        <f>IF(ISNUMBER(tblParticipants[[#This Row],[SvcStartDate]]),IF(AND(tblParticipants[[#This Row],[EnrollQtr]]=1,tblParticipants[[#This Row],[SvcStartDate]]&lt;DATE(conProgYear,7,1)),1,""),"")</f>
        <v/>
      </c>
      <c r="BV23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38" s="232" t="str">
        <f t="shared" ca="1" si="3"/>
        <v/>
      </c>
      <c r="BX238" s="9">
        <f>IF(SUM(IF(tblParticipants[[#This Row],[AmIndOrAkNtv]]=1,1,0),IF(tblParticipants[[#This Row],[Asian]]=1,1,0),IF(tblParticipants[[#This Row],[BlkOrAfAmer]]=1,1,0),IF(tblParticipants[[#This Row],[NtvHawOrPacIsl]]=1,1,0),IF(tblParticipants[[#This Row],[White]]=1,1,0))&gt;1,1,0)</f>
        <v>0</v>
      </c>
      <c r="BY23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3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3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38" s="11">
        <f>IF(tblParticipants[[#This Row],[EarnWg2Qae]]=1,IFERROR(tblParticipants[[#This Row],[HoursPerWk2Qae]]*tblParticipants[[#This Row],[HrlyWg2Qae]]*13,0),0)</f>
        <v>0</v>
      </c>
      <c r="CC238" s="11">
        <f>IF(tblParticipants[[#This Row],[EarnWg3Qae]]=1,IFERROR(tblParticipants[[#This Row],[HoursPerWk3Qae]]*tblParticipants[[#This Row],[HrlyWg3Qae]]*13,0),0)</f>
        <v>0</v>
      </c>
      <c r="CD238" s="9">
        <f>IFERROR(IF(SUM(tblParticipants[[#This Row],[EarnWg1Qae]],tblParticipants[[#This Row],[EarnWg2Qae]],tblParticipants[[#This Row],[EarnWg3Qae]])=3,1,0),0)</f>
        <v>0</v>
      </c>
      <c r="CE238" s="12">
        <f>IF(tblParticipants[[#This Row],[EmplAll3Qae]]=1,tblParticipants[[#This Row],[Earnings2Qae]]+tblParticipants[[#This Row],[Earnings3Qae]],0)</f>
        <v>0</v>
      </c>
      <c r="CF238" s="407"/>
    </row>
    <row r="239" spans="1:84" x14ac:dyDescent="0.3">
      <c r="A239" s="19"/>
      <c r="B239" s="19"/>
      <c r="C239" s="20"/>
      <c r="D239" s="20"/>
      <c r="E239" s="26"/>
      <c r="F239" s="26"/>
      <c r="G239" s="26"/>
      <c r="H239" s="26"/>
      <c r="I239" s="26"/>
      <c r="J239" s="26"/>
      <c r="K239" s="26"/>
      <c r="L239" s="26"/>
      <c r="M239" s="20"/>
      <c r="N239" s="26"/>
      <c r="O239" s="22"/>
      <c r="P239" s="21"/>
      <c r="Q239" s="23"/>
      <c r="R239" s="21"/>
      <c r="S239" s="21"/>
      <c r="T239" s="21"/>
      <c r="U239" s="21"/>
      <c r="V239" s="21"/>
      <c r="W239" s="24"/>
      <c r="X239" s="20"/>
      <c r="Y239" s="20"/>
      <c r="Z239" s="21"/>
      <c r="AA239" s="21"/>
      <c r="AB239" s="21"/>
      <c r="AC239" s="21"/>
      <c r="AD239" s="21"/>
      <c r="AE239" s="21"/>
      <c r="AF239" s="21"/>
      <c r="AG239" s="21"/>
      <c r="AH239" s="21"/>
      <c r="AI239" s="25"/>
      <c r="AJ239" s="20"/>
      <c r="AK239" s="21"/>
      <c r="AL239" s="20"/>
      <c r="AM239" s="20"/>
      <c r="AN239" s="20"/>
      <c r="AO239" s="20"/>
      <c r="AP239" s="446"/>
      <c r="AQ239" s="20"/>
      <c r="AR239" s="20"/>
      <c r="AS239" s="20"/>
      <c r="AT239" s="20"/>
      <c r="AU239" s="26"/>
      <c r="AV239" s="98"/>
      <c r="AW239" s="98"/>
      <c r="AX239" s="98"/>
      <c r="AY239" s="98"/>
      <c r="AZ239" s="98"/>
      <c r="BA239" s="217"/>
      <c r="BB239" s="98"/>
      <c r="BC239" s="98"/>
      <c r="BD239" s="98"/>
      <c r="BE239" s="98"/>
      <c r="BF239" s="98"/>
      <c r="BG239" s="219"/>
      <c r="BH239" s="219"/>
      <c r="BI239" s="219"/>
      <c r="BJ239" s="26"/>
      <c r="BK239" s="21"/>
      <c r="BL239" s="21"/>
      <c r="BM239" s="22"/>
      <c r="BN239" s="21"/>
      <c r="BO239" s="21"/>
      <c r="BP239" s="22"/>
      <c r="BQ239" s="21"/>
      <c r="BR239" s="21"/>
      <c r="BS239" s="22"/>
      <c r="BT23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39" s="109" t="str">
        <f>IF(ISNUMBER(tblParticipants[[#This Row],[SvcStartDate]]),IF(AND(tblParticipants[[#This Row],[EnrollQtr]]=1,tblParticipants[[#This Row],[SvcStartDate]]&lt;DATE(conProgYear,7,1)),1,""),"")</f>
        <v/>
      </c>
      <c r="BV23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39" s="232" t="str">
        <f t="shared" ca="1" si="3"/>
        <v/>
      </c>
      <c r="BX239" s="9">
        <f>IF(SUM(IF(tblParticipants[[#This Row],[AmIndOrAkNtv]]=1,1,0),IF(tblParticipants[[#This Row],[Asian]]=1,1,0),IF(tblParticipants[[#This Row],[BlkOrAfAmer]]=1,1,0),IF(tblParticipants[[#This Row],[NtvHawOrPacIsl]]=1,1,0),IF(tblParticipants[[#This Row],[White]]=1,1,0))&gt;1,1,0)</f>
        <v>0</v>
      </c>
      <c r="BY23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3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3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39" s="11">
        <f>IF(tblParticipants[[#This Row],[EarnWg2Qae]]=1,IFERROR(tblParticipants[[#This Row],[HoursPerWk2Qae]]*tblParticipants[[#This Row],[HrlyWg2Qae]]*13,0),0)</f>
        <v>0</v>
      </c>
      <c r="CC239" s="11">
        <f>IF(tblParticipants[[#This Row],[EarnWg3Qae]]=1,IFERROR(tblParticipants[[#This Row],[HoursPerWk3Qae]]*tblParticipants[[#This Row],[HrlyWg3Qae]]*13,0),0)</f>
        <v>0</v>
      </c>
      <c r="CD239" s="9">
        <f>IFERROR(IF(SUM(tblParticipants[[#This Row],[EarnWg1Qae]],tblParticipants[[#This Row],[EarnWg2Qae]],tblParticipants[[#This Row],[EarnWg3Qae]])=3,1,0),0)</f>
        <v>0</v>
      </c>
      <c r="CE239" s="12">
        <f>IF(tblParticipants[[#This Row],[EmplAll3Qae]]=1,tblParticipants[[#This Row],[Earnings2Qae]]+tblParticipants[[#This Row],[Earnings3Qae]],0)</f>
        <v>0</v>
      </c>
      <c r="CF239" s="407"/>
    </row>
    <row r="240" spans="1:84" x14ac:dyDescent="0.3">
      <c r="A240" s="19"/>
      <c r="B240" s="19"/>
      <c r="C240" s="20"/>
      <c r="D240" s="20"/>
      <c r="E240" s="26"/>
      <c r="F240" s="26"/>
      <c r="G240" s="26"/>
      <c r="H240" s="26"/>
      <c r="I240" s="26"/>
      <c r="J240" s="26"/>
      <c r="K240" s="26"/>
      <c r="L240" s="26"/>
      <c r="M240" s="20"/>
      <c r="N240" s="26"/>
      <c r="O240" s="22"/>
      <c r="P240" s="21"/>
      <c r="Q240" s="23"/>
      <c r="R240" s="21"/>
      <c r="S240" s="21"/>
      <c r="T240" s="21"/>
      <c r="U240" s="21"/>
      <c r="V240" s="21"/>
      <c r="W240" s="24"/>
      <c r="X240" s="20"/>
      <c r="Y240" s="20"/>
      <c r="Z240" s="21"/>
      <c r="AA240" s="21"/>
      <c r="AB240" s="21"/>
      <c r="AC240" s="21"/>
      <c r="AD240" s="21"/>
      <c r="AE240" s="21"/>
      <c r="AF240" s="21"/>
      <c r="AG240" s="21"/>
      <c r="AH240" s="21"/>
      <c r="AI240" s="25"/>
      <c r="AJ240" s="20"/>
      <c r="AK240" s="21"/>
      <c r="AL240" s="20"/>
      <c r="AM240" s="20"/>
      <c r="AN240" s="20"/>
      <c r="AO240" s="20"/>
      <c r="AP240" s="446"/>
      <c r="AQ240" s="20"/>
      <c r="AR240" s="20"/>
      <c r="AS240" s="20"/>
      <c r="AT240" s="20"/>
      <c r="AU240" s="26"/>
      <c r="AV240" s="98"/>
      <c r="AW240" s="98"/>
      <c r="AX240" s="98"/>
      <c r="AY240" s="98"/>
      <c r="AZ240" s="98"/>
      <c r="BA240" s="217"/>
      <c r="BB240" s="98"/>
      <c r="BC240" s="98"/>
      <c r="BD240" s="98"/>
      <c r="BE240" s="98"/>
      <c r="BF240" s="98"/>
      <c r="BG240" s="219"/>
      <c r="BH240" s="219"/>
      <c r="BI240" s="219"/>
      <c r="BJ240" s="26"/>
      <c r="BK240" s="21"/>
      <c r="BL240" s="21"/>
      <c r="BM240" s="22"/>
      <c r="BN240" s="21"/>
      <c r="BO240" s="21"/>
      <c r="BP240" s="22"/>
      <c r="BQ240" s="21"/>
      <c r="BR240" s="21"/>
      <c r="BS240" s="22"/>
      <c r="BT24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40" s="109" t="str">
        <f>IF(ISNUMBER(tblParticipants[[#This Row],[SvcStartDate]]),IF(AND(tblParticipants[[#This Row],[EnrollQtr]]=1,tblParticipants[[#This Row],[SvcStartDate]]&lt;DATE(conProgYear,7,1)),1,""),"")</f>
        <v/>
      </c>
      <c r="BV24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40" s="232" t="str">
        <f t="shared" ca="1" si="3"/>
        <v/>
      </c>
      <c r="BX240" s="9">
        <f>IF(SUM(IF(tblParticipants[[#This Row],[AmIndOrAkNtv]]=1,1,0),IF(tblParticipants[[#This Row],[Asian]]=1,1,0),IF(tblParticipants[[#This Row],[BlkOrAfAmer]]=1,1,0),IF(tblParticipants[[#This Row],[NtvHawOrPacIsl]]=1,1,0),IF(tblParticipants[[#This Row],[White]]=1,1,0))&gt;1,1,0)</f>
        <v>0</v>
      </c>
      <c r="BY24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4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4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40" s="11">
        <f>IF(tblParticipants[[#This Row],[EarnWg2Qae]]=1,IFERROR(tblParticipants[[#This Row],[HoursPerWk2Qae]]*tblParticipants[[#This Row],[HrlyWg2Qae]]*13,0),0)</f>
        <v>0</v>
      </c>
      <c r="CC240" s="11">
        <f>IF(tblParticipants[[#This Row],[EarnWg3Qae]]=1,IFERROR(tblParticipants[[#This Row],[HoursPerWk3Qae]]*tblParticipants[[#This Row],[HrlyWg3Qae]]*13,0),0)</f>
        <v>0</v>
      </c>
      <c r="CD240" s="9">
        <f>IFERROR(IF(SUM(tblParticipants[[#This Row],[EarnWg1Qae]],tblParticipants[[#This Row],[EarnWg2Qae]],tblParticipants[[#This Row],[EarnWg3Qae]])=3,1,0),0)</f>
        <v>0</v>
      </c>
      <c r="CE240" s="12">
        <f>IF(tblParticipants[[#This Row],[EmplAll3Qae]]=1,tblParticipants[[#This Row],[Earnings2Qae]]+tblParticipants[[#This Row],[Earnings3Qae]],0)</f>
        <v>0</v>
      </c>
      <c r="CF240" s="407"/>
    </row>
    <row r="241" spans="1:84" x14ac:dyDescent="0.3">
      <c r="A241" s="19"/>
      <c r="B241" s="19"/>
      <c r="C241" s="20"/>
      <c r="D241" s="20"/>
      <c r="E241" s="26"/>
      <c r="F241" s="26"/>
      <c r="G241" s="26"/>
      <c r="H241" s="26"/>
      <c r="I241" s="26"/>
      <c r="J241" s="26"/>
      <c r="K241" s="26"/>
      <c r="L241" s="26"/>
      <c r="M241" s="20"/>
      <c r="N241" s="26"/>
      <c r="O241" s="22"/>
      <c r="P241" s="21"/>
      <c r="Q241" s="23"/>
      <c r="R241" s="21"/>
      <c r="S241" s="21"/>
      <c r="T241" s="21"/>
      <c r="U241" s="21"/>
      <c r="V241" s="21"/>
      <c r="W241" s="24"/>
      <c r="X241" s="20"/>
      <c r="Y241" s="20"/>
      <c r="Z241" s="21"/>
      <c r="AA241" s="21"/>
      <c r="AB241" s="21"/>
      <c r="AC241" s="21"/>
      <c r="AD241" s="21"/>
      <c r="AE241" s="21"/>
      <c r="AF241" s="21"/>
      <c r="AG241" s="21"/>
      <c r="AH241" s="21"/>
      <c r="AI241" s="25"/>
      <c r="AJ241" s="20"/>
      <c r="AK241" s="21"/>
      <c r="AL241" s="20"/>
      <c r="AM241" s="20"/>
      <c r="AN241" s="20"/>
      <c r="AO241" s="20"/>
      <c r="AP241" s="446"/>
      <c r="AQ241" s="20"/>
      <c r="AR241" s="20"/>
      <c r="AS241" s="20"/>
      <c r="AT241" s="20"/>
      <c r="AU241" s="26"/>
      <c r="AV241" s="98"/>
      <c r="AW241" s="98"/>
      <c r="AX241" s="98"/>
      <c r="AY241" s="98"/>
      <c r="AZ241" s="98"/>
      <c r="BA241" s="217"/>
      <c r="BB241" s="98"/>
      <c r="BC241" s="98"/>
      <c r="BD241" s="98"/>
      <c r="BE241" s="98"/>
      <c r="BF241" s="98"/>
      <c r="BG241" s="219"/>
      <c r="BH241" s="219"/>
      <c r="BI241" s="219"/>
      <c r="BJ241" s="26"/>
      <c r="BK241" s="21"/>
      <c r="BL241" s="21"/>
      <c r="BM241" s="22"/>
      <c r="BN241" s="21"/>
      <c r="BO241" s="21"/>
      <c r="BP241" s="22"/>
      <c r="BQ241" s="21"/>
      <c r="BR241" s="21"/>
      <c r="BS241" s="22"/>
      <c r="BT24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41" s="109" t="str">
        <f>IF(ISNUMBER(tblParticipants[[#This Row],[SvcStartDate]]),IF(AND(tblParticipants[[#This Row],[EnrollQtr]]=1,tblParticipants[[#This Row],[SvcStartDate]]&lt;DATE(conProgYear,7,1)),1,""),"")</f>
        <v/>
      </c>
      <c r="BV24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41" s="232" t="str">
        <f t="shared" ca="1" si="3"/>
        <v/>
      </c>
      <c r="BX241" s="9">
        <f>IF(SUM(IF(tblParticipants[[#This Row],[AmIndOrAkNtv]]=1,1,0),IF(tblParticipants[[#This Row],[Asian]]=1,1,0),IF(tblParticipants[[#This Row],[BlkOrAfAmer]]=1,1,0),IF(tblParticipants[[#This Row],[NtvHawOrPacIsl]]=1,1,0),IF(tblParticipants[[#This Row],[White]]=1,1,0))&gt;1,1,0)</f>
        <v>0</v>
      </c>
      <c r="BY24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4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4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41" s="11">
        <f>IF(tblParticipants[[#This Row],[EarnWg2Qae]]=1,IFERROR(tblParticipants[[#This Row],[HoursPerWk2Qae]]*tblParticipants[[#This Row],[HrlyWg2Qae]]*13,0),0)</f>
        <v>0</v>
      </c>
      <c r="CC241" s="11">
        <f>IF(tblParticipants[[#This Row],[EarnWg3Qae]]=1,IFERROR(tblParticipants[[#This Row],[HoursPerWk3Qae]]*tblParticipants[[#This Row],[HrlyWg3Qae]]*13,0),0)</f>
        <v>0</v>
      </c>
      <c r="CD241" s="9">
        <f>IFERROR(IF(SUM(tblParticipants[[#This Row],[EarnWg1Qae]],tblParticipants[[#This Row],[EarnWg2Qae]],tblParticipants[[#This Row],[EarnWg3Qae]])=3,1,0),0)</f>
        <v>0</v>
      </c>
      <c r="CE241" s="12">
        <f>IF(tblParticipants[[#This Row],[EmplAll3Qae]]=1,tblParticipants[[#This Row],[Earnings2Qae]]+tblParticipants[[#This Row],[Earnings3Qae]],0)</f>
        <v>0</v>
      </c>
      <c r="CF241" s="407"/>
    </row>
    <row r="242" spans="1:84" x14ac:dyDescent="0.3">
      <c r="A242" s="19"/>
      <c r="B242" s="19"/>
      <c r="C242" s="20"/>
      <c r="D242" s="20"/>
      <c r="E242" s="26"/>
      <c r="F242" s="26"/>
      <c r="G242" s="26"/>
      <c r="H242" s="26"/>
      <c r="I242" s="26"/>
      <c r="J242" s="26"/>
      <c r="K242" s="26"/>
      <c r="L242" s="26"/>
      <c r="M242" s="20"/>
      <c r="N242" s="26"/>
      <c r="O242" s="22"/>
      <c r="P242" s="21"/>
      <c r="Q242" s="23"/>
      <c r="R242" s="21"/>
      <c r="S242" s="21"/>
      <c r="T242" s="21"/>
      <c r="U242" s="21"/>
      <c r="V242" s="21"/>
      <c r="W242" s="24"/>
      <c r="X242" s="20"/>
      <c r="Y242" s="20"/>
      <c r="Z242" s="21"/>
      <c r="AA242" s="21"/>
      <c r="AB242" s="21"/>
      <c r="AC242" s="21"/>
      <c r="AD242" s="21"/>
      <c r="AE242" s="21"/>
      <c r="AF242" s="21"/>
      <c r="AG242" s="21"/>
      <c r="AH242" s="21"/>
      <c r="AI242" s="25"/>
      <c r="AJ242" s="20"/>
      <c r="AK242" s="21"/>
      <c r="AL242" s="20"/>
      <c r="AM242" s="20"/>
      <c r="AN242" s="20"/>
      <c r="AO242" s="20"/>
      <c r="AP242" s="446"/>
      <c r="AQ242" s="20"/>
      <c r="AR242" s="20"/>
      <c r="AS242" s="20"/>
      <c r="AT242" s="20"/>
      <c r="AU242" s="26"/>
      <c r="AV242" s="98"/>
      <c r="AW242" s="98"/>
      <c r="AX242" s="98"/>
      <c r="AY242" s="98"/>
      <c r="AZ242" s="98"/>
      <c r="BA242" s="217"/>
      <c r="BB242" s="98"/>
      <c r="BC242" s="98"/>
      <c r="BD242" s="98"/>
      <c r="BE242" s="98"/>
      <c r="BF242" s="98"/>
      <c r="BG242" s="219"/>
      <c r="BH242" s="219"/>
      <c r="BI242" s="219"/>
      <c r="BJ242" s="26"/>
      <c r="BK242" s="21"/>
      <c r="BL242" s="21"/>
      <c r="BM242" s="22"/>
      <c r="BN242" s="21"/>
      <c r="BO242" s="21"/>
      <c r="BP242" s="22"/>
      <c r="BQ242" s="21"/>
      <c r="BR242" s="21"/>
      <c r="BS242" s="22"/>
      <c r="BT24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42" s="109" t="str">
        <f>IF(ISNUMBER(tblParticipants[[#This Row],[SvcStartDate]]),IF(AND(tblParticipants[[#This Row],[EnrollQtr]]=1,tblParticipants[[#This Row],[SvcStartDate]]&lt;DATE(conProgYear,7,1)),1,""),"")</f>
        <v/>
      </c>
      <c r="BV24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42" s="232" t="str">
        <f t="shared" ca="1" si="3"/>
        <v/>
      </c>
      <c r="BX242" s="9">
        <f>IF(SUM(IF(tblParticipants[[#This Row],[AmIndOrAkNtv]]=1,1,0),IF(tblParticipants[[#This Row],[Asian]]=1,1,0),IF(tblParticipants[[#This Row],[BlkOrAfAmer]]=1,1,0),IF(tblParticipants[[#This Row],[NtvHawOrPacIsl]]=1,1,0),IF(tblParticipants[[#This Row],[White]]=1,1,0))&gt;1,1,0)</f>
        <v>0</v>
      </c>
      <c r="BY24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4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4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42" s="11">
        <f>IF(tblParticipants[[#This Row],[EarnWg2Qae]]=1,IFERROR(tblParticipants[[#This Row],[HoursPerWk2Qae]]*tblParticipants[[#This Row],[HrlyWg2Qae]]*13,0),0)</f>
        <v>0</v>
      </c>
      <c r="CC242" s="11">
        <f>IF(tblParticipants[[#This Row],[EarnWg3Qae]]=1,IFERROR(tblParticipants[[#This Row],[HoursPerWk3Qae]]*tblParticipants[[#This Row],[HrlyWg3Qae]]*13,0),0)</f>
        <v>0</v>
      </c>
      <c r="CD242" s="9">
        <f>IFERROR(IF(SUM(tblParticipants[[#This Row],[EarnWg1Qae]],tblParticipants[[#This Row],[EarnWg2Qae]],tblParticipants[[#This Row],[EarnWg3Qae]])=3,1,0),0)</f>
        <v>0</v>
      </c>
      <c r="CE242" s="12">
        <f>IF(tblParticipants[[#This Row],[EmplAll3Qae]]=1,tblParticipants[[#This Row],[Earnings2Qae]]+tblParticipants[[#This Row],[Earnings3Qae]],0)</f>
        <v>0</v>
      </c>
      <c r="CF242" s="407"/>
    </row>
    <row r="243" spans="1:84" x14ac:dyDescent="0.3">
      <c r="A243" s="19"/>
      <c r="B243" s="19"/>
      <c r="C243" s="20"/>
      <c r="D243" s="20"/>
      <c r="E243" s="26"/>
      <c r="F243" s="26"/>
      <c r="G243" s="26"/>
      <c r="H243" s="26"/>
      <c r="I243" s="26"/>
      <c r="J243" s="26"/>
      <c r="K243" s="26"/>
      <c r="L243" s="26"/>
      <c r="M243" s="20"/>
      <c r="N243" s="26"/>
      <c r="O243" s="22"/>
      <c r="P243" s="21"/>
      <c r="Q243" s="23"/>
      <c r="R243" s="21"/>
      <c r="S243" s="21"/>
      <c r="T243" s="21"/>
      <c r="U243" s="21"/>
      <c r="V243" s="21"/>
      <c r="W243" s="24"/>
      <c r="X243" s="20"/>
      <c r="Y243" s="20"/>
      <c r="Z243" s="21"/>
      <c r="AA243" s="21"/>
      <c r="AB243" s="21"/>
      <c r="AC243" s="21"/>
      <c r="AD243" s="21"/>
      <c r="AE243" s="21"/>
      <c r="AF243" s="21"/>
      <c r="AG243" s="21"/>
      <c r="AH243" s="21"/>
      <c r="AI243" s="25"/>
      <c r="AJ243" s="20"/>
      <c r="AK243" s="21"/>
      <c r="AL243" s="20"/>
      <c r="AM243" s="20"/>
      <c r="AN243" s="20"/>
      <c r="AO243" s="20"/>
      <c r="AP243" s="446"/>
      <c r="AQ243" s="20"/>
      <c r="AR243" s="20"/>
      <c r="AS243" s="20"/>
      <c r="AT243" s="20"/>
      <c r="AU243" s="26"/>
      <c r="AV243" s="98"/>
      <c r="AW243" s="98"/>
      <c r="AX243" s="98"/>
      <c r="AY243" s="98"/>
      <c r="AZ243" s="98"/>
      <c r="BA243" s="217"/>
      <c r="BB243" s="98"/>
      <c r="BC243" s="98"/>
      <c r="BD243" s="98"/>
      <c r="BE243" s="98"/>
      <c r="BF243" s="98"/>
      <c r="BG243" s="219"/>
      <c r="BH243" s="219"/>
      <c r="BI243" s="219"/>
      <c r="BJ243" s="26"/>
      <c r="BK243" s="21"/>
      <c r="BL243" s="21"/>
      <c r="BM243" s="22"/>
      <c r="BN243" s="21"/>
      <c r="BO243" s="21"/>
      <c r="BP243" s="22"/>
      <c r="BQ243" s="21"/>
      <c r="BR243" s="21"/>
      <c r="BS243" s="22"/>
      <c r="BT24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43" s="109" t="str">
        <f>IF(ISNUMBER(tblParticipants[[#This Row],[SvcStartDate]]),IF(AND(tblParticipants[[#This Row],[EnrollQtr]]=1,tblParticipants[[#This Row],[SvcStartDate]]&lt;DATE(conProgYear,7,1)),1,""),"")</f>
        <v/>
      </c>
      <c r="BV24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43" s="232" t="str">
        <f t="shared" ca="1" si="3"/>
        <v/>
      </c>
      <c r="BX243" s="9">
        <f>IF(SUM(IF(tblParticipants[[#This Row],[AmIndOrAkNtv]]=1,1,0),IF(tblParticipants[[#This Row],[Asian]]=1,1,0),IF(tblParticipants[[#This Row],[BlkOrAfAmer]]=1,1,0),IF(tblParticipants[[#This Row],[NtvHawOrPacIsl]]=1,1,0),IF(tblParticipants[[#This Row],[White]]=1,1,0))&gt;1,1,0)</f>
        <v>0</v>
      </c>
      <c r="BY24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4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4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43" s="11">
        <f>IF(tblParticipants[[#This Row],[EarnWg2Qae]]=1,IFERROR(tblParticipants[[#This Row],[HoursPerWk2Qae]]*tblParticipants[[#This Row],[HrlyWg2Qae]]*13,0),0)</f>
        <v>0</v>
      </c>
      <c r="CC243" s="11">
        <f>IF(tblParticipants[[#This Row],[EarnWg3Qae]]=1,IFERROR(tblParticipants[[#This Row],[HoursPerWk3Qae]]*tblParticipants[[#This Row],[HrlyWg3Qae]]*13,0),0)</f>
        <v>0</v>
      </c>
      <c r="CD243" s="9">
        <f>IFERROR(IF(SUM(tblParticipants[[#This Row],[EarnWg1Qae]],tblParticipants[[#This Row],[EarnWg2Qae]],tblParticipants[[#This Row],[EarnWg3Qae]])=3,1,0),0)</f>
        <v>0</v>
      </c>
      <c r="CE243" s="12">
        <f>IF(tblParticipants[[#This Row],[EmplAll3Qae]]=1,tblParticipants[[#This Row],[Earnings2Qae]]+tblParticipants[[#This Row],[Earnings3Qae]],0)</f>
        <v>0</v>
      </c>
      <c r="CF243" s="407"/>
    </row>
    <row r="244" spans="1:84" x14ac:dyDescent="0.3">
      <c r="A244" s="19"/>
      <c r="B244" s="19"/>
      <c r="C244" s="20"/>
      <c r="D244" s="20"/>
      <c r="E244" s="26"/>
      <c r="F244" s="26"/>
      <c r="G244" s="26"/>
      <c r="H244" s="26"/>
      <c r="I244" s="26"/>
      <c r="J244" s="26"/>
      <c r="K244" s="26"/>
      <c r="L244" s="26"/>
      <c r="M244" s="20"/>
      <c r="N244" s="26"/>
      <c r="O244" s="22"/>
      <c r="P244" s="21"/>
      <c r="Q244" s="23"/>
      <c r="R244" s="21"/>
      <c r="S244" s="21"/>
      <c r="T244" s="21"/>
      <c r="U244" s="21"/>
      <c r="V244" s="21"/>
      <c r="W244" s="24"/>
      <c r="X244" s="20"/>
      <c r="Y244" s="20"/>
      <c r="Z244" s="21"/>
      <c r="AA244" s="21"/>
      <c r="AB244" s="21"/>
      <c r="AC244" s="21"/>
      <c r="AD244" s="21"/>
      <c r="AE244" s="21"/>
      <c r="AF244" s="21"/>
      <c r="AG244" s="21"/>
      <c r="AH244" s="21"/>
      <c r="AI244" s="25"/>
      <c r="AJ244" s="20"/>
      <c r="AK244" s="21"/>
      <c r="AL244" s="20"/>
      <c r="AM244" s="20"/>
      <c r="AN244" s="20"/>
      <c r="AO244" s="20"/>
      <c r="AP244" s="446"/>
      <c r="AQ244" s="20"/>
      <c r="AR244" s="20"/>
      <c r="AS244" s="20"/>
      <c r="AT244" s="20"/>
      <c r="AU244" s="26"/>
      <c r="AV244" s="98"/>
      <c r="AW244" s="98"/>
      <c r="AX244" s="98"/>
      <c r="AY244" s="98"/>
      <c r="AZ244" s="98"/>
      <c r="BA244" s="217"/>
      <c r="BB244" s="98"/>
      <c r="BC244" s="98"/>
      <c r="BD244" s="98"/>
      <c r="BE244" s="98"/>
      <c r="BF244" s="98"/>
      <c r="BG244" s="219"/>
      <c r="BH244" s="219"/>
      <c r="BI244" s="219"/>
      <c r="BJ244" s="26"/>
      <c r="BK244" s="21"/>
      <c r="BL244" s="21"/>
      <c r="BM244" s="22"/>
      <c r="BN244" s="21"/>
      <c r="BO244" s="21"/>
      <c r="BP244" s="22"/>
      <c r="BQ244" s="21"/>
      <c r="BR244" s="21"/>
      <c r="BS244" s="22"/>
      <c r="BT24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44" s="109" t="str">
        <f>IF(ISNUMBER(tblParticipants[[#This Row],[SvcStartDate]]),IF(AND(tblParticipants[[#This Row],[EnrollQtr]]=1,tblParticipants[[#This Row],[SvcStartDate]]&lt;DATE(conProgYear,7,1)),1,""),"")</f>
        <v/>
      </c>
      <c r="BV24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44" s="232" t="str">
        <f t="shared" ca="1" si="3"/>
        <v/>
      </c>
      <c r="BX244" s="9">
        <f>IF(SUM(IF(tblParticipants[[#This Row],[AmIndOrAkNtv]]=1,1,0),IF(tblParticipants[[#This Row],[Asian]]=1,1,0),IF(tblParticipants[[#This Row],[BlkOrAfAmer]]=1,1,0),IF(tblParticipants[[#This Row],[NtvHawOrPacIsl]]=1,1,0),IF(tblParticipants[[#This Row],[White]]=1,1,0))&gt;1,1,0)</f>
        <v>0</v>
      </c>
      <c r="BY24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4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4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44" s="11">
        <f>IF(tblParticipants[[#This Row],[EarnWg2Qae]]=1,IFERROR(tblParticipants[[#This Row],[HoursPerWk2Qae]]*tblParticipants[[#This Row],[HrlyWg2Qae]]*13,0),0)</f>
        <v>0</v>
      </c>
      <c r="CC244" s="11">
        <f>IF(tblParticipants[[#This Row],[EarnWg3Qae]]=1,IFERROR(tblParticipants[[#This Row],[HoursPerWk3Qae]]*tblParticipants[[#This Row],[HrlyWg3Qae]]*13,0),0)</f>
        <v>0</v>
      </c>
      <c r="CD244" s="9">
        <f>IFERROR(IF(SUM(tblParticipants[[#This Row],[EarnWg1Qae]],tblParticipants[[#This Row],[EarnWg2Qae]],tblParticipants[[#This Row],[EarnWg3Qae]])=3,1,0),0)</f>
        <v>0</v>
      </c>
      <c r="CE244" s="12">
        <f>IF(tblParticipants[[#This Row],[EmplAll3Qae]]=1,tblParticipants[[#This Row],[Earnings2Qae]]+tblParticipants[[#This Row],[Earnings3Qae]],0)</f>
        <v>0</v>
      </c>
      <c r="CF244" s="407"/>
    </row>
    <row r="245" spans="1:84" x14ac:dyDescent="0.3">
      <c r="A245" s="19"/>
      <c r="B245" s="19"/>
      <c r="C245" s="20"/>
      <c r="D245" s="20"/>
      <c r="E245" s="26"/>
      <c r="F245" s="26"/>
      <c r="G245" s="26"/>
      <c r="H245" s="26"/>
      <c r="I245" s="26"/>
      <c r="J245" s="26"/>
      <c r="K245" s="26"/>
      <c r="L245" s="26"/>
      <c r="M245" s="20"/>
      <c r="N245" s="26"/>
      <c r="O245" s="22"/>
      <c r="P245" s="21"/>
      <c r="Q245" s="23"/>
      <c r="R245" s="21"/>
      <c r="S245" s="21"/>
      <c r="T245" s="21"/>
      <c r="U245" s="21"/>
      <c r="V245" s="21"/>
      <c r="W245" s="24"/>
      <c r="X245" s="20"/>
      <c r="Y245" s="20"/>
      <c r="Z245" s="21"/>
      <c r="AA245" s="21"/>
      <c r="AB245" s="21"/>
      <c r="AC245" s="21"/>
      <c r="AD245" s="21"/>
      <c r="AE245" s="21"/>
      <c r="AF245" s="21"/>
      <c r="AG245" s="21"/>
      <c r="AH245" s="21"/>
      <c r="AI245" s="25"/>
      <c r="AJ245" s="20"/>
      <c r="AK245" s="21"/>
      <c r="AL245" s="20"/>
      <c r="AM245" s="20"/>
      <c r="AN245" s="20"/>
      <c r="AO245" s="20"/>
      <c r="AP245" s="446"/>
      <c r="AQ245" s="20"/>
      <c r="AR245" s="20"/>
      <c r="AS245" s="20"/>
      <c r="AT245" s="20"/>
      <c r="AU245" s="26"/>
      <c r="AV245" s="98"/>
      <c r="AW245" s="98"/>
      <c r="AX245" s="98"/>
      <c r="AY245" s="98"/>
      <c r="AZ245" s="98"/>
      <c r="BA245" s="217"/>
      <c r="BB245" s="98"/>
      <c r="BC245" s="98"/>
      <c r="BD245" s="98"/>
      <c r="BE245" s="98"/>
      <c r="BF245" s="98"/>
      <c r="BG245" s="219"/>
      <c r="BH245" s="219"/>
      <c r="BI245" s="219"/>
      <c r="BJ245" s="26"/>
      <c r="BK245" s="21"/>
      <c r="BL245" s="21"/>
      <c r="BM245" s="22"/>
      <c r="BN245" s="21"/>
      <c r="BO245" s="21"/>
      <c r="BP245" s="22"/>
      <c r="BQ245" s="21"/>
      <c r="BR245" s="21"/>
      <c r="BS245" s="22"/>
      <c r="BT24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45" s="109" t="str">
        <f>IF(ISNUMBER(tblParticipants[[#This Row],[SvcStartDate]]),IF(AND(tblParticipants[[#This Row],[EnrollQtr]]=1,tblParticipants[[#This Row],[SvcStartDate]]&lt;DATE(conProgYear,7,1)),1,""),"")</f>
        <v/>
      </c>
      <c r="BV24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45" s="232" t="str">
        <f t="shared" ca="1" si="3"/>
        <v/>
      </c>
      <c r="BX245" s="9">
        <f>IF(SUM(IF(tblParticipants[[#This Row],[AmIndOrAkNtv]]=1,1,0),IF(tblParticipants[[#This Row],[Asian]]=1,1,0),IF(tblParticipants[[#This Row],[BlkOrAfAmer]]=1,1,0),IF(tblParticipants[[#This Row],[NtvHawOrPacIsl]]=1,1,0),IF(tblParticipants[[#This Row],[White]]=1,1,0))&gt;1,1,0)</f>
        <v>0</v>
      </c>
      <c r="BY24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4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4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45" s="11">
        <f>IF(tblParticipants[[#This Row],[EarnWg2Qae]]=1,IFERROR(tblParticipants[[#This Row],[HoursPerWk2Qae]]*tblParticipants[[#This Row],[HrlyWg2Qae]]*13,0),0)</f>
        <v>0</v>
      </c>
      <c r="CC245" s="11">
        <f>IF(tblParticipants[[#This Row],[EarnWg3Qae]]=1,IFERROR(tblParticipants[[#This Row],[HoursPerWk3Qae]]*tblParticipants[[#This Row],[HrlyWg3Qae]]*13,0),0)</f>
        <v>0</v>
      </c>
      <c r="CD245" s="9">
        <f>IFERROR(IF(SUM(tblParticipants[[#This Row],[EarnWg1Qae]],tblParticipants[[#This Row],[EarnWg2Qae]],tblParticipants[[#This Row],[EarnWg3Qae]])=3,1,0),0)</f>
        <v>0</v>
      </c>
      <c r="CE245" s="12">
        <f>IF(tblParticipants[[#This Row],[EmplAll3Qae]]=1,tblParticipants[[#This Row],[Earnings2Qae]]+tblParticipants[[#This Row],[Earnings3Qae]],0)</f>
        <v>0</v>
      </c>
      <c r="CF245" s="407"/>
    </row>
    <row r="246" spans="1:84" x14ac:dyDescent="0.3">
      <c r="A246" s="19"/>
      <c r="B246" s="19"/>
      <c r="C246" s="20"/>
      <c r="D246" s="20"/>
      <c r="E246" s="26"/>
      <c r="F246" s="26"/>
      <c r="G246" s="26"/>
      <c r="H246" s="26"/>
      <c r="I246" s="26"/>
      <c r="J246" s="26"/>
      <c r="K246" s="26"/>
      <c r="L246" s="26"/>
      <c r="M246" s="20"/>
      <c r="N246" s="26"/>
      <c r="O246" s="22"/>
      <c r="P246" s="21"/>
      <c r="Q246" s="23"/>
      <c r="R246" s="21"/>
      <c r="S246" s="21"/>
      <c r="T246" s="21"/>
      <c r="U246" s="21"/>
      <c r="V246" s="21"/>
      <c r="W246" s="24"/>
      <c r="X246" s="20"/>
      <c r="Y246" s="20"/>
      <c r="Z246" s="21"/>
      <c r="AA246" s="21"/>
      <c r="AB246" s="21"/>
      <c r="AC246" s="21"/>
      <c r="AD246" s="21"/>
      <c r="AE246" s="21"/>
      <c r="AF246" s="21"/>
      <c r="AG246" s="21"/>
      <c r="AH246" s="21"/>
      <c r="AI246" s="25"/>
      <c r="AJ246" s="20"/>
      <c r="AK246" s="21"/>
      <c r="AL246" s="20"/>
      <c r="AM246" s="20"/>
      <c r="AN246" s="20"/>
      <c r="AO246" s="20"/>
      <c r="AP246" s="446"/>
      <c r="AQ246" s="20"/>
      <c r="AR246" s="20"/>
      <c r="AS246" s="20"/>
      <c r="AT246" s="20"/>
      <c r="AU246" s="26"/>
      <c r="AV246" s="98"/>
      <c r="AW246" s="98"/>
      <c r="AX246" s="98"/>
      <c r="AY246" s="98"/>
      <c r="AZ246" s="98"/>
      <c r="BA246" s="217"/>
      <c r="BB246" s="98"/>
      <c r="BC246" s="98"/>
      <c r="BD246" s="98"/>
      <c r="BE246" s="98"/>
      <c r="BF246" s="98"/>
      <c r="BG246" s="219"/>
      <c r="BH246" s="219"/>
      <c r="BI246" s="219"/>
      <c r="BJ246" s="26"/>
      <c r="BK246" s="21"/>
      <c r="BL246" s="21"/>
      <c r="BM246" s="22"/>
      <c r="BN246" s="21"/>
      <c r="BO246" s="21"/>
      <c r="BP246" s="22"/>
      <c r="BQ246" s="21"/>
      <c r="BR246" s="21"/>
      <c r="BS246" s="22"/>
      <c r="BT24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46" s="109" t="str">
        <f>IF(ISNUMBER(tblParticipants[[#This Row],[SvcStartDate]]),IF(AND(tblParticipants[[#This Row],[EnrollQtr]]=1,tblParticipants[[#This Row],[SvcStartDate]]&lt;DATE(conProgYear,7,1)),1,""),"")</f>
        <v/>
      </c>
      <c r="BV24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46" s="232" t="str">
        <f t="shared" ca="1" si="3"/>
        <v/>
      </c>
      <c r="BX246" s="9">
        <f>IF(SUM(IF(tblParticipants[[#This Row],[AmIndOrAkNtv]]=1,1,0),IF(tblParticipants[[#This Row],[Asian]]=1,1,0),IF(tblParticipants[[#This Row],[BlkOrAfAmer]]=1,1,0),IF(tblParticipants[[#This Row],[NtvHawOrPacIsl]]=1,1,0),IF(tblParticipants[[#This Row],[White]]=1,1,0))&gt;1,1,0)</f>
        <v>0</v>
      </c>
      <c r="BY24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4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4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46" s="11">
        <f>IF(tblParticipants[[#This Row],[EarnWg2Qae]]=1,IFERROR(tblParticipants[[#This Row],[HoursPerWk2Qae]]*tblParticipants[[#This Row],[HrlyWg2Qae]]*13,0),0)</f>
        <v>0</v>
      </c>
      <c r="CC246" s="11">
        <f>IF(tblParticipants[[#This Row],[EarnWg3Qae]]=1,IFERROR(tblParticipants[[#This Row],[HoursPerWk3Qae]]*tblParticipants[[#This Row],[HrlyWg3Qae]]*13,0),0)</f>
        <v>0</v>
      </c>
      <c r="CD246" s="9">
        <f>IFERROR(IF(SUM(tblParticipants[[#This Row],[EarnWg1Qae]],tblParticipants[[#This Row],[EarnWg2Qae]],tblParticipants[[#This Row],[EarnWg3Qae]])=3,1,0),0)</f>
        <v>0</v>
      </c>
      <c r="CE246" s="12">
        <f>IF(tblParticipants[[#This Row],[EmplAll3Qae]]=1,tblParticipants[[#This Row],[Earnings2Qae]]+tblParticipants[[#This Row],[Earnings3Qae]],0)</f>
        <v>0</v>
      </c>
      <c r="CF246" s="407"/>
    </row>
    <row r="247" spans="1:84" x14ac:dyDescent="0.3">
      <c r="A247" s="19"/>
      <c r="B247" s="19"/>
      <c r="C247" s="20"/>
      <c r="D247" s="20"/>
      <c r="E247" s="26"/>
      <c r="F247" s="26"/>
      <c r="G247" s="26"/>
      <c r="H247" s="26"/>
      <c r="I247" s="26"/>
      <c r="J247" s="26"/>
      <c r="K247" s="26"/>
      <c r="L247" s="26"/>
      <c r="M247" s="20"/>
      <c r="N247" s="26"/>
      <c r="O247" s="22"/>
      <c r="P247" s="21"/>
      <c r="Q247" s="23"/>
      <c r="R247" s="21"/>
      <c r="S247" s="21"/>
      <c r="T247" s="21"/>
      <c r="U247" s="21"/>
      <c r="V247" s="21"/>
      <c r="W247" s="24"/>
      <c r="X247" s="20"/>
      <c r="Y247" s="20"/>
      <c r="Z247" s="21"/>
      <c r="AA247" s="21"/>
      <c r="AB247" s="21"/>
      <c r="AC247" s="21"/>
      <c r="AD247" s="21"/>
      <c r="AE247" s="21"/>
      <c r="AF247" s="21"/>
      <c r="AG247" s="21"/>
      <c r="AH247" s="21"/>
      <c r="AI247" s="25"/>
      <c r="AJ247" s="20"/>
      <c r="AK247" s="21"/>
      <c r="AL247" s="20"/>
      <c r="AM247" s="20"/>
      <c r="AN247" s="20"/>
      <c r="AO247" s="20"/>
      <c r="AP247" s="446"/>
      <c r="AQ247" s="20"/>
      <c r="AR247" s="20"/>
      <c r="AS247" s="20"/>
      <c r="AT247" s="20"/>
      <c r="AU247" s="26"/>
      <c r="AV247" s="98"/>
      <c r="AW247" s="98"/>
      <c r="AX247" s="98"/>
      <c r="AY247" s="98"/>
      <c r="AZ247" s="98"/>
      <c r="BA247" s="217"/>
      <c r="BB247" s="98"/>
      <c r="BC247" s="98"/>
      <c r="BD247" s="98"/>
      <c r="BE247" s="98"/>
      <c r="BF247" s="98"/>
      <c r="BG247" s="219"/>
      <c r="BH247" s="219"/>
      <c r="BI247" s="219"/>
      <c r="BJ247" s="26"/>
      <c r="BK247" s="21"/>
      <c r="BL247" s="21"/>
      <c r="BM247" s="22"/>
      <c r="BN247" s="21"/>
      <c r="BO247" s="21"/>
      <c r="BP247" s="22"/>
      <c r="BQ247" s="21"/>
      <c r="BR247" s="21"/>
      <c r="BS247" s="22"/>
      <c r="BT24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47" s="109" t="str">
        <f>IF(ISNUMBER(tblParticipants[[#This Row],[SvcStartDate]]),IF(AND(tblParticipants[[#This Row],[EnrollQtr]]=1,tblParticipants[[#This Row],[SvcStartDate]]&lt;DATE(conProgYear,7,1)),1,""),"")</f>
        <v/>
      </c>
      <c r="BV24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47" s="232" t="str">
        <f t="shared" ca="1" si="3"/>
        <v/>
      </c>
      <c r="BX247" s="9">
        <f>IF(SUM(IF(tblParticipants[[#This Row],[AmIndOrAkNtv]]=1,1,0),IF(tblParticipants[[#This Row],[Asian]]=1,1,0),IF(tblParticipants[[#This Row],[BlkOrAfAmer]]=1,1,0),IF(tblParticipants[[#This Row],[NtvHawOrPacIsl]]=1,1,0),IF(tblParticipants[[#This Row],[White]]=1,1,0))&gt;1,1,0)</f>
        <v>0</v>
      </c>
      <c r="BY24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4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4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47" s="11">
        <f>IF(tblParticipants[[#This Row],[EarnWg2Qae]]=1,IFERROR(tblParticipants[[#This Row],[HoursPerWk2Qae]]*tblParticipants[[#This Row],[HrlyWg2Qae]]*13,0),0)</f>
        <v>0</v>
      </c>
      <c r="CC247" s="11">
        <f>IF(tblParticipants[[#This Row],[EarnWg3Qae]]=1,IFERROR(tblParticipants[[#This Row],[HoursPerWk3Qae]]*tblParticipants[[#This Row],[HrlyWg3Qae]]*13,0),0)</f>
        <v>0</v>
      </c>
      <c r="CD247" s="9">
        <f>IFERROR(IF(SUM(tblParticipants[[#This Row],[EarnWg1Qae]],tblParticipants[[#This Row],[EarnWg2Qae]],tblParticipants[[#This Row],[EarnWg3Qae]])=3,1,0),0)</f>
        <v>0</v>
      </c>
      <c r="CE247" s="12">
        <f>IF(tblParticipants[[#This Row],[EmplAll3Qae]]=1,tblParticipants[[#This Row],[Earnings2Qae]]+tblParticipants[[#This Row],[Earnings3Qae]],0)</f>
        <v>0</v>
      </c>
      <c r="CF247" s="407"/>
    </row>
    <row r="248" spans="1:84" x14ac:dyDescent="0.3">
      <c r="A248" s="19"/>
      <c r="B248" s="19"/>
      <c r="C248" s="20"/>
      <c r="D248" s="20"/>
      <c r="E248" s="26"/>
      <c r="F248" s="26"/>
      <c r="G248" s="26"/>
      <c r="H248" s="26"/>
      <c r="I248" s="26"/>
      <c r="J248" s="26"/>
      <c r="K248" s="26"/>
      <c r="L248" s="26"/>
      <c r="M248" s="20"/>
      <c r="N248" s="26"/>
      <c r="O248" s="22"/>
      <c r="P248" s="21"/>
      <c r="Q248" s="23"/>
      <c r="R248" s="21"/>
      <c r="S248" s="21"/>
      <c r="T248" s="21"/>
      <c r="U248" s="21"/>
      <c r="V248" s="21"/>
      <c r="W248" s="24"/>
      <c r="X248" s="20"/>
      <c r="Y248" s="20"/>
      <c r="Z248" s="21"/>
      <c r="AA248" s="21"/>
      <c r="AB248" s="21"/>
      <c r="AC248" s="21"/>
      <c r="AD248" s="21"/>
      <c r="AE248" s="21"/>
      <c r="AF248" s="21"/>
      <c r="AG248" s="21"/>
      <c r="AH248" s="21"/>
      <c r="AI248" s="25"/>
      <c r="AJ248" s="20"/>
      <c r="AK248" s="21"/>
      <c r="AL248" s="20"/>
      <c r="AM248" s="20"/>
      <c r="AN248" s="20"/>
      <c r="AO248" s="20"/>
      <c r="AP248" s="446"/>
      <c r="AQ248" s="20"/>
      <c r="AR248" s="20"/>
      <c r="AS248" s="20"/>
      <c r="AT248" s="20"/>
      <c r="AU248" s="26"/>
      <c r="AV248" s="98"/>
      <c r="AW248" s="98"/>
      <c r="AX248" s="98"/>
      <c r="AY248" s="98"/>
      <c r="AZ248" s="98"/>
      <c r="BA248" s="217"/>
      <c r="BB248" s="98"/>
      <c r="BC248" s="98"/>
      <c r="BD248" s="98"/>
      <c r="BE248" s="98"/>
      <c r="BF248" s="98"/>
      <c r="BG248" s="219"/>
      <c r="BH248" s="219"/>
      <c r="BI248" s="219"/>
      <c r="BJ248" s="26"/>
      <c r="BK248" s="21"/>
      <c r="BL248" s="21"/>
      <c r="BM248" s="22"/>
      <c r="BN248" s="21"/>
      <c r="BO248" s="21"/>
      <c r="BP248" s="22"/>
      <c r="BQ248" s="21"/>
      <c r="BR248" s="21"/>
      <c r="BS248" s="22"/>
      <c r="BT24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48" s="109" t="str">
        <f>IF(ISNUMBER(tblParticipants[[#This Row],[SvcStartDate]]),IF(AND(tblParticipants[[#This Row],[EnrollQtr]]=1,tblParticipants[[#This Row],[SvcStartDate]]&lt;DATE(conProgYear,7,1)),1,""),"")</f>
        <v/>
      </c>
      <c r="BV24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48" s="232" t="str">
        <f t="shared" ca="1" si="3"/>
        <v/>
      </c>
      <c r="BX248" s="9">
        <f>IF(SUM(IF(tblParticipants[[#This Row],[AmIndOrAkNtv]]=1,1,0),IF(tblParticipants[[#This Row],[Asian]]=1,1,0),IF(tblParticipants[[#This Row],[BlkOrAfAmer]]=1,1,0),IF(tblParticipants[[#This Row],[NtvHawOrPacIsl]]=1,1,0),IF(tblParticipants[[#This Row],[White]]=1,1,0))&gt;1,1,0)</f>
        <v>0</v>
      </c>
      <c r="BY24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4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4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48" s="11">
        <f>IF(tblParticipants[[#This Row],[EarnWg2Qae]]=1,IFERROR(tblParticipants[[#This Row],[HoursPerWk2Qae]]*tblParticipants[[#This Row],[HrlyWg2Qae]]*13,0),0)</f>
        <v>0</v>
      </c>
      <c r="CC248" s="11">
        <f>IF(tblParticipants[[#This Row],[EarnWg3Qae]]=1,IFERROR(tblParticipants[[#This Row],[HoursPerWk3Qae]]*tblParticipants[[#This Row],[HrlyWg3Qae]]*13,0),0)</f>
        <v>0</v>
      </c>
      <c r="CD248" s="9">
        <f>IFERROR(IF(SUM(tblParticipants[[#This Row],[EarnWg1Qae]],tblParticipants[[#This Row],[EarnWg2Qae]],tblParticipants[[#This Row],[EarnWg3Qae]])=3,1,0),0)</f>
        <v>0</v>
      </c>
      <c r="CE248" s="12">
        <f>IF(tblParticipants[[#This Row],[EmplAll3Qae]]=1,tblParticipants[[#This Row],[Earnings2Qae]]+tblParticipants[[#This Row],[Earnings3Qae]],0)</f>
        <v>0</v>
      </c>
      <c r="CF248" s="407"/>
    </row>
    <row r="249" spans="1:84" x14ac:dyDescent="0.3">
      <c r="A249" s="19"/>
      <c r="B249" s="19"/>
      <c r="C249" s="20"/>
      <c r="D249" s="20"/>
      <c r="E249" s="26"/>
      <c r="F249" s="26"/>
      <c r="G249" s="26"/>
      <c r="H249" s="26"/>
      <c r="I249" s="26"/>
      <c r="J249" s="26"/>
      <c r="K249" s="26"/>
      <c r="L249" s="26"/>
      <c r="M249" s="20"/>
      <c r="N249" s="26"/>
      <c r="O249" s="22"/>
      <c r="P249" s="21"/>
      <c r="Q249" s="23"/>
      <c r="R249" s="21"/>
      <c r="S249" s="21"/>
      <c r="T249" s="21"/>
      <c r="U249" s="21"/>
      <c r="V249" s="21"/>
      <c r="W249" s="24"/>
      <c r="X249" s="20"/>
      <c r="Y249" s="20"/>
      <c r="Z249" s="21"/>
      <c r="AA249" s="21"/>
      <c r="AB249" s="21"/>
      <c r="AC249" s="21"/>
      <c r="AD249" s="21"/>
      <c r="AE249" s="21"/>
      <c r="AF249" s="21"/>
      <c r="AG249" s="21"/>
      <c r="AH249" s="21"/>
      <c r="AI249" s="25"/>
      <c r="AJ249" s="20"/>
      <c r="AK249" s="21"/>
      <c r="AL249" s="20"/>
      <c r="AM249" s="20"/>
      <c r="AN249" s="20"/>
      <c r="AO249" s="20"/>
      <c r="AP249" s="446"/>
      <c r="AQ249" s="20"/>
      <c r="AR249" s="20"/>
      <c r="AS249" s="20"/>
      <c r="AT249" s="20"/>
      <c r="AU249" s="26"/>
      <c r="AV249" s="98"/>
      <c r="AW249" s="98"/>
      <c r="AX249" s="98"/>
      <c r="AY249" s="98"/>
      <c r="AZ249" s="98"/>
      <c r="BA249" s="217"/>
      <c r="BB249" s="98"/>
      <c r="BC249" s="98"/>
      <c r="BD249" s="98"/>
      <c r="BE249" s="98"/>
      <c r="BF249" s="98"/>
      <c r="BG249" s="219"/>
      <c r="BH249" s="219"/>
      <c r="BI249" s="219"/>
      <c r="BJ249" s="26"/>
      <c r="BK249" s="21"/>
      <c r="BL249" s="21"/>
      <c r="BM249" s="22"/>
      <c r="BN249" s="21"/>
      <c r="BO249" s="21"/>
      <c r="BP249" s="22"/>
      <c r="BQ249" s="21"/>
      <c r="BR249" s="21"/>
      <c r="BS249" s="22"/>
      <c r="BT24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49" s="109" t="str">
        <f>IF(ISNUMBER(tblParticipants[[#This Row],[SvcStartDate]]),IF(AND(tblParticipants[[#This Row],[EnrollQtr]]=1,tblParticipants[[#This Row],[SvcStartDate]]&lt;DATE(conProgYear,7,1)),1,""),"")</f>
        <v/>
      </c>
      <c r="BV24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49" s="232" t="str">
        <f t="shared" ca="1" si="3"/>
        <v/>
      </c>
      <c r="BX249" s="9">
        <f>IF(SUM(IF(tblParticipants[[#This Row],[AmIndOrAkNtv]]=1,1,0),IF(tblParticipants[[#This Row],[Asian]]=1,1,0),IF(tblParticipants[[#This Row],[BlkOrAfAmer]]=1,1,0),IF(tblParticipants[[#This Row],[NtvHawOrPacIsl]]=1,1,0),IF(tblParticipants[[#This Row],[White]]=1,1,0))&gt;1,1,0)</f>
        <v>0</v>
      </c>
      <c r="BY24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4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4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49" s="11">
        <f>IF(tblParticipants[[#This Row],[EarnWg2Qae]]=1,IFERROR(tblParticipants[[#This Row],[HoursPerWk2Qae]]*tblParticipants[[#This Row],[HrlyWg2Qae]]*13,0),0)</f>
        <v>0</v>
      </c>
      <c r="CC249" s="11">
        <f>IF(tblParticipants[[#This Row],[EarnWg3Qae]]=1,IFERROR(tblParticipants[[#This Row],[HoursPerWk3Qae]]*tblParticipants[[#This Row],[HrlyWg3Qae]]*13,0),0)</f>
        <v>0</v>
      </c>
      <c r="CD249" s="9">
        <f>IFERROR(IF(SUM(tblParticipants[[#This Row],[EarnWg1Qae]],tblParticipants[[#This Row],[EarnWg2Qae]],tblParticipants[[#This Row],[EarnWg3Qae]])=3,1,0),0)</f>
        <v>0</v>
      </c>
      <c r="CE249" s="12">
        <f>IF(tblParticipants[[#This Row],[EmplAll3Qae]]=1,tblParticipants[[#This Row],[Earnings2Qae]]+tblParticipants[[#This Row],[Earnings3Qae]],0)</f>
        <v>0</v>
      </c>
      <c r="CF249" s="407"/>
    </row>
    <row r="250" spans="1:84" x14ac:dyDescent="0.3">
      <c r="A250" s="19"/>
      <c r="B250" s="19"/>
      <c r="C250" s="20"/>
      <c r="D250" s="20"/>
      <c r="E250" s="26"/>
      <c r="F250" s="26"/>
      <c r="G250" s="26"/>
      <c r="H250" s="26"/>
      <c r="I250" s="26"/>
      <c r="J250" s="26"/>
      <c r="K250" s="26"/>
      <c r="L250" s="26"/>
      <c r="M250" s="20"/>
      <c r="N250" s="26"/>
      <c r="O250" s="22"/>
      <c r="P250" s="21"/>
      <c r="Q250" s="23"/>
      <c r="R250" s="21"/>
      <c r="S250" s="21"/>
      <c r="T250" s="21"/>
      <c r="U250" s="21"/>
      <c r="V250" s="21"/>
      <c r="W250" s="24"/>
      <c r="X250" s="20"/>
      <c r="Y250" s="20"/>
      <c r="Z250" s="21"/>
      <c r="AA250" s="21"/>
      <c r="AB250" s="21"/>
      <c r="AC250" s="21"/>
      <c r="AD250" s="21"/>
      <c r="AE250" s="21"/>
      <c r="AF250" s="21"/>
      <c r="AG250" s="21"/>
      <c r="AH250" s="21"/>
      <c r="AI250" s="25"/>
      <c r="AJ250" s="20"/>
      <c r="AK250" s="21"/>
      <c r="AL250" s="20"/>
      <c r="AM250" s="20"/>
      <c r="AN250" s="20"/>
      <c r="AO250" s="20"/>
      <c r="AP250" s="446"/>
      <c r="AQ250" s="20"/>
      <c r="AR250" s="20"/>
      <c r="AS250" s="20"/>
      <c r="AT250" s="20"/>
      <c r="AU250" s="26"/>
      <c r="AV250" s="98"/>
      <c r="AW250" s="98"/>
      <c r="AX250" s="98"/>
      <c r="AY250" s="98"/>
      <c r="AZ250" s="98"/>
      <c r="BA250" s="217"/>
      <c r="BB250" s="98"/>
      <c r="BC250" s="98"/>
      <c r="BD250" s="98"/>
      <c r="BE250" s="98"/>
      <c r="BF250" s="98"/>
      <c r="BG250" s="219"/>
      <c r="BH250" s="219"/>
      <c r="BI250" s="219"/>
      <c r="BJ250" s="26"/>
      <c r="BK250" s="21"/>
      <c r="BL250" s="21"/>
      <c r="BM250" s="22"/>
      <c r="BN250" s="21"/>
      <c r="BO250" s="21"/>
      <c r="BP250" s="22"/>
      <c r="BQ250" s="21"/>
      <c r="BR250" s="21"/>
      <c r="BS250" s="22"/>
      <c r="BT25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50" s="109" t="str">
        <f>IF(ISNUMBER(tblParticipants[[#This Row],[SvcStartDate]]),IF(AND(tblParticipants[[#This Row],[EnrollQtr]]=1,tblParticipants[[#This Row],[SvcStartDate]]&lt;DATE(conProgYear,7,1)),1,""),"")</f>
        <v/>
      </c>
      <c r="BV25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50" s="232" t="str">
        <f t="shared" ca="1" si="3"/>
        <v/>
      </c>
      <c r="BX250" s="9">
        <f>IF(SUM(IF(tblParticipants[[#This Row],[AmIndOrAkNtv]]=1,1,0),IF(tblParticipants[[#This Row],[Asian]]=1,1,0),IF(tblParticipants[[#This Row],[BlkOrAfAmer]]=1,1,0),IF(tblParticipants[[#This Row],[NtvHawOrPacIsl]]=1,1,0),IF(tblParticipants[[#This Row],[White]]=1,1,0))&gt;1,1,0)</f>
        <v>0</v>
      </c>
      <c r="BY25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5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5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50" s="11">
        <f>IF(tblParticipants[[#This Row],[EarnWg2Qae]]=1,IFERROR(tblParticipants[[#This Row],[HoursPerWk2Qae]]*tblParticipants[[#This Row],[HrlyWg2Qae]]*13,0),0)</f>
        <v>0</v>
      </c>
      <c r="CC250" s="11">
        <f>IF(tblParticipants[[#This Row],[EarnWg3Qae]]=1,IFERROR(tblParticipants[[#This Row],[HoursPerWk3Qae]]*tblParticipants[[#This Row],[HrlyWg3Qae]]*13,0),0)</f>
        <v>0</v>
      </c>
      <c r="CD250" s="9">
        <f>IFERROR(IF(SUM(tblParticipants[[#This Row],[EarnWg1Qae]],tblParticipants[[#This Row],[EarnWg2Qae]],tblParticipants[[#This Row],[EarnWg3Qae]])=3,1,0),0)</f>
        <v>0</v>
      </c>
      <c r="CE250" s="12">
        <f>IF(tblParticipants[[#This Row],[EmplAll3Qae]]=1,tblParticipants[[#This Row],[Earnings2Qae]]+tblParticipants[[#This Row],[Earnings3Qae]],0)</f>
        <v>0</v>
      </c>
      <c r="CF250" s="407"/>
    </row>
    <row r="251" spans="1:84" x14ac:dyDescent="0.3">
      <c r="A251" s="19"/>
      <c r="B251" s="19"/>
      <c r="C251" s="20"/>
      <c r="D251" s="20"/>
      <c r="E251" s="26"/>
      <c r="F251" s="26"/>
      <c r="G251" s="26"/>
      <c r="H251" s="26"/>
      <c r="I251" s="26"/>
      <c r="J251" s="26"/>
      <c r="K251" s="26"/>
      <c r="L251" s="26"/>
      <c r="M251" s="20"/>
      <c r="N251" s="26"/>
      <c r="O251" s="22"/>
      <c r="P251" s="21"/>
      <c r="Q251" s="23"/>
      <c r="R251" s="21"/>
      <c r="S251" s="21"/>
      <c r="T251" s="21"/>
      <c r="U251" s="21"/>
      <c r="V251" s="21"/>
      <c r="W251" s="24"/>
      <c r="X251" s="20"/>
      <c r="Y251" s="20"/>
      <c r="Z251" s="21"/>
      <c r="AA251" s="21"/>
      <c r="AB251" s="21"/>
      <c r="AC251" s="21"/>
      <c r="AD251" s="21"/>
      <c r="AE251" s="21"/>
      <c r="AF251" s="21"/>
      <c r="AG251" s="21"/>
      <c r="AH251" s="21"/>
      <c r="AI251" s="25"/>
      <c r="AJ251" s="20"/>
      <c r="AK251" s="21"/>
      <c r="AL251" s="20"/>
      <c r="AM251" s="20"/>
      <c r="AN251" s="20"/>
      <c r="AO251" s="20"/>
      <c r="AP251" s="446"/>
      <c r="AQ251" s="20"/>
      <c r="AR251" s="20"/>
      <c r="AS251" s="20"/>
      <c r="AT251" s="20"/>
      <c r="AU251" s="26"/>
      <c r="AV251" s="98"/>
      <c r="AW251" s="98"/>
      <c r="AX251" s="98"/>
      <c r="AY251" s="98"/>
      <c r="AZ251" s="98"/>
      <c r="BA251" s="217"/>
      <c r="BB251" s="98"/>
      <c r="BC251" s="98"/>
      <c r="BD251" s="98"/>
      <c r="BE251" s="98"/>
      <c r="BF251" s="98"/>
      <c r="BG251" s="219"/>
      <c r="BH251" s="219"/>
      <c r="BI251" s="219"/>
      <c r="BJ251" s="26"/>
      <c r="BK251" s="21"/>
      <c r="BL251" s="21"/>
      <c r="BM251" s="22"/>
      <c r="BN251" s="21"/>
      <c r="BO251" s="21"/>
      <c r="BP251" s="22"/>
      <c r="BQ251" s="21"/>
      <c r="BR251" s="21"/>
      <c r="BS251" s="22"/>
      <c r="BT25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51" s="109" t="str">
        <f>IF(ISNUMBER(tblParticipants[[#This Row],[SvcStartDate]]),IF(AND(tblParticipants[[#This Row],[EnrollQtr]]=1,tblParticipants[[#This Row],[SvcStartDate]]&lt;DATE(conProgYear,7,1)),1,""),"")</f>
        <v/>
      </c>
      <c r="BV25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51" s="232" t="str">
        <f t="shared" ca="1" si="3"/>
        <v/>
      </c>
      <c r="BX251" s="9">
        <f>IF(SUM(IF(tblParticipants[[#This Row],[AmIndOrAkNtv]]=1,1,0),IF(tblParticipants[[#This Row],[Asian]]=1,1,0),IF(tblParticipants[[#This Row],[BlkOrAfAmer]]=1,1,0),IF(tblParticipants[[#This Row],[NtvHawOrPacIsl]]=1,1,0),IF(tblParticipants[[#This Row],[White]]=1,1,0))&gt;1,1,0)</f>
        <v>0</v>
      </c>
      <c r="BY25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5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5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51" s="11">
        <f>IF(tblParticipants[[#This Row],[EarnWg2Qae]]=1,IFERROR(tblParticipants[[#This Row],[HoursPerWk2Qae]]*tblParticipants[[#This Row],[HrlyWg2Qae]]*13,0),0)</f>
        <v>0</v>
      </c>
      <c r="CC251" s="11">
        <f>IF(tblParticipants[[#This Row],[EarnWg3Qae]]=1,IFERROR(tblParticipants[[#This Row],[HoursPerWk3Qae]]*tblParticipants[[#This Row],[HrlyWg3Qae]]*13,0),0)</f>
        <v>0</v>
      </c>
      <c r="CD251" s="9">
        <f>IFERROR(IF(SUM(tblParticipants[[#This Row],[EarnWg1Qae]],tblParticipants[[#This Row],[EarnWg2Qae]],tblParticipants[[#This Row],[EarnWg3Qae]])=3,1,0),0)</f>
        <v>0</v>
      </c>
      <c r="CE251" s="12">
        <f>IF(tblParticipants[[#This Row],[EmplAll3Qae]]=1,tblParticipants[[#This Row],[Earnings2Qae]]+tblParticipants[[#This Row],[Earnings3Qae]],0)</f>
        <v>0</v>
      </c>
      <c r="CF251" s="407"/>
    </row>
    <row r="252" spans="1:84" x14ac:dyDescent="0.3">
      <c r="A252" s="19"/>
      <c r="B252" s="19"/>
      <c r="C252" s="20"/>
      <c r="D252" s="20"/>
      <c r="E252" s="26"/>
      <c r="F252" s="26"/>
      <c r="G252" s="26"/>
      <c r="H252" s="26"/>
      <c r="I252" s="26"/>
      <c r="J252" s="26"/>
      <c r="K252" s="26"/>
      <c r="L252" s="26"/>
      <c r="M252" s="20"/>
      <c r="N252" s="26"/>
      <c r="O252" s="22"/>
      <c r="P252" s="21"/>
      <c r="Q252" s="23"/>
      <c r="R252" s="21"/>
      <c r="S252" s="21"/>
      <c r="T252" s="21"/>
      <c r="U252" s="21"/>
      <c r="V252" s="21"/>
      <c r="W252" s="24"/>
      <c r="X252" s="20"/>
      <c r="Y252" s="20"/>
      <c r="Z252" s="21"/>
      <c r="AA252" s="21"/>
      <c r="AB252" s="21"/>
      <c r="AC252" s="21"/>
      <c r="AD252" s="21"/>
      <c r="AE252" s="21"/>
      <c r="AF252" s="21"/>
      <c r="AG252" s="21"/>
      <c r="AH252" s="21"/>
      <c r="AI252" s="25"/>
      <c r="AJ252" s="20"/>
      <c r="AK252" s="21"/>
      <c r="AL252" s="20"/>
      <c r="AM252" s="20"/>
      <c r="AN252" s="20"/>
      <c r="AO252" s="20"/>
      <c r="AP252" s="446"/>
      <c r="AQ252" s="20"/>
      <c r="AR252" s="20"/>
      <c r="AS252" s="20"/>
      <c r="AT252" s="20"/>
      <c r="AU252" s="26"/>
      <c r="AV252" s="98"/>
      <c r="AW252" s="98"/>
      <c r="AX252" s="98"/>
      <c r="AY252" s="98"/>
      <c r="AZ252" s="98"/>
      <c r="BA252" s="217"/>
      <c r="BB252" s="98"/>
      <c r="BC252" s="98"/>
      <c r="BD252" s="98"/>
      <c r="BE252" s="98"/>
      <c r="BF252" s="98"/>
      <c r="BG252" s="219"/>
      <c r="BH252" s="219"/>
      <c r="BI252" s="219"/>
      <c r="BJ252" s="26"/>
      <c r="BK252" s="21"/>
      <c r="BL252" s="21"/>
      <c r="BM252" s="22"/>
      <c r="BN252" s="21"/>
      <c r="BO252" s="21"/>
      <c r="BP252" s="22"/>
      <c r="BQ252" s="21"/>
      <c r="BR252" s="21"/>
      <c r="BS252" s="22"/>
      <c r="BT25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52" s="109" t="str">
        <f>IF(ISNUMBER(tblParticipants[[#This Row],[SvcStartDate]]),IF(AND(tblParticipants[[#This Row],[EnrollQtr]]=1,tblParticipants[[#This Row],[SvcStartDate]]&lt;DATE(conProgYear,7,1)),1,""),"")</f>
        <v/>
      </c>
      <c r="BV25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52" s="232" t="str">
        <f t="shared" ca="1" si="3"/>
        <v/>
      </c>
      <c r="BX252" s="9">
        <f>IF(SUM(IF(tblParticipants[[#This Row],[AmIndOrAkNtv]]=1,1,0),IF(tblParticipants[[#This Row],[Asian]]=1,1,0),IF(tblParticipants[[#This Row],[BlkOrAfAmer]]=1,1,0),IF(tblParticipants[[#This Row],[NtvHawOrPacIsl]]=1,1,0),IF(tblParticipants[[#This Row],[White]]=1,1,0))&gt;1,1,0)</f>
        <v>0</v>
      </c>
      <c r="BY25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5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5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52" s="11">
        <f>IF(tblParticipants[[#This Row],[EarnWg2Qae]]=1,IFERROR(tblParticipants[[#This Row],[HoursPerWk2Qae]]*tblParticipants[[#This Row],[HrlyWg2Qae]]*13,0),0)</f>
        <v>0</v>
      </c>
      <c r="CC252" s="11">
        <f>IF(tblParticipants[[#This Row],[EarnWg3Qae]]=1,IFERROR(tblParticipants[[#This Row],[HoursPerWk3Qae]]*tblParticipants[[#This Row],[HrlyWg3Qae]]*13,0),0)</f>
        <v>0</v>
      </c>
      <c r="CD252" s="9">
        <f>IFERROR(IF(SUM(tblParticipants[[#This Row],[EarnWg1Qae]],tblParticipants[[#This Row],[EarnWg2Qae]],tblParticipants[[#This Row],[EarnWg3Qae]])=3,1,0),0)</f>
        <v>0</v>
      </c>
      <c r="CE252" s="12">
        <f>IF(tblParticipants[[#This Row],[EmplAll3Qae]]=1,tblParticipants[[#This Row],[Earnings2Qae]]+tblParticipants[[#This Row],[Earnings3Qae]],0)</f>
        <v>0</v>
      </c>
      <c r="CF252" s="407"/>
    </row>
    <row r="253" spans="1:84" x14ac:dyDescent="0.3">
      <c r="A253" s="19"/>
      <c r="B253" s="19"/>
      <c r="C253" s="20"/>
      <c r="D253" s="20"/>
      <c r="E253" s="26"/>
      <c r="F253" s="26"/>
      <c r="G253" s="26"/>
      <c r="H253" s="26"/>
      <c r="I253" s="26"/>
      <c r="J253" s="26"/>
      <c r="K253" s="26"/>
      <c r="L253" s="26"/>
      <c r="M253" s="20"/>
      <c r="N253" s="26"/>
      <c r="O253" s="22"/>
      <c r="P253" s="21"/>
      <c r="Q253" s="23"/>
      <c r="R253" s="21"/>
      <c r="S253" s="21"/>
      <c r="T253" s="21"/>
      <c r="U253" s="21"/>
      <c r="V253" s="21"/>
      <c r="W253" s="24"/>
      <c r="X253" s="20"/>
      <c r="Y253" s="20"/>
      <c r="Z253" s="21"/>
      <c r="AA253" s="21"/>
      <c r="AB253" s="21"/>
      <c r="AC253" s="21"/>
      <c r="AD253" s="21"/>
      <c r="AE253" s="21"/>
      <c r="AF253" s="21"/>
      <c r="AG253" s="21"/>
      <c r="AH253" s="21"/>
      <c r="AI253" s="25"/>
      <c r="AJ253" s="20"/>
      <c r="AK253" s="21"/>
      <c r="AL253" s="20"/>
      <c r="AM253" s="20"/>
      <c r="AN253" s="20"/>
      <c r="AO253" s="20"/>
      <c r="AP253" s="446"/>
      <c r="AQ253" s="20"/>
      <c r="AR253" s="20"/>
      <c r="AS253" s="20"/>
      <c r="AT253" s="20"/>
      <c r="AU253" s="26"/>
      <c r="AV253" s="98"/>
      <c r="AW253" s="98"/>
      <c r="AX253" s="98"/>
      <c r="AY253" s="98"/>
      <c r="AZ253" s="98"/>
      <c r="BA253" s="217"/>
      <c r="BB253" s="98"/>
      <c r="BC253" s="98"/>
      <c r="BD253" s="98"/>
      <c r="BE253" s="98"/>
      <c r="BF253" s="98"/>
      <c r="BG253" s="219"/>
      <c r="BH253" s="219"/>
      <c r="BI253" s="219"/>
      <c r="BJ253" s="26"/>
      <c r="BK253" s="21"/>
      <c r="BL253" s="21"/>
      <c r="BM253" s="22"/>
      <c r="BN253" s="21"/>
      <c r="BO253" s="21"/>
      <c r="BP253" s="22"/>
      <c r="BQ253" s="21"/>
      <c r="BR253" s="21"/>
      <c r="BS253" s="22"/>
      <c r="BT25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53" s="109" t="str">
        <f>IF(ISNUMBER(tblParticipants[[#This Row],[SvcStartDate]]),IF(AND(tblParticipants[[#This Row],[EnrollQtr]]=1,tblParticipants[[#This Row],[SvcStartDate]]&lt;DATE(conProgYear,7,1)),1,""),"")</f>
        <v/>
      </c>
      <c r="BV25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53" s="232" t="str">
        <f t="shared" ca="1" si="3"/>
        <v/>
      </c>
      <c r="BX253" s="9">
        <f>IF(SUM(IF(tblParticipants[[#This Row],[AmIndOrAkNtv]]=1,1,0),IF(tblParticipants[[#This Row],[Asian]]=1,1,0),IF(tblParticipants[[#This Row],[BlkOrAfAmer]]=1,1,0),IF(tblParticipants[[#This Row],[NtvHawOrPacIsl]]=1,1,0),IF(tblParticipants[[#This Row],[White]]=1,1,0))&gt;1,1,0)</f>
        <v>0</v>
      </c>
      <c r="BY25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5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5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53" s="11">
        <f>IF(tblParticipants[[#This Row],[EarnWg2Qae]]=1,IFERROR(tblParticipants[[#This Row],[HoursPerWk2Qae]]*tblParticipants[[#This Row],[HrlyWg2Qae]]*13,0),0)</f>
        <v>0</v>
      </c>
      <c r="CC253" s="11">
        <f>IF(tblParticipants[[#This Row],[EarnWg3Qae]]=1,IFERROR(tblParticipants[[#This Row],[HoursPerWk3Qae]]*tblParticipants[[#This Row],[HrlyWg3Qae]]*13,0),0)</f>
        <v>0</v>
      </c>
      <c r="CD253" s="9">
        <f>IFERROR(IF(SUM(tblParticipants[[#This Row],[EarnWg1Qae]],tblParticipants[[#This Row],[EarnWg2Qae]],tblParticipants[[#This Row],[EarnWg3Qae]])=3,1,0),0)</f>
        <v>0</v>
      </c>
      <c r="CE253" s="12">
        <f>IF(tblParticipants[[#This Row],[EmplAll3Qae]]=1,tblParticipants[[#This Row],[Earnings2Qae]]+tblParticipants[[#This Row],[Earnings3Qae]],0)</f>
        <v>0</v>
      </c>
      <c r="CF253" s="407"/>
    </row>
    <row r="254" spans="1:84" x14ac:dyDescent="0.3">
      <c r="A254" s="19"/>
      <c r="B254" s="19"/>
      <c r="C254" s="20"/>
      <c r="D254" s="20"/>
      <c r="E254" s="26"/>
      <c r="F254" s="26"/>
      <c r="G254" s="26"/>
      <c r="H254" s="26"/>
      <c r="I254" s="26"/>
      <c r="J254" s="26"/>
      <c r="K254" s="26"/>
      <c r="L254" s="26"/>
      <c r="M254" s="20"/>
      <c r="N254" s="26"/>
      <c r="O254" s="22"/>
      <c r="P254" s="21"/>
      <c r="Q254" s="23"/>
      <c r="R254" s="21"/>
      <c r="S254" s="21"/>
      <c r="T254" s="21"/>
      <c r="U254" s="21"/>
      <c r="V254" s="21"/>
      <c r="W254" s="24"/>
      <c r="X254" s="20"/>
      <c r="Y254" s="20"/>
      <c r="Z254" s="21"/>
      <c r="AA254" s="21"/>
      <c r="AB254" s="21"/>
      <c r="AC254" s="21"/>
      <c r="AD254" s="21"/>
      <c r="AE254" s="21"/>
      <c r="AF254" s="21"/>
      <c r="AG254" s="21"/>
      <c r="AH254" s="21"/>
      <c r="AI254" s="25"/>
      <c r="AJ254" s="20"/>
      <c r="AK254" s="21"/>
      <c r="AL254" s="20"/>
      <c r="AM254" s="20"/>
      <c r="AN254" s="20"/>
      <c r="AO254" s="20"/>
      <c r="AP254" s="446"/>
      <c r="AQ254" s="20"/>
      <c r="AR254" s="20"/>
      <c r="AS254" s="20"/>
      <c r="AT254" s="20"/>
      <c r="AU254" s="26"/>
      <c r="AV254" s="98"/>
      <c r="AW254" s="98"/>
      <c r="AX254" s="98"/>
      <c r="AY254" s="98"/>
      <c r="AZ254" s="98"/>
      <c r="BA254" s="217"/>
      <c r="BB254" s="98"/>
      <c r="BC254" s="98"/>
      <c r="BD254" s="98"/>
      <c r="BE254" s="98"/>
      <c r="BF254" s="98"/>
      <c r="BG254" s="219"/>
      <c r="BH254" s="219"/>
      <c r="BI254" s="219"/>
      <c r="BJ254" s="26"/>
      <c r="BK254" s="21"/>
      <c r="BL254" s="21"/>
      <c r="BM254" s="22"/>
      <c r="BN254" s="21"/>
      <c r="BO254" s="21"/>
      <c r="BP254" s="22"/>
      <c r="BQ254" s="21"/>
      <c r="BR254" s="21"/>
      <c r="BS254" s="22"/>
      <c r="BT25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54" s="109" t="str">
        <f>IF(ISNUMBER(tblParticipants[[#This Row],[SvcStartDate]]),IF(AND(tblParticipants[[#This Row],[EnrollQtr]]=1,tblParticipants[[#This Row],[SvcStartDate]]&lt;DATE(conProgYear,7,1)),1,""),"")</f>
        <v/>
      </c>
      <c r="BV25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54" s="232" t="str">
        <f t="shared" ca="1" si="3"/>
        <v/>
      </c>
      <c r="BX254" s="9">
        <f>IF(SUM(IF(tblParticipants[[#This Row],[AmIndOrAkNtv]]=1,1,0),IF(tblParticipants[[#This Row],[Asian]]=1,1,0),IF(tblParticipants[[#This Row],[BlkOrAfAmer]]=1,1,0),IF(tblParticipants[[#This Row],[NtvHawOrPacIsl]]=1,1,0),IF(tblParticipants[[#This Row],[White]]=1,1,0))&gt;1,1,0)</f>
        <v>0</v>
      </c>
      <c r="BY25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5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5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54" s="11">
        <f>IF(tblParticipants[[#This Row],[EarnWg2Qae]]=1,IFERROR(tblParticipants[[#This Row],[HoursPerWk2Qae]]*tblParticipants[[#This Row],[HrlyWg2Qae]]*13,0),0)</f>
        <v>0</v>
      </c>
      <c r="CC254" s="11">
        <f>IF(tblParticipants[[#This Row],[EarnWg3Qae]]=1,IFERROR(tblParticipants[[#This Row],[HoursPerWk3Qae]]*tblParticipants[[#This Row],[HrlyWg3Qae]]*13,0),0)</f>
        <v>0</v>
      </c>
      <c r="CD254" s="9">
        <f>IFERROR(IF(SUM(tblParticipants[[#This Row],[EarnWg1Qae]],tblParticipants[[#This Row],[EarnWg2Qae]],tblParticipants[[#This Row],[EarnWg3Qae]])=3,1,0),0)</f>
        <v>0</v>
      </c>
      <c r="CE254" s="12">
        <f>IF(tblParticipants[[#This Row],[EmplAll3Qae]]=1,tblParticipants[[#This Row],[Earnings2Qae]]+tblParticipants[[#This Row],[Earnings3Qae]],0)</f>
        <v>0</v>
      </c>
      <c r="CF254" s="407"/>
    </row>
    <row r="255" spans="1:84" x14ac:dyDescent="0.3">
      <c r="A255" s="19"/>
      <c r="B255" s="19"/>
      <c r="C255" s="20"/>
      <c r="D255" s="20"/>
      <c r="E255" s="26"/>
      <c r="F255" s="26"/>
      <c r="G255" s="26"/>
      <c r="H255" s="26"/>
      <c r="I255" s="26"/>
      <c r="J255" s="26"/>
      <c r="K255" s="26"/>
      <c r="L255" s="26"/>
      <c r="M255" s="20"/>
      <c r="N255" s="26"/>
      <c r="O255" s="22"/>
      <c r="P255" s="21"/>
      <c r="Q255" s="23"/>
      <c r="R255" s="21"/>
      <c r="S255" s="21"/>
      <c r="T255" s="21"/>
      <c r="U255" s="21"/>
      <c r="V255" s="21"/>
      <c r="W255" s="24"/>
      <c r="X255" s="20"/>
      <c r="Y255" s="20"/>
      <c r="Z255" s="21"/>
      <c r="AA255" s="21"/>
      <c r="AB255" s="21"/>
      <c r="AC255" s="21"/>
      <c r="AD255" s="21"/>
      <c r="AE255" s="21"/>
      <c r="AF255" s="21"/>
      <c r="AG255" s="21"/>
      <c r="AH255" s="21"/>
      <c r="AI255" s="25"/>
      <c r="AJ255" s="20"/>
      <c r="AK255" s="21"/>
      <c r="AL255" s="20"/>
      <c r="AM255" s="20"/>
      <c r="AN255" s="20"/>
      <c r="AO255" s="20"/>
      <c r="AP255" s="446"/>
      <c r="AQ255" s="20"/>
      <c r="AR255" s="20"/>
      <c r="AS255" s="20"/>
      <c r="AT255" s="20"/>
      <c r="AU255" s="26"/>
      <c r="AV255" s="98"/>
      <c r="AW255" s="98"/>
      <c r="AX255" s="98"/>
      <c r="AY255" s="98"/>
      <c r="AZ255" s="98"/>
      <c r="BA255" s="217"/>
      <c r="BB255" s="98"/>
      <c r="BC255" s="98"/>
      <c r="BD255" s="98"/>
      <c r="BE255" s="98"/>
      <c r="BF255" s="98"/>
      <c r="BG255" s="219"/>
      <c r="BH255" s="219"/>
      <c r="BI255" s="219"/>
      <c r="BJ255" s="26"/>
      <c r="BK255" s="21"/>
      <c r="BL255" s="21"/>
      <c r="BM255" s="22"/>
      <c r="BN255" s="21"/>
      <c r="BO255" s="21"/>
      <c r="BP255" s="22"/>
      <c r="BQ255" s="21"/>
      <c r="BR255" s="21"/>
      <c r="BS255" s="22"/>
      <c r="BT25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55" s="109" t="str">
        <f>IF(ISNUMBER(tblParticipants[[#This Row],[SvcStartDate]]),IF(AND(tblParticipants[[#This Row],[EnrollQtr]]=1,tblParticipants[[#This Row],[SvcStartDate]]&lt;DATE(conProgYear,7,1)),1,""),"")</f>
        <v/>
      </c>
      <c r="BV25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55" s="232" t="str">
        <f t="shared" ca="1" si="3"/>
        <v/>
      </c>
      <c r="BX255" s="9">
        <f>IF(SUM(IF(tblParticipants[[#This Row],[AmIndOrAkNtv]]=1,1,0),IF(tblParticipants[[#This Row],[Asian]]=1,1,0),IF(tblParticipants[[#This Row],[BlkOrAfAmer]]=1,1,0),IF(tblParticipants[[#This Row],[NtvHawOrPacIsl]]=1,1,0),IF(tblParticipants[[#This Row],[White]]=1,1,0))&gt;1,1,0)</f>
        <v>0</v>
      </c>
      <c r="BY25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5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5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55" s="11">
        <f>IF(tblParticipants[[#This Row],[EarnWg2Qae]]=1,IFERROR(tblParticipants[[#This Row],[HoursPerWk2Qae]]*tblParticipants[[#This Row],[HrlyWg2Qae]]*13,0),0)</f>
        <v>0</v>
      </c>
      <c r="CC255" s="11">
        <f>IF(tblParticipants[[#This Row],[EarnWg3Qae]]=1,IFERROR(tblParticipants[[#This Row],[HoursPerWk3Qae]]*tblParticipants[[#This Row],[HrlyWg3Qae]]*13,0),0)</f>
        <v>0</v>
      </c>
      <c r="CD255" s="9">
        <f>IFERROR(IF(SUM(tblParticipants[[#This Row],[EarnWg1Qae]],tblParticipants[[#This Row],[EarnWg2Qae]],tblParticipants[[#This Row],[EarnWg3Qae]])=3,1,0),0)</f>
        <v>0</v>
      </c>
      <c r="CE255" s="12">
        <f>IF(tblParticipants[[#This Row],[EmplAll3Qae]]=1,tblParticipants[[#This Row],[Earnings2Qae]]+tblParticipants[[#This Row],[Earnings3Qae]],0)</f>
        <v>0</v>
      </c>
      <c r="CF255" s="407"/>
    </row>
    <row r="256" spans="1:84" x14ac:dyDescent="0.3">
      <c r="A256" s="19"/>
      <c r="B256" s="19"/>
      <c r="C256" s="20"/>
      <c r="D256" s="20"/>
      <c r="E256" s="26"/>
      <c r="F256" s="26"/>
      <c r="G256" s="26"/>
      <c r="H256" s="26"/>
      <c r="I256" s="26"/>
      <c r="J256" s="26"/>
      <c r="K256" s="26"/>
      <c r="L256" s="26"/>
      <c r="M256" s="20"/>
      <c r="N256" s="26"/>
      <c r="O256" s="22"/>
      <c r="P256" s="21"/>
      <c r="Q256" s="23"/>
      <c r="R256" s="21"/>
      <c r="S256" s="21"/>
      <c r="T256" s="21"/>
      <c r="U256" s="21"/>
      <c r="V256" s="21"/>
      <c r="W256" s="24"/>
      <c r="X256" s="20"/>
      <c r="Y256" s="20"/>
      <c r="Z256" s="21"/>
      <c r="AA256" s="21"/>
      <c r="AB256" s="21"/>
      <c r="AC256" s="21"/>
      <c r="AD256" s="21"/>
      <c r="AE256" s="21"/>
      <c r="AF256" s="21"/>
      <c r="AG256" s="21"/>
      <c r="AH256" s="21"/>
      <c r="AI256" s="25"/>
      <c r="AJ256" s="20"/>
      <c r="AK256" s="21"/>
      <c r="AL256" s="20"/>
      <c r="AM256" s="20"/>
      <c r="AN256" s="20"/>
      <c r="AO256" s="20"/>
      <c r="AP256" s="446"/>
      <c r="AQ256" s="20"/>
      <c r="AR256" s="20"/>
      <c r="AS256" s="20"/>
      <c r="AT256" s="20"/>
      <c r="AU256" s="26"/>
      <c r="AV256" s="98"/>
      <c r="AW256" s="98"/>
      <c r="AX256" s="98"/>
      <c r="AY256" s="98"/>
      <c r="AZ256" s="98"/>
      <c r="BA256" s="217"/>
      <c r="BB256" s="98"/>
      <c r="BC256" s="98"/>
      <c r="BD256" s="98"/>
      <c r="BE256" s="98"/>
      <c r="BF256" s="98"/>
      <c r="BG256" s="219"/>
      <c r="BH256" s="219"/>
      <c r="BI256" s="219"/>
      <c r="BJ256" s="26"/>
      <c r="BK256" s="21"/>
      <c r="BL256" s="21"/>
      <c r="BM256" s="22"/>
      <c r="BN256" s="21"/>
      <c r="BO256" s="21"/>
      <c r="BP256" s="22"/>
      <c r="BQ256" s="21"/>
      <c r="BR256" s="21"/>
      <c r="BS256" s="22"/>
      <c r="BT25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56" s="109" t="str">
        <f>IF(ISNUMBER(tblParticipants[[#This Row],[SvcStartDate]]),IF(AND(tblParticipants[[#This Row],[EnrollQtr]]=1,tblParticipants[[#This Row],[SvcStartDate]]&lt;DATE(conProgYear,7,1)),1,""),"")</f>
        <v/>
      </c>
      <c r="BV25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56" s="232" t="str">
        <f t="shared" ca="1" si="3"/>
        <v/>
      </c>
      <c r="BX256" s="9">
        <f>IF(SUM(IF(tblParticipants[[#This Row],[AmIndOrAkNtv]]=1,1,0),IF(tblParticipants[[#This Row],[Asian]]=1,1,0),IF(tblParticipants[[#This Row],[BlkOrAfAmer]]=1,1,0),IF(tblParticipants[[#This Row],[NtvHawOrPacIsl]]=1,1,0),IF(tblParticipants[[#This Row],[White]]=1,1,0))&gt;1,1,0)</f>
        <v>0</v>
      </c>
      <c r="BY25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5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5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56" s="11">
        <f>IF(tblParticipants[[#This Row],[EarnWg2Qae]]=1,IFERROR(tblParticipants[[#This Row],[HoursPerWk2Qae]]*tblParticipants[[#This Row],[HrlyWg2Qae]]*13,0),0)</f>
        <v>0</v>
      </c>
      <c r="CC256" s="11">
        <f>IF(tblParticipants[[#This Row],[EarnWg3Qae]]=1,IFERROR(tblParticipants[[#This Row],[HoursPerWk3Qae]]*tblParticipants[[#This Row],[HrlyWg3Qae]]*13,0),0)</f>
        <v>0</v>
      </c>
      <c r="CD256" s="9">
        <f>IFERROR(IF(SUM(tblParticipants[[#This Row],[EarnWg1Qae]],tblParticipants[[#This Row],[EarnWg2Qae]],tblParticipants[[#This Row],[EarnWg3Qae]])=3,1,0),0)</f>
        <v>0</v>
      </c>
      <c r="CE256" s="12">
        <f>IF(tblParticipants[[#This Row],[EmplAll3Qae]]=1,tblParticipants[[#This Row],[Earnings2Qae]]+tblParticipants[[#This Row],[Earnings3Qae]],0)</f>
        <v>0</v>
      </c>
      <c r="CF256" s="407"/>
    </row>
    <row r="257" spans="1:84" x14ac:dyDescent="0.3">
      <c r="A257" s="19"/>
      <c r="B257" s="19"/>
      <c r="C257" s="20"/>
      <c r="D257" s="20"/>
      <c r="E257" s="26"/>
      <c r="F257" s="26"/>
      <c r="G257" s="26"/>
      <c r="H257" s="26"/>
      <c r="I257" s="26"/>
      <c r="J257" s="26"/>
      <c r="K257" s="26"/>
      <c r="L257" s="26"/>
      <c r="M257" s="20"/>
      <c r="N257" s="26"/>
      <c r="O257" s="22"/>
      <c r="P257" s="21"/>
      <c r="Q257" s="23"/>
      <c r="R257" s="21"/>
      <c r="S257" s="21"/>
      <c r="T257" s="21"/>
      <c r="U257" s="21"/>
      <c r="V257" s="21"/>
      <c r="W257" s="24"/>
      <c r="X257" s="20"/>
      <c r="Y257" s="20"/>
      <c r="Z257" s="21"/>
      <c r="AA257" s="21"/>
      <c r="AB257" s="21"/>
      <c r="AC257" s="21"/>
      <c r="AD257" s="21"/>
      <c r="AE257" s="21"/>
      <c r="AF257" s="21"/>
      <c r="AG257" s="21"/>
      <c r="AH257" s="21"/>
      <c r="AI257" s="25"/>
      <c r="AJ257" s="20"/>
      <c r="AK257" s="21"/>
      <c r="AL257" s="20"/>
      <c r="AM257" s="20"/>
      <c r="AN257" s="20"/>
      <c r="AO257" s="20"/>
      <c r="AP257" s="446"/>
      <c r="AQ257" s="20"/>
      <c r="AR257" s="20"/>
      <c r="AS257" s="20"/>
      <c r="AT257" s="20"/>
      <c r="AU257" s="26"/>
      <c r="AV257" s="98"/>
      <c r="AW257" s="98"/>
      <c r="AX257" s="98"/>
      <c r="AY257" s="98"/>
      <c r="AZ257" s="98"/>
      <c r="BA257" s="217"/>
      <c r="BB257" s="98"/>
      <c r="BC257" s="98"/>
      <c r="BD257" s="98"/>
      <c r="BE257" s="98"/>
      <c r="BF257" s="98"/>
      <c r="BG257" s="219"/>
      <c r="BH257" s="219"/>
      <c r="BI257" s="219"/>
      <c r="BJ257" s="26"/>
      <c r="BK257" s="21"/>
      <c r="BL257" s="21"/>
      <c r="BM257" s="22"/>
      <c r="BN257" s="21"/>
      <c r="BO257" s="21"/>
      <c r="BP257" s="22"/>
      <c r="BQ257" s="21"/>
      <c r="BR257" s="21"/>
      <c r="BS257" s="22"/>
      <c r="BT25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57" s="109" t="str">
        <f>IF(ISNUMBER(tblParticipants[[#This Row],[SvcStartDate]]),IF(AND(tblParticipants[[#This Row],[EnrollQtr]]=1,tblParticipants[[#This Row],[SvcStartDate]]&lt;DATE(conProgYear,7,1)),1,""),"")</f>
        <v/>
      </c>
      <c r="BV25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57" s="232" t="str">
        <f t="shared" ca="1" si="3"/>
        <v/>
      </c>
      <c r="BX257" s="9">
        <f>IF(SUM(IF(tblParticipants[[#This Row],[AmIndOrAkNtv]]=1,1,0),IF(tblParticipants[[#This Row],[Asian]]=1,1,0),IF(tblParticipants[[#This Row],[BlkOrAfAmer]]=1,1,0),IF(tblParticipants[[#This Row],[NtvHawOrPacIsl]]=1,1,0),IF(tblParticipants[[#This Row],[White]]=1,1,0))&gt;1,1,0)</f>
        <v>0</v>
      </c>
      <c r="BY25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5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5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57" s="11">
        <f>IF(tblParticipants[[#This Row],[EarnWg2Qae]]=1,IFERROR(tblParticipants[[#This Row],[HoursPerWk2Qae]]*tblParticipants[[#This Row],[HrlyWg2Qae]]*13,0),0)</f>
        <v>0</v>
      </c>
      <c r="CC257" s="11">
        <f>IF(tblParticipants[[#This Row],[EarnWg3Qae]]=1,IFERROR(tblParticipants[[#This Row],[HoursPerWk3Qae]]*tblParticipants[[#This Row],[HrlyWg3Qae]]*13,0),0)</f>
        <v>0</v>
      </c>
      <c r="CD257" s="9">
        <f>IFERROR(IF(SUM(tblParticipants[[#This Row],[EarnWg1Qae]],tblParticipants[[#This Row],[EarnWg2Qae]],tblParticipants[[#This Row],[EarnWg3Qae]])=3,1,0),0)</f>
        <v>0</v>
      </c>
      <c r="CE257" s="12">
        <f>IF(tblParticipants[[#This Row],[EmplAll3Qae]]=1,tblParticipants[[#This Row],[Earnings2Qae]]+tblParticipants[[#This Row],[Earnings3Qae]],0)</f>
        <v>0</v>
      </c>
      <c r="CF257" s="407"/>
    </row>
    <row r="258" spans="1:84" x14ac:dyDescent="0.3">
      <c r="A258" s="19"/>
      <c r="B258" s="19"/>
      <c r="C258" s="20"/>
      <c r="D258" s="20"/>
      <c r="E258" s="26"/>
      <c r="F258" s="26"/>
      <c r="G258" s="26"/>
      <c r="H258" s="26"/>
      <c r="I258" s="26"/>
      <c r="J258" s="26"/>
      <c r="K258" s="26"/>
      <c r="L258" s="26"/>
      <c r="M258" s="20"/>
      <c r="N258" s="26"/>
      <c r="O258" s="22"/>
      <c r="P258" s="21"/>
      <c r="Q258" s="23"/>
      <c r="R258" s="21"/>
      <c r="S258" s="21"/>
      <c r="T258" s="21"/>
      <c r="U258" s="21"/>
      <c r="V258" s="21"/>
      <c r="W258" s="24"/>
      <c r="X258" s="20"/>
      <c r="Y258" s="20"/>
      <c r="Z258" s="21"/>
      <c r="AA258" s="21"/>
      <c r="AB258" s="21"/>
      <c r="AC258" s="21"/>
      <c r="AD258" s="21"/>
      <c r="AE258" s="21"/>
      <c r="AF258" s="21"/>
      <c r="AG258" s="21"/>
      <c r="AH258" s="21"/>
      <c r="AI258" s="25"/>
      <c r="AJ258" s="20"/>
      <c r="AK258" s="21"/>
      <c r="AL258" s="20"/>
      <c r="AM258" s="20"/>
      <c r="AN258" s="20"/>
      <c r="AO258" s="20"/>
      <c r="AP258" s="446"/>
      <c r="AQ258" s="20"/>
      <c r="AR258" s="20"/>
      <c r="AS258" s="20"/>
      <c r="AT258" s="20"/>
      <c r="AU258" s="26"/>
      <c r="AV258" s="98"/>
      <c r="AW258" s="98"/>
      <c r="AX258" s="98"/>
      <c r="AY258" s="98"/>
      <c r="AZ258" s="98"/>
      <c r="BA258" s="217"/>
      <c r="BB258" s="98"/>
      <c r="BC258" s="98"/>
      <c r="BD258" s="98"/>
      <c r="BE258" s="98"/>
      <c r="BF258" s="98"/>
      <c r="BG258" s="219"/>
      <c r="BH258" s="219"/>
      <c r="BI258" s="219"/>
      <c r="BJ258" s="26"/>
      <c r="BK258" s="21"/>
      <c r="BL258" s="21"/>
      <c r="BM258" s="22"/>
      <c r="BN258" s="21"/>
      <c r="BO258" s="21"/>
      <c r="BP258" s="22"/>
      <c r="BQ258" s="21"/>
      <c r="BR258" s="21"/>
      <c r="BS258" s="22"/>
      <c r="BT25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58" s="109" t="str">
        <f>IF(ISNUMBER(tblParticipants[[#This Row],[SvcStartDate]]),IF(AND(tblParticipants[[#This Row],[EnrollQtr]]=1,tblParticipants[[#This Row],[SvcStartDate]]&lt;DATE(conProgYear,7,1)),1,""),"")</f>
        <v/>
      </c>
      <c r="BV25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58" s="232" t="str">
        <f t="shared" ca="1" si="3"/>
        <v/>
      </c>
      <c r="BX258" s="9">
        <f>IF(SUM(IF(tblParticipants[[#This Row],[AmIndOrAkNtv]]=1,1,0),IF(tblParticipants[[#This Row],[Asian]]=1,1,0),IF(tblParticipants[[#This Row],[BlkOrAfAmer]]=1,1,0),IF(tblParticipants[[#This Row],[NtvHawOrPacIsl]]=1,1,0),IF(tblParticipants[[#This Row],[White]]=1,1,0))&gt;1,1,0)</f>
        <v>0</v>
      </c>
      <c r="BY25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5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5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58" s="11">
        <f>IF(tblParticipants[[#This Row],[EarnWg2Qae]]=1,IFERROR(tblParticipants[[#This Row],[HoursPerWk2Qae]]*tblParticipants[[#This Row],[HrlyWg2Qae]]*13,0),0)</f>
        <v>0</v>
      </c>
      <c r="CC258" s="11">
        <f>IF(tblParticipants[[#This Row],[EarnWg3Qae]]=1,IFERROR(tblParticipants[[#This Row],[HoursPerWk3Qae]]*tblParticipants[[#This Row],[HrlyWg3Qae]]*13,0),0)</f>
        <v>0</v>
      </c>
      <c r="CD258" s="9">
        <f>IFERROR(IF(SUM(tblParticipants[[#This Row],[EarnWg1Qae]],tblParticipants[[#This Row],[EarnWg2Qae]],tblParticipants[[#This Row],[EarnWg3Qae]])=3,1,0),0)</f>
        <v>0</v>
      </c>
      <c r="CE258" s="12">
        <f>IF(tblParticipants[[#This Row],[EmplAll3Qae]]=1,tblParticipants[[#This Row],[Earnings2Qae]]+tblParticipants[[#This Row],[Earnings3Qae]],0)</f>
        <v>0</v>
      </c>
      <c r="CF258" s="407"/>
    </row>
    <row r="259" spans="1:84" x14ac:dyDescent="0.3">
      <c r="A259" s="19"/>
      <c r="B259" s="19"/>
      <c r="C259" s="20"/>
      <c r="D259" s="20"/>
      <c r="E259" s="26"/>
      <c r="F259" s="26"/>
      <c r="G259" s="26"/>
      <c r="H259" s="26"/>
      <c r="I259" s="26"/>
      <c r="J259" s="26"/>
      <c r="K259" s="26"/>
      <c r="L259" s="26"/>
      <c r="M259" s="20"/>
      <c r="N259" s="26"/>
      <c r="O259" s="22"/>
      <c r="P259" s="21"/>
      <c r="Q259" s="23"/>
      <c r="R259" s="21"/>
      <c r="S259" s="21"/>
      <c r="T259" s="21"/>
      <c r="U259" s="21"/>
      <c r="V259" s="21"/>
      <c r="W259" s="24"/>
      <c r="X259" s="20"/>
      <c r="Y259" s="20"/>
      <c r="Z259" s="21"/>
      <c r="AA259" s="21"/>
      <c r="AB259" s="21"/>
      <c r="AC259" s="21"/>
      <c r="AD259" s="21"/>
      <c r="AE259" s="21"/>
      <c r="AF259" s="21"/>
      <c r="AG259" s="21"/>
      <c r="AH259" s="21"/>
      <c r="AI259" s="25"/>
      <c r="AJ259" s="20"/>
      <c r="AK259" s="21"/>
      <c r="AL259" s="20"/>
      <c r="AM259" s="20"/>
      <c r="AN259" s="20"/>
      <c r="AO259" s="20"/>
      <c r="AP259" s="446"/>
      <c r="AQ259" s="20"/>
      <c r="AR259" s="20"/>
      <c r="AS259" s="20"/>
      <c r="AT259" s="20"/>
      <c r="AU259" s="26"/>
      <c r="AV259" s="98"/>
      <c r="AW259" s="98"/>
      <c r="AX259" s="98"/>
      <c r="AY259" s="98"/>
      <c r="AZ259" s="98"/>
      <c r="BA259" s="217"/>
      <c r="BB259" s="98"/>
      <c r="BC259" s="98"/>
      <c r="BD259" s="98"/>
      <c r="BE259" s="98"/>
      <c r="BF259" s="98"/>
      <c r="BG259" s="219"/>
      <c r="BH259" s="219"/>
      <c r="BI259" s="219"/>
      <c r="BJ259" s="26"/>
      <c r="BK259" s="21"/>
      <c r="BL259" s="21"/>
      <c r="BM259" s="22"/>
      <c r="BN259" s="21"/>
      <c r="BO259" s="21"/>
      <c r="BP259" s="22"/>
      <c r="BQ259" s="21"/>
      <c r="BR259" s="21"/>
      <c r="BS259" s="22"/>
      <c r="BT25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59" s="109" t="str">
        <f>IF(ISNUMBER(tblParticipants[[#This Row],[SvcStartDate]]),IF(AND(tblParticipants[[#This Row],[EnrollQtr]]=1,tblParticipants[[#This Row],[SvcStartDate]]&lt;DATE(conProgYear,7,1)),1,""),"")</f>
        <v/>
      </c>
      <c r="BV25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59" s="232" t="str">
        <f t="shared" ca="1" si="3"/>
        <v/>
      </c>
      <c r="BX259" s="9">
        <f>IF(SUM(IF(tblParticipants[[#This Row],[AmIndOrAkNtv]]=1,1,0),IF(tblParticipants[[#This Row],[Asian]]=1,1,0),IF(tblParticipants[[#This Row],[BlkOrAfAmer]]=1,1,0),IF(tblParticipants[[#This Row],[NtvHawOrPacIsl]]=1,1,0),IF(tblParticipants[[#This Row],[White]]=1,1,0))&gt;1,1,0)</f>
        <v>0</v>
      </c>
      <c r="BY25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5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5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59" s="11">
        <f>IF(tblParticipants[[#This Row],[EarnWg2Qae]]=1,IFERROR(tblParticipants[[#This Row],[HoursPerWk2Qae]]*tblParticipants[[#This Row],[HrlyWg2Qae]]*13,0),0)</f>
        <v>0</v>
      </c>
      <c r="CC259" s="11">
        <f>IF(tblParticipants[[#This Row],[EarnWg3Qae]]=1,IFERROR(tblParticipants[[#This Row],[HoursPerWk3Qae]]*tblParticipants[[#This Row],[HrlyWg3Qae]]*13,0),0)</f>
        <v>0</v>
      </c>
      <c r="CD259" s="9">
        <f>IFERROR(IF(SUM(tblParticipants[[#This Row],[EarnWg1Qae]],tblParticipants[[#This Row],[EarnWg2Qae]],tblParticipants[[#This Row],[EarnWg3Qae]])=3,1,0),0)</f>
        <v>0</v>
      </c>
      <c r="CE259" s="12">
        <f>IF(tblParticipants[[#This Row],[EmplAll3Qae]]=1,tblParticipants[[#This Row],[Earnings2Qae]]+tblParticipants[[#This Row],[Earnings3Qae]],0)</f>
        <v>0</v>
      </c>
      <c r="CF259" s="407"/>
    </row>
    <row r="260" spans="1:84" x14ac:dyDescent="0.3">
      <c r="A260" s="19"/>
      <c r="B260" s="19"/>
      <c r="C260" s="20"/>
      <c r="D260" s="20"/>
      <c r="E260" s="26"/>
      <c r="F260" s="26"/>
      <c r="G260" s="26"/>
      <c r="H260" s="26"/>
      <c r="I260" s="26"/>
      <c r="J260" s="26"/>
      <c r="K260" s="26"/>
      <c r="L260" s="26"/>
      <c r="M260" s="20"/>
      <c r="N260" s="26"/>
      <c r="O260" s="22"/>
      <c r="P260" s="21"/>
      <c r="Q260" s="23"/>
      <c r="R260" s="21"/>
      <c r="S260" s="21"/>
      <c r="T260" s="21"/>
      <c r="U260" s="21"/>
      <c r="V260" s="21"/>
      <c r="W260" s="24"/>
      <c r="X260" s="20"/>
      <c r="Y260" s="20"/>
      <c r="Z260" s="21"/>
      <c r="AA260" s="21"/>
      <c r="AB260" s="21"/>
      <c r="AC260" s="21"/>
      <c r="AD260" s="21"/>
      <c r="AE260" s="21"/>
      <c r="AF260" s="21"/>
      <c r="AG260" s="21"/>
      <c r="AH260" s="21"/>
      <c r="AI260" s="25"/>
      <c r="AJ260" s="20"/>
      <c r="AK260" s="21"/>
      <c r="AL260" s="20"/>
      <c r="AM260" s="20"/>
      <c r="AN260" s="20"/>
      <c r="AO260" s="20"/>
      <c r="AP260" s="446"/>
      <c r="AQ260" s="20"/>
      <c r="AR260" s="20"/>
      <c r="AS260" s="20"/>
      <c r="AT260" s="20"/>
      <c r="AU260" s="26"/>
      <c r="AV260" s="98"/>
      <c r="AW260" s="98"/>
      <c r="AX260" s="98"/>
      <c r="AY260" s="98"/>
      <c r="AZ260" s="98"/>
      <c r="BA260" s="217"/>
      <c r="BB260" s="98"/>
      <c r="BC260" s="98"/>
      <c r="BD260" s="98"/>
      <c r="BE260" s="98"/>
      <c r="BF260" s="98"/>
      <c r="BG260" s="219"/>
      <c r="BH260" s="219"/>
      <c r="BI260" s="219"/>
      <c r="BJ260" s="26"/>
      <c r="BK260" s="21"/>
      <c r="BL260" s="21"/>
      <c r="BM260" s="22"/>
      <c r="BN260" s="21"/>
      <c r="BO260" s="21"/>
      <c r="BP260" s="22"/>
      <c r="BQ260" s="21"/>
      <c r="BR260" s="21"/>
      <c r="BS260" s="22"/>
      <c r="BT26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60" s="109" t="str">
        <f>IF(ISNUMBER(tblParticipants[[#This Row],[SvcStartDate]]),IF(AND(tblParticipants[[#This Row],[EnrollQtr]]=1,tblParticipants[[#This Row],[SvcStartDate]]&lt;DATE(conProgYear,7,1)),1,""),"")</f>
        <v/>
      </c>
      <c r="BV26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60" s="232" t="str">
        <f t="shared" ca="1" si="3"/>
        <v/>
      </c>
      <c r="BX260" s="9">
        <f>IF(SUM(IF(tblParticipants[[#This Row],[AmIndOrAkNtv]]=1,1,0),IF(tblParticipants[[#This Row],[Asian]]=1,1,0),IF(tblParticipants[[#This Row],[BlkOrAfAmer]]=1,1,0),IF(tblParticipants[[#This Row],[NtvHawOrPacIsl]]=1,1,0),IF(tblParticipants[[#This Row],[White]]=1,1,0))&gt;1,1,0)</f>
        <v>0</v>
      </c>
      <c r="BY26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6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6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60" s="11">
        <f>IF(tblParticipants[[#This Row],[EarnWg2Qae]]=1,IFERROR(tblParticipants[[#This Row],[HoursPerWk2Qae]]*tblParticipants[[#This Row],[HrlyWg2Qae]]*13,0),0)</f>
        <v>0</v>
      </c>
      <c r="CC260" s="11">
        <f>IF(tblParticipants[[#This Row],[EarnWg3Qae]]=1,IFERROR(tblParticipants[[#This Row],[HoursPerWk3Qae]]*tblParticipants[[#This Row],[HrlyWg3Qae]]*13,0),0)</f>
        <v>0</v>
      </c>
      <c r="CD260" s="9">
        <f>IFERROR(IF(SUM(tblParticipants[[#This Row],[EarnWg1Qae]],tblParticipants[[#This Row],[EarnWg2Qae]],tblParticipants[[#This Row],[EarnWg3Qae]])=3,1,0),0)</f>
        <v>0</v>
      </c>
      <c r="CE260" s="12">
        <f>IF(tblParticipants[[#This Row],[EmplAll3Qae]]=1,tblParticipants[[#This Row],[Earnings2Qae]]+tblParticipants[[#This Row],[Earnings3Qae]],0)</f>
        <v>0</v>
      </c>
      <c r="CF260" s="407"/>
    </row>
    <row r="261" spans="1:84" x14ac:dyDescent="0.3">
      <c r="A261" s="19"/>
      <c r="B261" s="19"/>
      <c r="C261" s="20"/>
      <c r="D261" s="20"/>
      <c r="E261" s="26"/>
      <c r="F261" s="26"/>
      <c r="G261" s="26"/>
      <c r="H261" s="26"/>
      <c r="I261" s="26"/>
      <c r="J261" s="26"/>
      <c r="K261" s="26"/>
      <c r="L261" s="26"/>
      <c r="M261" s="20"/>
      <c r="N261" s="26"/>
      <c r="O261" s="22"/>
      <c r="P261" s="21"/>
      <c r="Q261" s="23"/>
      <c r="R261" s="21"/>
      <c r="S261" s="21"/>
      <c r="T261" s="21"/>
      <c r="U261" s="21"/>
      <c r="V261" s="21"/>
      <c r="W261" s="24"/>
      <c r="X261" s="20"/>
      <c r="Y261" s="20"/>
      <c r="Z261" s="21"/>
      <c r="AA261" s="21"/>
      <c r="AB261" s="21"/>
      <c r="AC261" s="21"/>
      <c r="AD261" s="21"/>
      <c r="AE261" s="21"/>
      <c r="AF261" s="21"/>
      <c r="AG261" s="21"/>
      <c r="AH261" s="21"/>
      <c r="AI261" s="25"/>
      <c r="AJ261" s="20"/>
      <c r="AK261" s="21"/>
      <c r="AL261" s="20"/>
      <c r="AM261" s="20"/>
      <c r="AN261" s="20"/>
      <c r="AO261" s="20"/>
      <c r="AP261" s="446"/>
      <c r="AQ261" s="20"/>
      <c r="AR261" s="20"/>
      <c r="AS261" s="20"/>
      <c r="AT261" s="20"/>
      <c r="AU261" s="26"/>
      <c r="AV261" s="98"/>
      <c r="AW261" s="98"/>
      <c r="AX261" s="98"/>
      <c r="AY261" s="98"/>
      <c r="AZ261" s="98"/>
      <c r="BA261" s="217"/>
      <c r="BB261" s="98"/>
      <c r="BC261" s="98"/>
      <c r="BD261" s="98"/>
      <c r="BE261" s="98"/>
      <c r="BF261" s="98"/>
      <c r="BG261" s="219"/>
      <c r="BH261" s="219"/>
      <c r="BI261" s="219"/>
      <c r="BJ261" s="26"/>
      <c r="BK261" s="21"/>
      <c r="BL261" s="21"/>
      <c r="BM261" s="22"/>
      <c r="BN261" s="21"/>
      <c r="BO261" s="21"/>
      <c r="BP261" s="22"/>
      <c r="BQ261" s="21"/>
      <c r="BR261" s="21"/>
      <c r="BS261" s="22"/>
      <c r="BT26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61" s="109" t="str">
        <f>IF(ISNUMBER(tblParticipants[[#This Row],[SvcStartDate]]),IF(AND(tblParticipants[[#This Row],[EnrollQtr]]=1,tblParticipants[[#This Row],[SvcStartDate]]&lt;DATE(conProgYear,7,1)),1,""),"")</f>
        <v/>
      </c>
      <c r="BV26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61" s="232" t="str">
        <f t="shared" ref="BW261:BW324" ca="1" si="4">IF(NOT(ISBLANK(INDIRECT("tblParticipants[@PlacedInEmp]"))),IF(INDIRECT("tblParticipants[@PlacedInEmp]")=1,IF(NOT(ISBLANK(INDIRECT("tblParticipants[@SvcEndDate]"))),IF(ISNUMBER(INDIRECT("tblParticipants[@SvcEndDate]")),IF(AND(INDIRECT("tblParticipants[@SvcEndDate]")&gt;=DATE(conProgYear,7,1),INDIRECT("tblParticipants[@SvcEndDate]")&lt;=DATE(conProgYear+1,6,30)),INDIRECT("tblParticipants[@ExitQtr]"),"ERR"),"ERR"),"ERR"),""),"")</f>
        <v/>
      </c>
      <c r="BX261" s="9">
        <f>IF(SUM(IF(tblParticipants[[#This Row],[AmIndOrAkNtv]]=1,1,0),IF(tblParticipants[[#This Row],[Asian]]=1,1,0),IF(tblParticipants[[#This Row],[BlkOrAfAmer]]=1,1,0),IF(tblParticipants[[#This Row],[NtvHawOrPacIsl]]=1,1,0),IF(tblParticipants[[#This Row],[White]]=1,1,0))&gt;1,1,0)</f>
        <v>0</v>
      </c>
      <c r="BY26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6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6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61" s="11">
        <f>IF(tblParticipants[[#This Row],[EarnWg2Qae]]=1,IFERROR(tblParticipants[[#This Row],[HoursPerWk2Qae]]*tblParticipants[[#This Row],[HrlyWg2Qae]]*13,0),0)</f>
        <v>0</v>
      </c>
      <c r="CC261" s="11">
        <f>IF(tblParticipants[[#This Row],[EarnWg3Qae]]=1,IFERROR(tblParticipants[[#This Row],[HoursPerWk3Qae]]*tblParticipants[[#This Row],[HrlyWg3Qae]]*13,0),0)</f>
        <v>0</v>
      </c>
      <c r="CD261" s="9">
        <f>IFERROR(IF(SUM(tblParticipants[[#This Row],[EarnWg1Qae]],tblParticipants[[#This Row],[EarnWg2Qae]],tblParticipants[[#This Row],[EarnWg3Qae]])=3,1,0),0)</f>
        <v>0</v>
      </c>
      <c r="CE261" s="12">
        <f>IF(tblParticipants[[#This Row],[EmplAll3Qae]]=1,tblParticipants[[#This Row],[Earnings2Qae]]+tblParticipants[[#This Row],[Earnings3Qae]],0)</f>
        <v>0</v>
      </c>
      <c r="CF261" s="407"/>
    </row>
    <row r="262" spans="1:84" x14ac:dyDescent="0.3">
      <c r="A262" s="19"/>
      <c r="B262" s="19"/>
      <c r="C262" s="20"/>
      <c r="D262" s="20"/>
      <c r="E262" s="26"/>
      <c r="F262" s="26"/>
      <c r="G262" s="26"/>
      <c r="H262" s="26"/>
      <c r="I262" s="26"/>
      <c r="J262" s="26"/>
      <c r="K262" s="26"/>
      <c r="L262" s="26"/>
      <c r="M262" s="20"/>
      <c r="N262" s="26"/>
      <c r="O262" s="22"/>
      <c r="P262" s="21"/>
      <c r="Q262" s="23"/>
      <c r="R262" s="21"/>
      <c r="S262" s="21"/>
      <c r="T262" s="21"/>
      <c r="U262" s="21"/>
      <c r="V262" s="21"/>
      <c r="W262" s="24"/>
      <c r="X262" s="20"/>
      <c r="Y262" s="20"/>
      <c r="Z262" s="21"/>
      <c r="AA262" s="21"/>
      <c r="AB262" s="21"/>
      <c r="AC262" s="21"/>
      <c r="AD262" s="21"/>
      <c r="AE262" s="21"/>
      <c r="AF262" s="21"/>
      <c r="AG262" s="21"/>
      <c r="AH262" s="21"/>
      <c r="AI262" s="25"/>
      <c r="AJ262" s="20"/>
      <c r="AK262" s="21"/>
      <c r="AL262" s="20"/>
      <c r="AM262" s="20"/>
      <c r="AN262" s="20"/>
      <c r="AO262" s="20"/>
      <c r="AP262" s="446"/>
      <c r="AQ262" s="20"/>
      <c r="AR262" s="20"/>
      <c r="AS262" s="20"/>
      <c r="AT262" s="20"/>
      <c r="AU262" s="26"/>
      <c r="AV262" s="98"/>
      <c r="AW262" s="98"/>
      <c r="AX262" s="98"/>
      <c r="AY262" s="98"/>
      <c r="AZ262" s="98"/>
      <c r="BA262" s="217"/>
      <c r="BB262" s="98"/>
      <c r="BC262" s="98"/>
      <c r="BD262" s="98"/>
      <c r="BE262" s="98"/>
      <c r="BF262" s="98"/>
      <c r="BG262" s="219"/>
      <c r="BH262" s="219"/>
      <c r="BI262" s="219"/>
      <c r="BJ262" s="26"/>
      <c r="BK262" s="21"/>
      <c r="BL262" s="21"/>
      <c r="BM262" s="22"/>
      <c r="BN262" s="21"/>
      <c r="BO262" s="21"/>
      <c r="BP262" s="22"/>
      <c r="BQ262" s="21"/>
      <c r="BR262" s="21"/>
      <c r="BS262" s="22"/>
      <c r="BT26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62" s="109" t="str">
        <f>IF(ISNUMBER(tblParticipants[[#This Row],[SvcStartDate]]),IF(AND(tblParticipants[[#This Row],[EnrollQtr]]=1,tblParticipants[[#This Row],[SvcStartDate]]&lt;DATE(conProgYear,7,1)),1,""),"")</f>
        <v/>
      </c>
      <c r="BV26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62" s="232" t="str">
        <f t="shared" ca="1" si="4"/>
        <v/>
      </c>
      <c r="BX262" s="9">
        <f>IF(SUM(IF(tblParticipants[[#This Row],[AmIndOrAkNtv]]=1,1,0),IF(tblParticipants[[#This Row],[Asian]]=1,1,0),IF(tblParticipants[[#This Row],[BlkOrAfAmer]]=1,1,0),IF(tblParticipants[[#This Row],[NtvHawOrPacIsl]]=1,1,0),IF(tblParticipants[[#This Row],[White]]=1,1,0))&gt;1,1,0)</f>
        <v>0</v>
      </c>
      <c r="BY26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6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6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62" s="11">
        <f>IF(tblParticipants[[#This Row],[EarnWg2Qae]]=1,IFERROR(tblParticipants[[#This Row],[HoursPerWk2Qae]]*tblParticipants[[#This Row],[HrlyWg2Qae]]*13,0),0)</f>
        <v>0</v>
      </c>
      <c r="CC262" s="11">
        <f>IF(tblParticipants[[#This Row],[EarnWg3Qae]]=1,IFERROR(tblParticipants[[#This Row],[HoursPerWk3Qae]]*tblParticipants[[#This Row],[HrlyWg3Qae]]*13,0),0)</f>
        <v>0</v>
      </c>
      <c r="CD262" s="9">
        <f>IFERROR(IF(SUM(tblParticipants[[#This Row],[EarnWg1Qae]],tblParticipants[[#This Row],[EarnWg2Qae]],tblParticipants[[#This Row],[EarnWg3Qae]])=3,1,0),0)</f>
        <v>0</v>
      </c>
      <c r="CE262" s="12">
        <f>IF(tblParticipants[[#This Row],[EmplAll3Qae]]=1,tblParticipants[[#This Row],[Earnings2Qae]]+tblParticipants[[#This Row],[Earnings3Qae]],0)</f>
        <v>0</v>
      </c>
      <c r="CF262" s="407"/>
    </row>
    <row r="263" spans="1:84" x14ac:dyDescent="0.3">
      <c r="A263" s="19"/>
      <c r="B263" s="19"/>
      <c r="C263" s="20"/>
      <c r="D263" s="20"/>
      <c r="E263" s="26"/>
      <c r="F263" s="26"/>
      <c r="G263" s="26"/>
      <c r="H263" s="26"/>
      <c r="I263" s="26"/>
      <c r="J263" s="26"/>
      <c r="K263" s="26"/>
      <c r="L263" s="26"/>
      <c r="M263" s="20"/>
      <c r="N263" s="26"/>
      <c r="O263" s="22"/>
      <c r="P263" s="21"/>
      <c r="Q263" s="23"/>
      <c r="R263" s="21"/>
      <c r="S263" s="21"/>
      <c r="T263" s="21"/>
      <c r="U263" s="21"/>
      <c r="V263" s="21"/>
      <c r="W263" s="24"/>
      <c r="X263" s="20"/>
      <c r="Y263" s="20"/>
      <c r="Z263" s="21"/>
      <c r="AA263" s="21"/>
      <c r="AB263" s="21"/>
      <c r="AC263" s="21"/>
      <c r="AD263" s="21"/>
      <c r="AE263" s="21"/>
      <c r="AF263" s="21"/>
      <c r="AG263" s="21"/>
      <c r="AH263" s="21"/>
      <c r="AI263" s="25"/>
      <c r="AJ263" s="20"/>
      <c r="AK263" s="21"/>
      <c r="AL263" s="20"/>
      <c r="AM263" s="20"/>
      <c r="AN263" s="20"/>
      <c r="AO263" s="20"/>
      <c r="AP263" s="446"/>
      <c r="AQ263" s="20"/>
      <c r="AR263" s="20"/>
      <c r="AS263" s="20"/>
      <c r="AT263" s="20"/>
      <c r="AU263" s="26"/>
      <c r="AV263" s="98"/>
      <c r="AW263" s="98"/>
      <c r="AX263" s="98"/>
      <c r="AY263" s="98"/>
      <c r="AZ263" s="98"/>
      <c r="BA263" s="217"/>
      <c r="BB263" s="98"/>
      <c r="BC263" s="98"/>
      <c r="BD263" s="98"/>
      <c r="BE263" s="98"/>
      <c r="BF263" s="98"/>
      <c r="BG263" s="219"/>
      <c r="BH263" s="219"/>
      <c r="BI263" s="219"/>
      <c r="BJ263" s="26"/>
      <c r="BK263" s="21"/>
      <c r="BL263" s="21"/>
      <c r="BM263" s="22"/>
      <c r="BN263" s="21"/>
      <c r="BO263" s="21"/>
      <c r="BP263" s="22"/>
      <c r="BQ263" s="21"/>
      <c r="BR263" s="21"/>
      <c r="BS263" s="22"/>
      <c r="BT26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63" s="109" t="str">
        <f>IF(ISNUMBER(tblParticipants[[#This Row],[SvcStartDate]]),IF(AND(tblParticipants[[#This Row],[EnrollQtr]]=1,tblParticipants[[#This Row],[SvcStartDate]]&lt;DATE(conProgYear,7,1)),1,""),"")</f>
        <v/>
      </c>
      <c r="BV26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63" s="232" t="str">
        <f t="shared" ca="1" si="4"/>
        <v/>
      </c>
      <c r="BX263" s="9">
        <f>IF(SUM(IF(tblParticipants[[#This Row],[AmIndOrAkNtv]]=1,1,0),IF(tblParticipants[[#This Row],[Asian]]=1,1,0),IF(tblParticipants[[#This Row],[BlkOrAfAmer]]=1,1,0),IF(tblParticipants[[#This Row],[NtvHawOrPacIsl]]=1,1,0),IF(tblParticipants[[#This Row],[White]]=1,1,0))&gt;1,1,0)</f>
        <v>0</v>
      </c>
      <c r="BY26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6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6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63" s="11">
        <f>IF(tblParticipants[[#This Row],[EarnWg2Qae]]=1,IFERROR(tblParticipants[[#This Row],[HoursPerWk2Qae]]*tblParticipants[[#This Row],[HrlyWg2Qae]]*13,0),0)</f>
        <v>0</v>
      </c>
      <c r="CC263" s="11">
        <f>IF(tblParticipants[[#This Row],[EarnWg3Qae]]=1,IFERROR(tblParticipants[[#This Row],[HoursPerWk3Qae]]*tblParticipants[[#This Row],[HrlyWg3Qae]]*13,0),0)</f>
        <v>0</v>
      </c>
      <c r="CD263" s="9">
        <f>IFERROR(IF(SUM(tblParticipants[[#This Row],[EarnWg1Qae]],tblParticipants[[#This Row],[EarnWg2Qae]],tblParticipants[[#This Row],[EarnWg3Qae]])=3,1,0),0)</f>
        <v>0</v>
      </c>
      <c r="CE263" s="12">
        <f>IF(tblParticipants[[#This Row],[EmplAll3Qae]]=1,tblParticipants[[#This Row],[Earnings2Qae]]+tblParticipants[[#This Row],[Earnings3Qae]],0)</f>
        <v>0</v>
      </c>
      <c r="CF263" s="407"/>
    </row>
    <row r="264" spans="1:84" x14ac:dyDescent="0.3">
      <c r="A264" s="19"/>
      <c r="B264" s="19"/>
      <c r="C264" s="20"/>
      <c r="D264" s="20"/>
      <c r="E264" s="26"/>
      <c r="F264" s="26"/>
      <c r="G264" s="26"/>
      <c r="H264" s="26"/>
      <c r="I264" s="26"/>
      <c r="J264" s="26"/>
      <c r="K264" s="26"/>
      <c r="L264" s="26"/>
      <c r="M264" s="20"/>
      <c r="N264" s="26"/>
      <c r="O264" s="22"/>
      <c r="P264" s="21"/>
      <c r="Q264" s="23"/>
      <c r="R264" s="21"/>
      <c r="S264" s="21"/>
      <c r="T264" s="21"/>
      <c r="U264" s="21"/>
      <c r="V264" s="21"/>
      <c r="W264" s="24"/>
      <c r="X264" s="20"/>
      <c r="Y264" s="20"/>
      <c r="Z264" s="21"/>
      <c r="AA264" s="21"/>
      <c r="AB264" s="21"/>
      <c r="AC264" s="21"/>
      <c r="AD264" s="21"/>
      <c r="AE264" s="21"/>
      <c r="AF264" s="21"/>
      <c r="AG264" s="21"/>
      <c r="AH264" s="21"/>
      <c r="AI264" s="25"/>
      <c r="AJ264" s="20"/>
      <c r="AK264" s="21"/>
      <c r="AL264" s="20"/>
      <c r="AM264" s="20"/>
      <c r="AN264" s="20"/>
      <c r="AO264" s="20"/>
      <c r="AP264" s="446"/>
      <c r="AQ264" s="20"/>
      <c r="AR264" s="20"/>
      <c r="AS264" s="20"/>
      <c r="AT264" s="20"/>
      <c r="AU264" s="26"/>
      <c r="AV264" s="98"/>
      <c r="AW264" s="98"/>
      <c r="AX264" s="98"/>
      <c r="AY264" s="98"/>
      <c r="AZ264" s="98"/>
      <c r="BA264" s="217"/>
      <c r="BB264" s="98"/>
      <c r="BC264" s="98"/>
      <c r="BD264" s="98"/>
      <c r="BE264" s="98"/>
      <c r="BF264" s="98"/>
      <c r="BG264" s="219"/>
      <c r="BH264" s="219"/>
      <c r="BI264" s="219"/>
      <c r="BJ264" s="26"/>
      <c r="BK264" s="21"/>
      <c r="BL264" s="21"/>
      <c r="BM264" s="22"/>
      <c r="BN264" s="21"/>
      <c r="BO264" s="21"/>
      <c r="BP264" s="22"/>
      <c r="BQ264" s="21"/>
      <c r="BR264" s="21"/>
      <c r="BS264" s="22"/>
      <c r="BT26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64" s="109" t="str">
        <f>IF(ISNUMBER(tblParticipants[[#This Row],[SvcStartDate]]),IF(AND(tblParticipants[[#This Row],[EnrollQtr]]=1,tblParticipants[[#This Row],[SvcStartDate]]&lt;DATE(conProgYear,7,1)),1,""),"")</f>
        <v/>
      </c>
      <c r="BV26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64" s="232" t="str">
        <f t="shared" ca="1" si="4"/>
        <v/>
      </c>
      <c r="BX264" s="9">
        <f>IF(SUM(IF(tblParticipants[[#This Row],[AmIndOrAkNtv]]=1,1,0),IF(tblParticipants[[#This Row],[Asian]]=1,1,0),IF(tblParticipants[[#This Row],[BlkOrAfAmer]]=1,1,0),IF(tblParticipants[[#This Row],[NtvHawOrPacIsl]]=1,1,0),IF(tblParticipants[[#This Row],[White]]=1,1,0))&gt;1,1,0)</f>
        <v>0</v>
      </c>
      <c r="BY26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6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6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64" s="11">
        <f>IF(tblParticipants[[#This Row],[EarnWg2Qae]]=1,IFERROR(tblParticipants[[#This Row],[HoursPerWk2Qae]]*tblParticipants[[#This Row],[HrlyWg2Qae]]*13,0),0)</f>
        <v>0</v>
      </c>
      <c r="CC264" s="11">
        <f>IF(tblParticipants[[#This Row],[EarnWg3Qae]]=1,IFERROR(tblParticipants[[#This Row],[HoursPerWk3Qae]]*tblParticipants[[#This Row],[HrlyWg3Qae]]*13,0),0)</f>
        <v>0</v>
      </c>
      <c r="CD264" s="9">
        <f>IFERROR(IF(SUM(tblParticipants[[#This Row],[EarnWg1Qae]],tblParticipants[[#This Row],[EarnWg2Qae]],tblParticipants[[#This Row],[EarnWg3Qae]])=3,1,0),0)</f>
        <v>0</v>
      </c>
      <c r="CE264" s="12">
        <f>IF(tblParticipants[[#This Row],[EmplAll3Qae]]=1,tblParticipants[[#This Row],[Earnings2Qae]]+tblParticipants[[#This Row],[Earnings3Qae]],0)</f>
        <v>0</v>
      </c>
      <c r="CF264" s="407"/>
    </row>
    <row r="265" spans="1:84" x14ac:dyDescent="0.3">
      <c r="A265" s="19"/>
      <c r="B265" s="19"/>
      <c r="C265" s="20"/>
      <c r="D265" s="20"/>
      <c r="E265" s="26"/>
      <c r="F265" s="26"/>
      <c r="G265" s="26"/>
      <c r="H265" s="26"/>
      <c r="I265" s="26"/>
      <c r="J265" s="26"/>
      <c r="K265" s="26"/>
      <c r="L265" s="26"/>
      <c r="M265" s="20"/>
      <c r="N265" s="26"/>
      <c r="O265" s="22"/>
      <c r="P265" s="21"/>
      <c r="Q265" s="23"/>
      <c r="R265" s="21"/>
      <c r="S265" s="21"/>
      <c r="T265" s="21"/>
      <c r="U265" s="21"/>
      <c r="V265" s="21"/>
      <c r="W265" s="24"/>
      <c r="X265" s="20"/>
      <c r="Y265" s="20"/>
      <c r="Z265" s="21"/>
      <c r="AA265" s="21"/>
      <c r="AB265" s="21"/>
      <c r="AC265" s="21"/>
      <c r="AD265" s="21"/>
      <c r="AE265" s="21"/>
      <c r="AF265" s="21"/>
      <c r="AG265" s="21"/>
      <c r="AH265" s="21"/>
      <c r="AI265" s="25"/>
      <c r="AJ265" s="20"/>
      <c r="AK265" s="21"/>
      <c r="AL265" s="20"/>
      <c r="AM265" s="20"/>
      <c r="AN265" s="20"/>
      <c r="AO265" s="20"/>
      <c r="AP265" s="446"/>
      <c r="AQ265" s="20"/>
      <c r="AR265" s="20"/>
      <c r="AS265" s="20"/>
      <c r="AT265" s="20"/>
      <c r="AU265" s="26"/>
      <c r="AV265" s="98"/>
      <c r="AW265" s="98"/>
      <c r="AX265" s="98"/>
      <c r="AY265" s="98"/>
      <c r="AZ265" s="98"/>
      <c r="BA265" s="217"/>
      <c r="BB265" s="98"/>
      <c r="BC265" s="98"/>
      <c r="BD265" s="98"/>
      <c r="BE265" s="98"/>
      <c r="BF265" s="98"/>
      <c r="BG265" s="219"/>
      <c r="BH265" s="219"/>
      <c r="BI265" s="219"/>
      <c r="BJ265" s="26"/>
      <c r="BK265" s="21"/>
      <c r="BL265" s="21"/>
      <c r="BM265" s="22"/>
      <c r="BN265" s="21"/>
      <c r="BO265" s="21"/>
      <c r="BP265" s="22"/>
      <c r="BQ265" s="21"/>
      <c r="BR265" s="21"/>
      <c r="BS265" s="22"/>
      <c r="BT26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65" s="109" t="str">
        <f>IF(ISNUMBER(tblParticipants[[#This Row],[SvcStartDate]]),IF(AND(tblParticipants[[#This Row],[EnrollQtr]]=1,tblParticipants[[#This Row],[SvcStartDate]]&lt;DATE(conProgYear,7,1)),1,""),"")</f>
        <v/>
      </c>
      <c r="BV26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65" s="232" t="str">
        <f t="shared" ca="1" si="4"/>
        <v/>
      </c>
      <c r="BX265" s="9">
        <f>IF(SUM(IF(tblParticipants[[#This Row],[AmIndOrAkNtv]]=1,1,0),IF(tblParticipants[[#This Row],[Asian]]=1,1,0),IF(tblParticipants[[#This Row],[BlkOrAfAmer]]=1,1,0),IF(tblParticipants[[#This Row],[NtvHawOrPacIsl]]=1,1,0),IF(tblParticipants[[#This Row],[White]]=1,1,0))&gt;1,1,0)</f>
        <v>0</v>
      </c>
      <c r="BY26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6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6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65" s="11">
        <f>IF(tblParticipants[[#This Row],[EarnWg2Qae]]=1,IFERROR(tblParticipants[[#This Row],[HoursPerWk2Qae]]*tblParticipants[[#This Row],[HrlyWg2Qae]]*13,0),0)</f>
        <v>0</v>
      </c>
      <c r="CC265" s="11">
        <f>IF(tblParticipants[[#This Row],[EarnWg3Qae]]=1,IFERROR(tblParticipants[[#This Row],[HoursPerWk3Qae]]*tblParticipants[[#This Row],[HrlyWg3Qae]]*13,0),0)</f>
        <v>0</v>
      </c>
      <c r="CD265" s="9">
        <f>IFERROR(IF(SUM(tblParticipants[[#This Row],[EarnWg1Qae]],tblParticipants[[#This Row],[EarnWg2Qae]],tblParticipants[[#This Row],[EarnWg3Qae]])=3,1,0),0)</f>
        <v>0</v>
      </c>
      <c r="CE265" s="12">
        <f>IF(tblParticipants[[#This Row],[EmplAll3Qae]]=1,tblParticipants[[#This Row],[Earnings2Qae]]+tblParticipants[[#This Row],[Earnings3Qae]],0)</f>
        <v>0</v>
      </c>
      <c r="CF265" s="407"/>
    </row>
    <row r="266" spans="1:84" x14ac:dyDescent="0.3">
      <c r="A266" s="19"/>
      <c r="B266" s="19"/>
      <c r="C266" s="20"/>
      <c r="D266" s="20"/>
      <c r="E266" s="26"/>
      <c r="F266" s="26"/>
      <c r="G266" s="26"/>
      <c r="H266" s="26"/>
      <c r="I266" s="26"/>
      <c r="J266" s="26"/>
      <c r="K266" s="26"/>
      <c r="L266" s="26"/>
      <c r="M266" s="20"/>
      <c r="N266" s="26"/>
      <c r="O266" s="22"/>
      <c r="P266" s="21"/>
      <c r="Q266" s="23"/>
      <c r="R266" s="21"/>
      <c r="S266" s="21"/>
      <c r="T266" s="21"/>
      <c r="U266" s="21"/>
      <c r="V266" s="21"/>
      <c r="W266" s="24"/>
      <c r="X266" s="20"/>
      <c r="Y266" s="20"/>
      <c r="Z266" s="21"/>
      <c r="AA266" s="21"/>
      <c r="AB266" s="21"/>
      <c r="AC266" s="21"/>
      <c r="AD266" s="21"/>
      <c r="AE266" s="21"/>
      <c r="AF266" s="21"/>
      <c r="AG266" s="21"/>
      <c r="AH266" s="21"/>
      <c r="AI266" s="25"/>
      <c r="AJ266" s="20"/>
      <c r="AK266" s="21"/>
      <c r="AL266" s="20"/>
      <c r="AM266" s="20"/>
      <c r="AN266" s="20"/>
      <c r="AO266" s="20"/>
      <c r="AP266" s="446"/>
      <c r="AQ266" s="20"/>
      <c r="AR266" s="20"/>
      <c r="AS266" s="20"/>
      <c r="AT266" s="20"/>
      <c r="AU266" s="26"/>
      <c r="AV266" s="98"/>
      <c r="AW266" s="98"/>
      <c r="AX266" s="98"/>
      <c r="AY266" s="98"/>
      <c r="AZ266" s="98"/>
      <c r="BA266" s="217"/>
      <c r="BB266" s="98"/>
      <c r="BC266" s="98"/>
      <c r="BD266" s="98"/>
      <c r="BE266" s="98"/>
      <c r="BF266" s="98"/>
      <c r="BG266" s="219"/>
      <c r="BH266" s="219"/>
      <c r="BI266" s="219"/>
      <c r="BJ266" s="26"/>
      <c r="BK266" s="21"/>
      <c r="BL266" s="21"/>
      <c r="BM266" s="22"/>
      <c r="BN266" s="21"/>
      <c r="BO266" s="21"/>
      <c r="BP266" s="22"/>
      <c r="BQ266" s="21"/>
      <c r="BR266" s="21"/>
      <c r="BS266" s="22"/>
      <c r="BT26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66" s="109" t="str">
        <f>IF(ISNUMBER(tblParticipants[[#This Row],[SvcStartDate]]),IF(AND(tblParticipants[[#This Row],[EnrollQtr]]=1,tblParticipants[[#This Row],[SvcStartDate]]&lt;DATE(conProgYear,7,1)),1,""),"")</f>
        <v/>
      </c>
      <c r="BV26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66" s="232" t="str">
        <f t="shared" ca="1" si="4"/>
        <v/>
      </c>
      <c r="BX266" s="9">
        <f>IF(SUM(IF(tblParticipants[[#This Row],[AmIndOrAkNtv]]=1,1,0),IF(tblParticipants[[#This Row],[Asian]]=1,1,0),IF(tblParticipants[[#This Row],[BlkOrAfAmer]]=1,1,0),IF(tblParticipants[[#This Row],[NtvHawOrPacIsl]]=1,1,0),IF(tblParticipants[[#This Row],[White]]=1,1,0))&gt;1,1,0)</f>
        <v>0</v>
      </c>
      <c r="BY26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6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6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66" s="11">
        <f>IF(tblParticipants[[#This Row],[EarnWg2Qae]]=1,IFERROR(tblParticipants[[#This Row],[HoursPerWk2Qae]]*tblParticipants[[#This Row],[HrlyWg2Qae]]*13,0),0)</f>
        <v>0</v>
      </c>
      <c r="CC266" s="11">
        <f>IF(tblParticipants[[#This Row],[EarnWg3Qae]]=1,IFERROR(tblParticipants[[#This Row],[HoursPerWk3Qae]]*tblParticipants[[#This Row],[HrlyWg3Qae]]*13,0),0)</f>
        <v>0</v>
      </c>
      <c r="CD266" s="9">
        <f>IFERROR(IF(SUM(tblParticipants[[#This Row],[EarnWg1Qae]],tblParticipants[[#This Row],[EarnWg2Qae]],tblParticipants[[#This Row],[EarnWg3Qae]])=3,1,0),0)</f>
        <v>0</v>
      </c>
      <c r="CE266" s="12">
        <f>IF(tblParticipants[[#This Row],[EmplAll3Qae]]=1,tblParticipants[[#This Row],[Earnings2Qae]]+tblParticipants[[#This Row],[Earnings3Qae]],0)</f>
        <v>0</v>
      </c>
      <c r="CF266" s="407"/>
    </row>
    <row r="267" spans="1:84" x14ac:dyDescent="0.3">
      <c r="A267" s="19"/>
      <c r="B267" s="19"/>
      <c r="C267" s="20"/>
      <c r="D267" s="20"/>
      <c r="E267" s="26"/>
      <c r="F267" s="26"/>
      <c r="G267" s="26"/>
      <c r="H267" s="26"/>
      <c r="I267" s="26"/>
      <c r="J267" s="26"/>
      <c r="K267" s="26"/>
      <c r="L267" s="26"/>
      <c r="M267" s="20"/>
      <c r="N267" s="26"/>
      <c r="O267" s="22"/>
      <c r="P267" s="21"/>
      <c r="Q267" s="23"/>
      <c r="R267" s="21"/>
      <c r="S267" s="21"/>
      <c r="T267" s="21"/>
      <c r="U267" s="21"/>
      <c r="V267" s="21"/>
      <c r="W267" s="24"/>
      <c r="X267" s="20"/>
      <c r="Y267" s="20"/>
      <c r="Z267" s="21"/>
      <c r="AA267" s="21"/>
      <c r="AB267" s="21"/>
      <c r="AC267" s="21"/>
      <c r="AD267" s="21"/>
      <c r="AE267" s="21"/>
      <c r="AF267" s="21"/>
      <c r="AG267" s="21"/>
      <c r="AH267" s="21"/>
      <c r="AI267" s="25"/>
      <c r="AJ267" s="20"/>
      <c r="AK267" s="21"/>
      <c r="AL267" s="20"/>
      <c r="AM267" s="20"/>
      <c r="AN267" s="20"/>
      <c r="AO267" s="20"/>
      <c r="AP267" s="446"/>
      <c r="AQ267" s="20"/>
      <c r="AR267" s="20"/>
      <c r="AS267" s="20"/>
      <c r="AT267" s="20"/>
      <c r="AU267" s="26"/>
      <c r="AV267" s="98"/>
      <c r="AW267" s="98"/>
      <c r="AX267" s="98"/>
      <c r="AY267" s="98"/>
      <c r="AZ267" s="98"/>
      <c r="BA267" s="217"/>
      <c r="BB267" s="98"/>
      <c r="BC267" s="98"/>
      <c r="BD267" s="98"/>
      <c r="BE267" s="98"/>
      <c r="BF267" s="98"/>
      <c r="BG267" s="219"/>
      <c r="BH267" s="219"/>
      <c r="BI267" s="219"/>
      <c r="BJ267" s="26"/>
      <c r="BK267" s="21"/>
      <c r="BL267" s="21"/>
      <c r="BM267" s="22"/>
      <c r="BN267" s="21"/>
      <c r="BO267" s="21"/>
      <c r="BP267" s="22"/>
      <c r="BQ267" s="21"/>
      <c r="BR267" s="21"/>
      <c r="BS267" s="22"/>
      <c r="BT26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67" s="109" t="str">
        <f>IF(ISNUMBER(tblParticipants[[#This Row],[SvcStartDate]]),IF(AND(tblParticipants[[#This Row],[EnrollQtr]]=1,tblParticipants[[#This Row],[SvcStartDate]]&lt;DATE(conProgYear,7,1)),1,""),"")</f>
        <v/>
      </c>
      <c r="BV26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67" s="232" t="str">
        <f t="shared" ca="1" si="4"/>
        <v/>
      </c>
      <c r="BX267" s="9">
        <f>IF(SUM(IF(tblParticipants[[#This Row],[AmIndOrAkNtv]]=1,1,0),IF(tblParticipants[[#This Row],[Asian]]=1,1,0),IF(tblParticipants[[#This Row],[BlkOrAfAmer]]=1,1,0),IF(tblParticipants[[#This Row],[NtvHawOrPacIsl]]=1,1,0),IF(tblParticipants[[#This Row],[White]]=1,1,0))&gt;1,1,0)</f>
        <v>0</v>
      </c>
      <c r="BY26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6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6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67" s="11">
        <f>IF(tblParticipants[[#This Row],[EarnWg2Qae]]=1,IFERROR(tblParticipants[[#This Row],[HoursPerWk2Qae]]*tblParticipants[[#This Row],[HrlyWg2Qae]]*13,0),0)</f>
        <v>0</v>
      </c>
      <c r="CC267" s="11">
        <f>IF(tblParticipants[[#This Row],[EarnWg3Qae]]=1,IFERROR(tblParticipants[[#This Row],[HoursPerWk3Qae]]*tblParticipants[[#This Row],[HrlyWg3Qae]]*13,0),0)</f>
        <v>0</v>
      </c>
      <c r="CD267" s="9">
        <f>IFERROR(IF(SUM(tblParticipants[[#This Row],[EarnWg1Qae]],tblParticipants[[#This Row],[EarnWg2Qae]],tblParticipants[[#This Row],[EarnWg3Qae]])=3,1,0),0)</f>
        <v>0</v>
      </c>
      <c r="CE267" s="12">
        <f>IF(tblParticipants[[#This Row],[EmplAll3Qae]]=1,tblParticipants[[#This Row],[Earnings2Qae]]+tblParticipants[[#This Row],[Earnings3Qae]],0)</f>
        <v>0</v>
      </c>
      <c r="CF267" s="407"/>
    </row>
    <row r="268" spans="1:84" x14ac:dyDescent="0.3">
      <c r="A268" s="19"/>
      <c r="B268" s="19"/>
      <c r="C268" s="20"/>
      <c r="D268" s="20"/>
      <c r="E268" s="26"/>
      <c r="F268" s="26"/>
      <c r="G268" s="26"/>
      <c r="H268" s="26"/>
      <c r="I268" s="26"/>
      <c r="J268" s="26"/>
      <c r="K268" s="26"/>
      <c r="L268" s="26"/>
      <c r="M268" s="20"/>
      <c r="N268" s="26"/>
      <c r="O268" s="22"/>
      <c r="P268" s="21"/>
      <c r="Q268" s="23"/>
      <c r="R268" s="21"/>
      <c r="S268" s="21"/>
      <c r="T268" s="21"/>
      <c r="U268" s="21"/>
      <c r="V268" s="21"/>
      <c r="W268" s="24"/>
      <c r="X268" s="20"/>
      <c r="Y268" s="20"/>
      <c r="Z268" s="21"/>
      <c r="AA268" s="21"/>
      <c r="AB268" s="21"/>
      <c r="AC268" s="21"/>
      <c r="AD268" s="21"/>
      <c r="AE268" s="21"/>
      <c r="AF268" s="21"/>
      <c r="AG268" s="21"/>
      <c r="AH268" s="21"/>
      <c r="AI268" s="25"/>
      <c r="AJ268" s="20"/>
      <c r="AK268" s="21"/>
      <c r="AL268" s="20"/>
      <c r="AM268" s="20"/>
      <c r="AN268" s="20"/>
      <c r="AO268" s="20"/>
      <c r="AP268" s="446"/>
      <c r="AQ268" s="20"/>
      <c r="AR268" s="20"/>
      <c r="AS268" s="20"/>
      <c r="AT268" s="20"/>
      <c r="AU268" s="26"/>
      <c r="AV268" s="98"/>
      <c r="AW268" s="98"/>
      <c r="AX268" s="98"/>
      <c r="AY268" s="98"/>
      <c r="AZ268" s="98"/>
      <c r="BA268" s="217"/>
      <c r="BB268" s="98"/>
      <c r="BC268" s="98"/>
      <c r="BD268" s="98"/>
      <c r="BE268" s="98"/>
      <c r="BF268" s="98"/>
      <c r="BG268" s="219"/>
      <c r="BH268" s="219"/>
      <c r="BI268" s="219"/>
      <c r="BJ268" s="26"/>
      <c r="BK268" s="21"/>
      <c r="BL268" s="21"/>
      <c r="BM268" s="22"/>
      <c r="BN268" s="21"/>
      <c r="BO268" s="21"/>
      <c r="BP268" s="22"/>
      <c r="BQ268" s="21"/>
      <c r="BR268" s="21"/>
      <c r="BS268" s="22"/>
      <c r="BT26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68" s="109" t="str">
        <f>IF(ISNUMBER(tblParticipants[[#This Row],[SvcStartDate]]),IF(AND(tblParticipants[[#This Row],[EnrollQtr]]=1,tblParticipants[[#This Row],[SvcStartDate]]&lt;DATE(conProgYear,7,1)),1,""),"")</f>
        <v/>
      </c>
      <c r="BV26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68" s="232" t="str">
        <f t="shared" ca="1" si="4"/>
        <v/>
      </c>
      <c r="BX268" s="9">
        <f>IF(SUM(IF(tblParticipants[[#This Row],[AmIndOrAkNtv]]=1,1,0),IF(tblParticipants[[#This Row],[Asian]]=1,1,0),IF(tblParticipants[[#This Row],[BlkOrAfAmer]]=1,1,0),IF(tblParticipants[[#This Row],[NtvHawOrPacIsl]]=1,1,0),IF(tblParticipants[[#This Row],[White]]=1,1,0))&gt;1,1,0)</f>
        <v>0</v>
      </c>
      <c r="BY26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6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6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68" s="11">
        <f>IF(tblParticipants[[#This Row],[EarnWg2Qae]]=1,IFERROR(tblParticipants[[#This Row],[HoursPerWk2Qae]]*tblParticipants[[#This Row],[HrlyWg2Qae]]*13,0),0)</f>
        <v>0</v>
      </c>
      <c r="CC268" s="11">
        <f>IF(tblParticipants[[#This Row],[EarnWg3Qae]]=1,IFERROR(tblParticipants[[#This Row],[HoursPerWk3Qae]]*tblParticipants[[#This Row],[HrlyWg3Qae]]*13,0),0)</f>
        <v>0</v>
      </c>
      <c r="CD268" s="9">
        <f>IFERROR(IF(SUM(tblParticipants[[#This Row],[EarnWg1Qae]],tblParticipants[[#This Row],[EarnWg2Qae]],tblParticipants[[#This Row],[EarnWg3Qae]])=3,1,0),0)</f>
        <v>0</v>
      </c>
      <c r="CE268" s="12">
        <f>IF(tblParticipants[[#This Row],[EmplAll3Qae]]=1,tblParticipants[[#This Row],[Earnings2Qae]]+tblParticipants[[#This Row],[Earnings3Qae]],0)</f>
        <v>0</v>
      </c>
      <c r="CF268" s="407"/>
    </row>
    <row r="269" spans="1:84" x14ac:dyDescent="0.3">
      <c r="A269" s="19"/>
      <c r="B269" s="19"/>
      <c r="C269" s="20"/>
      <c r="D269" s="20"/>
      <c r="E269" s="26"/>
      <c r="F269" s="26"/>
      <c r="G269" s="26"/>
      <c r="H269" s="26"/>
      <c r="I269" s="26"/>
      <c r="J269" s="26"/>
      <c r="K269" s="26"/>
      <c r="L269" s="26"/>
      <c r="M269" s="20"/>
      <c r="N269" s="26"/>
      <c r="O269" s="22"/>
      <c r="P269" s="21"/>
      <c r="Q269" s="23"/>
      <c r="R269" s="21"/>
      <c r="S269" s="21"/>
      <c r="T269" s="21"/>
      <c r="U269" s="21"/>
      <c r="V269" s="21"/>
      <c r="W269" s="24"/>
      <c r="X269" s="20"/>
      <c r="Y269" s="20"/>
      <c r="Z269" s="21"/>
      <c r="AA269" s="21"/>
      <c r="AB269" s="21"/>
      <c r="AC269" s="21"/>
      <c r="AD269" s="21"/>
      <c r="AE269" s="21"/>
      <c r="AF269" s="21"/>
      <c r="AG269" s="21"/>
      <c r="AH269" s="21"/>
      <c r="AI269" s="25"/>
      <c r="AJ269" s="20"/>
      <c r="AK269" s="21"/>
      <c r="AL269" s="20"/>
      <c r="AM269" s="20"/>
      <c r="AN269" s="20"/>
      <c r="AO269" s="20"/>
      <c r="AP269" s="446"/>
      <c r="AQ269" s="20"/>
      <c r="AR269" s="20"/>
      <c r="AS269" s="20"/>
      <c r="AT269" s="20"/>
      <c r="AU269" s="26"/>
      <c r="AV269" s="98"/>
      <c r="AW269" s="98"/>
      <c r="AX269" s="98"/>
      <c r="AY269" s="98"/>
      <c r="AZ269" s="98"/>
      <c r="BA269" s="217"/>
      <c r="BB269" s="98"/>
      <c r="BC269" s="98"/>
      <c r="BD269" s="98"/>
      <c r="BE269" s="98"/>
      <c r="BF269" s="98"/>
      <c r="BG269" s="219"/>
      <c r="BH269" s="219"/>
      <c r="BI269" s="219"/>
      <c r="BJ269" s="26"/>
      <c r="BK269" s="21"/>
      <c r="BL269" s="21"/>
      <c r="BM269" s="22"/>
      <c r="BN269" s="21"/>
      <c r="BO269" s="21"/>
      <c r="BP269" s="22"/>
      <c r="BQ269" s="21"/>
      <c r="BR269" s="21"/>
      <c r="BS269" s="22"/>
      <c r="BT26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69" s="109" t="str">
        <f>IF(ISNUMBER(tblParticipants[[#This Row],[SvcStartDate]]),IF(AND(tblParticipants[[#This Row],[EnrollQtr]]=1,tblParticipants[[#This Row],[SvcStartDate]]&lt;DATE(conProgYear,7,1)),1,""),"")</f>
        <v/>
      </c>
      <c r="BV26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69" s="232" t="str">
        <f t="shared" ca="1" si="4"/>
        <v/>
      </c>
      <c r="BX269" s="9">
        <f>IF(SUM(IF(tblParticipants[[#This Row],[AmIndOrAkNtv]]=1,1,0),IF(tblParticipants[[#This Row],[Asian]]=1,1,0),IF(tblParticipants[[#This Row],[BlkOrAfAmer]]=1,1,0),IF(tblParticipants[[#This Row],[NtvHawOrPacIsl]]=1,1,0),IF(tblParticipants[[#This Row],[White]]=1,1,0))&gt;1,1,0)</f>
        <v>0</v>
      </c>
      <c r="BY26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6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6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69" s="11">
        <f>IF(tblParticipants[[#This Row],[EarnWg2Qae]]=1,IFERROR(tblParticipants[[#This Row],[HoursPerWk2Qae]]*tblParticipants[[#This Row],[HrlyWg2Qae]]*13,0),0)</f>
        <v>0</v>
      </c>
      <c r="CC269" s="11">
        <f>IF(tblParticipants[[#This Row],[EarnWg3Qae]]=1,IFERROR(tblParticipants[[#This Row],[HoursPerWk3Qae]]*tblParticipants[[#This Row],[HrlyWg3Qae]]*13,0),0)</f>
        <v>0</v>
      </c>
      <c r="CD269" s="9">
        <f>IFERROR(IF(SUM(tblParticipants[[#This Row],[EarnWg1Qae]],tblParticipants[[#This Row],[EarnWg2Qae]],tblParticipants[[#This Row],[EarnWg3Qae]])=3,1,0),0)</f>
        <v>0</v>
      </c>
      <c r="CE269" s="12">
        <f>IF(tblParticipants[[#This Row],[EmplAll3Qae]]=1,tblParticipants[[#This Row],[Earnings2Qae]]+tblParticipants[[#This Row],[Earnings3Qae]],0)</f>
        <v>0</v>
      </c>
      <c r="CF269" s="407"/>
    </row>
    <row r="270" spans="1:84" x14ac:dyDescent="0.3">
      <c r="A270" s="19"/>
      <c r="B270" s="19"/>
      <c r="C270" s="20"/>
      <c r="D270" s="20"/>
      <c r="E270" s="26"/>
      <c r="F270" s="26"/>
      <c r="G270" s="26"/>
      <c r="H270" s="26"/>
      <c r="I270" s="26"/>
      <c r="J270" s="26"/>
      <c r="K270" s="26"/>
      <c r="L270" s="26"/>
      <c r="M270" s="20"/>
      <c r="N270" s="26"/>
      <c r="O270" s="22"/>
      <c r="P270" s="21"/>
      <c r="Q270" s="23"/>
      <c r="R270" s="21"/>
      <c r="S270" s="21"/>
      <c r="T270" s="21"/>
      <c r="U270" s="21"/>
      <c r="V270" s="21"/>
      <c r="W270" s="24"/>
      <c r="X270" s="20"/>
      <c r="Y270" s="20"/>
      <c r="Z270" s="21"/>
      <c r="AA270" s="21"/>
      <c r="AB270" s="21"/>
      <c r="AC270" s="21"/>
      <c r="AD270" s="21"/>
      <c r="AE270" s="21"/>
      <c r="AF270" s="21"/>
      <c r="AG270" s="21"/>
      <c r="AH270" s="21"/>
      <c r="AI270" s="25"/>
      <c r="AJ270" s="20"/>
      <c r="AK270" s="21"/>
      <c r="AL270" s="20"/>
      <c r="AM270" s="20"/>
      <c r="AN270" s="20"/>
      <c r="AO270" s="20"/>
      <c r="AP270" s="446"/>
      <c r="AQ270" s="20"/>
      <c r="AR270" s="20"/>
      <c r="AS270" s="20"/>
      <c r="AT270" s="20"/>
      <c r="AU270" s="26"/>
      <c r="AV270" s="98"/>
      <c r="AW270" s="98"/>
      <c r="AX270" s="98"/>
      <c r="AY270" s="98"/>
      <c r="AZ270" s="98"/>
      <c r="BA270" s="217"/>
      <c r="BB270" s="98"/>
      <c r="BC270" s="98"/>
      <c r="BD270" s="98"/>
      <c r="BE270" s="98"/>
      <c r="BF270" s="98"/>
      <c r="BG270" s="219"/>
      <c r="BH270" s="219"/>
      <c r="BI270" s="219"/>
      <c r="BJ270" s="26"/>
      <c r="BK270" s="21"/>
      <c r="BL270" s="21"/>
      <c r="BM270" s="22"/>
      <c r="BN270" s="21"/>
      <c r="BO270" s="21"/>
      <c r="BP270" s="22"/>
      <c r="BQ270" s="21"/>
      <c r="BR270" s="21"/>
      <c r="BS270" s="22"/>
      <c r="BT27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70" s="109" t="str">
        <f>IF(ISNUMBER(tblParticipants[[#This Row],[SvcStartDate]]),IF(AND(tblParticipants[[#This Row],[EnrollQtr]]=1,tblParticipants[[#This Row],[SvcStartDate]]&lt;DATE(conProgYear,7,1)),1,""),"")</f>
        <v/>
      </c>
      <c r="BV27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70" s="232" t="str">
        <f t="shared" ca="1" si="4"/>
        <v/>
      </c>
      <c r="BX270" s="9">
        <f>IF(SUM(IF(tblParticipants[[#This Row],[AmIndOrAkNtv]]=1,1,0),IF(tblParticipants[[#This Row],[Asian]]=1,1,0),IF(tblParticipants[[#This Row],[BlkOrAfAmer]]=1,1,0),IF(tblParticipants[[#This Row],[NtvHawOrPacIsl]]=1,1,0),IF(tblParticipants[[#This Row],[White]]=1,1,0))&gt;1,1,0)</f>
        <v>0</v>
      </c>
      <c r="BY27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7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7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70" s="11">
        <f>IF(tblParticipants[[#This Row],[EarnWg2Qae]]=1,IFERROR(tblParticipants[[#This Row],[HoursPerWk2Qae]]*tblParticipants[[#This Row],[HrlyWg2Qae]]*13,0),0)</f>
        <v>0</v>
      </c>
      <c r="CC270" s="11">
        <f>IF(tblParticipants[[#This Row],[EarnWg3Qae]]=1,IFERROR(tblParticipants[[#This Row],[HoursPerWk3Qae]]*tblParticipants[[#This Row],[HrlyWg3Qae]]*13,0),0)</f>
        <v>0</v>
      </c>
      <c r="CD270" s="9">
        <f>IFERROR(IF(SUM(tblParticipants[[#This Row],[EarnWg1Qae]],tblParticipants[[#This Row],[EarnWg2Qae]],tblParticipants[[#This Row],[EarnWg3Qae]])=3,1,0),0)</f>
        <v>0</v>
      </c>
      <c r="CE270" s="12">
        <f>IF(tblParticipants[[#This Row],[EmplAll3Qae]]=1,tblParticipants[[#This Row],[Earnings2Qae]]+tblParticipants[[#This Row],[Earnings3Qae]],0)</f>
        <v>0</v>
      </c>
      <c r="CF270" s="407"/>
    </row>
    <row r="271" spans="1:84" x14ac:dyDescent="0.3">
      <c r="A271" s="19"/>
      <c r="B271" s="19"/>
      <c r="C271" s="20"/>
      <c r="D271" s="20"/>
      <c r="E271" s="26"/>
      <c r="F271" s="26"/>
      <c r="G271" s="26"/>
      <c r="H271" s="26"/>
      <c r="I271" s="26"/>
      <c r="J271" s="26"/>
      <c r="K271" s="26"/>
      <c r="L271" s="26"/>
      <c r="M271" s="20"/>
      <c r="N271" s="26"/>
      <c r="O271" s="22"/>
      <c r="P271" s="21"/>
      <c r="Q271" s="23"/>
      <c r="R271" s="21"/>
      <c r="S271" s="21"/>
      <c r="T271" s="21"/>
      <c r="U271" s="21"/>
      <c r="V271" s="21"/>
      <c r="W271" s="24"/>
      <c r="X271" s="20"/>
      <c r="Y271" s="20"/>
      <c r="Z271" s="21"/>
      <c r="AA271" s="21"/>
      <c r="AB271" s="21"/>
      <c r="AC271" s="21"/>
      <c r="AD271" s="21"/>
      <c r="AE271" s="21"/>
      <c r="AF271" s="21"/>
      <c r="AG271" s="21"/>
      <c r="AH271" s="21"/>
      <c r="AI271" s="25"/>
      <c r="AJ271" s="20"/>
      <c r="AK271" s="21"/>
      <c r="AL271" s="20"/>
      <c r="AM271" s="20"/>
      <c r="AN271" s="20"/>
      <c r="AO271" s="20"/>
      <c r="AP271" s="446"/>
      <c r="AQ271" s="20"/>
      <c r="AR271" s="20"/>
      <c r="AS271" s="20"/>
      <c r="AT271" s="20"/>
      <c r="AU271" s="26"/>
      <c r="AV271" s="98"/>
      <c r="AW271" s="98"/>
      <c r="AX271" s="98"/>
      <c r="AY271" s="98"/>
      <c r="AZ271" s="98"/>
      <c r="BA271" s="217"/>
      <c r="BB271" s="98"/>
      <c r="BC271" s="98"/>
      <c r="BD271" s="98"/>
      <c r="BE271" s="98"/>
      <c r="BF271" s="98"/>
      <c r="BG271" s="219"/>
      <c r="BH271" s="219"/>
      <c r="BI271" s="219"/>
      <c r="BJ271" s="26"/>
      <c r="BK271" s="21"/>
      <c r="BL271" s="21"/>
      <c r="BM271" s="22"/>
      <c r="BN271" s="21"/>
      <c r="BO271" s="21"/>
      <c r="BP271" s="22"/>
      <c r="BQ271" s="21"/>
      <c r="BR271" s="21"/>
      <c r="BS271" s="22"/>
      <c r="BT27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71" s="109" t="str">
        <f>IF(ISNUMBER(tblParticipants[[#This Row],[SvcStartDate]]),IF(AND(tblParticipants[[#This Row],[EnrollQtr]]=1,tblParticipants[[#This Row],[SvcStartDate]]&lt;DATE(conProgYear,7,1)),1,""),"")</f>
        <v/>
      </c>
      <c r="BV27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71" s="232" t="str">
        <f t="shared" ca="1" si="4"/>
        <v/>
      </c>
      <c r="BX271" s="9">
        <f>IF(SUM(IF(tblParticipants[[#This Row],[AmIndOrAkNtv]]=1,1,0),IF(tblParticipants[[#This Row],[Asian]]=1,1,0),IF(tblParticipants[[#This Row],[BlkOrAfAmer]]=1,1,0),IF(tblParticipants[[#This Row],[NtvHawOrPacIsl]]=1,1,0),IF(tblParticipants[[#This Row],[White]]=1,1,0))&gt;1,1,0)</f>
        <v>0</v>
      </c>
      <c r="BY27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7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7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71" s="11">
        <f>IF(tblParticipants[[#This Row],[EarnWg2Qae]]=1,IFERROR(tblParticipants[[#This Row],[HoursPerWk2Qae]]*tblParticipants[[#This Row],[HrlyWg2Qae]]*13,0),0)</f>
        <v>0</v>
      </c>
      <c r="CC271" s="11">
        <f>IF(tblParticipants[[#This Row],[EarnWg3Qae]]=1,IFERROR(tblParticipants[[#This Row],[HoursPerWk3Qae]]*tblParticipants[[#This Row],[HrlyWg3Qae]]*13,0),0)</f>
        <v>0</v>
      </c>
      <c r="CD271" s="9">
        <f>IFERROR(IF(SUM(tblParticipants[[#This Row],[EarnWg1Qae]],tblParticipants[[#This Row],[EarnWg2Qae]],tblParticipants[[#This Row],[EarnWg3Qae]])=3,1,0),0)</f>
        <v>0</v>
      </c>
      <c r="CE271" s="12">
        <f>IF(tblParticipants[[#This Row],[EmplAll3Qae]]=1,tblParticipants[[#This Row],[Earnings2Qae]]+tblParticipants[[#This Row],[Earnings3Qae]],0)</f>
        <v>0</v>
      </c>
      <c r="CF271" s="407"/>
    </row>
    <row r="272" spans="1:84" x14ac:dyDescent="0.3">
      <c r="A272" s="19"/>
      <c r="B272" s="19"/>
      <c r="C272" s="20"/>
      <c r="D272" s="20"/>
      <c r="E272" s="26"/>
      <c r="F272" s="26"/>
      <c r="G272" s="26"/>
      <c r="H272" s="26"/>
      <c r="I272" s="26"/>
      <c r="J272" s="26"/>
      <c r="K272" s="26"/>
      <c r="L272" s="26"/>
      <c r="M272" s="20"/>
      <c r="N272" s="26"/>
      <c r="O272" s="22"/>
      <c r="P272" s="21"/>
      <c r="Q272" s="23"/>
      <c r="R272" s="21"/>
      <c r="S272" s="21"/>
      <c r="T272" s="21"/>
      <c r="U272" s="21"/>
      <c r="V272" s="21"/>
      <c r="W272" s="24"/>
      <c r="X272" s="20"/>
      <c r="Y272" s="20"/>
      <c r="Z272" s="21"/>
      <c r="AA272" s="21"/>
      <c r="AB272" s="21"/>
      <c r="AC272" s="21"/>
      <c r="AD272" s="21"/>
      <c r="AE272" s="21"/>
      <c r="AF272" s="21"/>
      <c r="AG272" s="21"/>
      <c r="AH272" s="21"/>
      <c r="AI272" s="25"/>
      <c r="AJ272" s="20"/>
      <c r="AK272" s="21"/>
      <c r="AL272" s="20"/>
      <c r="AM272" s="20"/>
      <c r="AN272" s="20"/>
      <c r="AO272" s="20"/>
      <c r="AP272" s="446"/>
      <c r="AQ272" s="20"/>
      <c r="AR272" s="20"/>
      <c r="AS272" s="20"/>
      <c r="AT272" s="20"/>
      <c r="AU272" s="26"/>
      <c r="AV272" s="98"/>
      <c r="AW272" s="98"/>
      <c r="AX272" s="98"/>
      <c r="AY272" s="98"/>
      <c r="AZ272" s="98"/>
      <c r="BA272" s="217"/>
      <c r="BB272" s="98"/>
      <c r="BC272" s="98"/>
      <c r="BD272" s="98"/>
      <c r="BE272" s="98"/>
      <c r="BF272" s="98"/>
      <c r="BG272" s="219"/>
      <c r="BH272" s="219"/>
      <c r="BI272" s="219"/>
      <c r="BJ272" s="26"/>
      <c r="BK272" s="21"/>
      <c r="BL272" s="21"/>
      <c r="BM272" s="22"/>
      <c r="BN272" s="21"/>
      <c r="BO272" s="21"/>
      <c r="BP272" s="22"/>
      <c r="BQ272" s="21"/>
      <c r="BR272" s="21"/>
      <c r="BS272" s="22"/>
      <c r="BT27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72" s="109" t="str">
        <f>IF(ISNUMBER(tblParticipants[[#This Row],[SvcStartDate]]),IF(AND(tblParticipants[[#This Row],[EnrollQtr]]=1,tblParticipants[[#This Row],[SvcStartDate]]&lt;DATE(conProgYear,7,1)),1,""),"")</f>
        <v/>
      </c>
      <c r="BV27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72" s="232" t="str">
        <f t="shared" ca="1" si="4"/>
        <v/>
      </c>
      <c r="BX272" s="9">
        <f>IF(SUM(IF(tblParticipants[[#This Row],[AmIndOrAkNtv]]=1,1,0),IF(tblParticipants[[#This Row],[Asian]]=1,1,0),IF(tblParticipants[[#This Row],[BlkOrAfAmer]]=1,1,0),IF(tblParticipants[[#This Row],[NtvHawOrPacIsl]]=1,1,0),IF(tblParticipants[[#This Row],[White]]=1,1,0))&gt;1,1,0)</f>
        <v>0</v>
      </c>
      <c r="BY27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7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7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72" s="11">
        <f>IF(tblParticipants[[#This Row],[EarnWg2Qae]]=1,IFERROR(tblParticipants[[#This Row],[HoursPerWk2Qae]]*tblParticipants[[#This Row],[HrlyWg2Qae]]*13,0),0)</f>
        <v>0</v>
      </c>
      <c r="CC272" s="11">
        <f>IF(tblParticipants[[#This Row],[EarnWg3Qae]]=1,IFERROR(tblParticipants[[#This Row],[HoursPerWk3Qae]]*tblParticipants[[#This Row],[HrlyWg3Qae]]*13,0),0)</f>
        <v>0</v>
      </c>
      <c r="CD272" s="9">
        <f>IFERROR(IF(SUM(tblParticipants[[#This Row],[EarnWg1Qae]],tblParticipants[[#This Row],[EarnWg2Qae]],tblParticipants[[#This Row],[EarnWg3Qae]])=3,1,0),0)</f>
        <v>0</v>
      </c>
      <c r="CE272" s="12">
        <f>IF(tblParticipants[[#This Row],[EmplAll3Qae]]=1,tblParticipants[[#This Row],[Earnings2Qae]]+tblParticipants[[#This Row],[Earnings3Qae]],0)</f>
        <v>0</v>
      </c>
      <c r="CF272" s="407"/>
    </row>
    <row r="273" spans="1:84" x14ac:dyDescent="0.3">
      <c r="A273" s="19"/>
      <c r="B273" s="19"/>
      <c r="C273" s="20"/>
      <c r="D273" s="20"/>
      <c r="E273" s="26"/>
      <c r="F273" s="26"/>
      <c r="G273" s="26"/>
      <c r="H273" s="26"/>
      <c r="I273" s="26"/>
      <c r="J273" s="26"/>
      <c r="K273" s="26"/>
      <c r="L273" s="26"/>
      <c r="M273" s="20"/>
      <c r="N273" s="26"/>
      <c r="O273" s="22"/>
      <c r="P273" s="21"/>
      <c r="Q273" s="23"/>
      <c r="R273" s="21"/>
      <c r="S273" s="21"/>
      <c r="T273" s="21"/>
      <c r="U273" s="21"/>
      <c r="V273" s="21"/>
      <c r="W273" s="24"/>
      <c r="X273" s="20"/>
      <c r="Y273" s="20"/>
      <c r="Z273" s="21"/>
      <c r="AA273" s="21"/>
      <c r="AB273" s="21"/>
      <c r="AC273" s="21"/>
      <c r="AD273" s="21"/>
      <c r="AE273" s="21"/>
      <c r="AF273" s="21"/>
      <c r="AG273" s="21"/>
      <c r="AH273" s="21"/>
      <c r="AI273" s="25"/>
      <c r="AJ273" s="20"/>
      <c r="AK273" s="21"/>
      <c r="AL273" s="20"/>
      <c r="AM273" s="20"/>
      <c r="AN273" s="20"/>
      <c r="AO273" s="20"/>
      <c r="AP273" s="446"/>
      <c r="AQ273" s="20"/>
      <c r="AR273" s="20"/>
      <c r="AS273" s="20"/>
      <c r="AT273" s="20"/>
      <c r="AU273" s="26"/>
      <c r="AV273" s="98"/>
      <c r="AW273" s="98"/>
      <c r="AX273" s="98"/>
      <c r="AY273" s="98"/>
      <c r="AZ273" s="98"/>
      <c r="BA273" s="217"/>
      <c r="BB273" s="98"/>
      <c r="BC273" s="98"/>
      <c r="BD273" s="98"/>
      <c r="BE273" s="98"/>
      <c r="BF273" s="98"/>
      <c r="BG273" s="219"/>
      <c r="BH273" s="219"/>
      <c r="BI273" s="219"/>
      <c r="BJ273" s="26"/>
      <c r="BK273" s="21"/>
      <c r="BL273" s="21"/>
      <c r="BM273" s="22"/>
      <c r="BN273" s="21"/>
      <c r="BO273" s="21"/>
      <c r="BP273" s="22"/>
      <c r="BQ273" s="21"/>
      <c r="BR273" s="21"/>
      <c r="BS273" s="22"/>
      <c r="BT27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73" s="109" t="str">
        <f>IF(ISNUMBER(tblParticipants[[#This Row],[SvcStartDate]]),IF(AND(tblParticipants[[#This Row],[EnrollQtr]]=1,tblParticipants[[#This Row],[SvcStartDate]]&lt;DATE(conProgYear,7,1)),1,""),"")</f>
        <v/>
      </c>
      <c r="BV27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73" s="232" t="str">
        <f t="shared" ca="1" si="4"/>
        <v/>
      </c>
      <c r="BX273" s="9">
        <f>IF(SUM(IF(tblParticipants[[#This Row],[AmIndOrAkNtv]]=1,1,0),IF(tblParticipants[[#This Row],[Asian]]=1,1,0),IF(tblParticipants[[#This Row],[BlkOrAfAmer]]=1,1,0),IF(tblParticipants[[#This Row],[NtvHawOrPacIsl]]=1,1,0),IF(tblParticipants[[#This Row],[White]]=1,1,0))&gt;1,1,0)</f>
        <v>0</v>
      </c>
      <c r="BY27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7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7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73" s="11">
        <f>IF(tblParticipants[[#This Row],[EarnWg2Qae]]=1,IFERROR(tblParticipants[[#This Row],[HoursPerWk2Qae]]*tblParticipants[[#This Row],[HrlyWg2Qae]]*13,0),0)</f>
        <v>0</v>
      </c>
      <c r="CC273" s="11">
        <f>IF(tblParticipants[[#This Row],[EarnWg3Qae]]=1,IFERROR(tblParticipants[[#This Row],[HoursPerWk3Qae]]*tblParticipants[[#This Row],[HrlyWg3Qae]]*13,0),0)</f>
        <v>0</v>
      </c>
      <c r="CD273" s="9">
        <f>IFERROR(IF(SUM(tblParticipants[[#This Row],[EarnWg1Qae]],tblParticipants[[#This Row],[EarnWg2Qae]],tblParticipants[[#This Row],[EarnWg3Qae]])=3,1,0),0)</f>
        <v>0</v>
      </c>
      <c r="CE273" s="12">
        <f>IF(tblParticipants[[#This Row],[EmplAll3Qae]]=1,tblParticipants[[#This Row],[Earnings2Qae]]+tblParticipants[[#This Row],[Earnings3Qae]],0)</f>
        <v>0</v>
      </c>
      <c r="CF273" s="407"/>
    </row>
    <row r="274" spans="1:84" x14ac:dyDescent="0.3">
      <c r="A274" s="19"/>
      <c r="B274" s="19"/>
      <c r="C274" s="20"/>
      <c r="D274" s="20"/>
      <c r="E274" s="26"/>
      <c r="F274" s="26"/>
      <c r="G274" s="26"/>
      <c r="H274" s="26"/>
      <c r="I274" s="26"/>
      <c r="J274" s="26"/>
      <c r="K274" s="26"/>
      <c r="L274" s="26"/>
      <c r="M274" s="20"/>
      <c r="N274" s="26"/>
      <c r="O274" s="22"/>
      <c r="P274" s="21"/>
      <c r="Q274" s="23"/>
      <c r="R274" s="21"/>
      <c r="S274" s="21"/>
      <c r="T274" s="21"/>
      <c r="U274" s="21"/>
      <c r="V274" s="21"/>
      <c r="W274" s="24"/>
      <c r="X274" s="20"/>
      <c r="Y274" s="20"/>
      <c r="Z274" s="21"/>
      <c r="AA274" s="21"/>
      <c r="AB274" s="21"/>
      <c r="AC274" s="21"/>
      <c r="AD274" s="21"/>
      <c r="AE274" s="21"/>
      <c r="AF274" s="21"/>
      <c r="AG274" s="21"/>
      <c r="AH274" s="21"/>
      <c r="AI274" s="25"/>
      <c r="AJ274" s="20"/>
      <c r="AK274" s="21"/>
      <c r="AL274" s="20"/>
      <c r="AM274" s="20"/>
      <c r="AN274" s="20"/>
      <c r="AO274" s="20"/>
      <c r="AP274" s="446"/>
      <c r="AQ274" s="20"/>
      <c r="AR274" s="20"/>
      <c r="AS274" s="20"/>
      <c r="AT274" s="20"/>
      <c r="AU274" s="26"/>
      <c r="AV274" s="98"/>
      <c r="AW274" s="98"/>
      <c r="AX274" s="98"/>
      <c r="AY274" s="98"/>
      <c r="AZ274" s="98"/>
      <c r="BA274" s="217"/>
      <c r="BB274" s="98"/>
      <c r="BC274" s="98"/>
      <c r="BD274" s="98"/>
      <c r="BE274" s="98"/>
      <c r="BF274" s="98"/>
      <c r="BG274" s="219"/>
      <c r="BH274" s="219"/>
      <c r="BI274" s="219"/>
      <c r="BJ274" s="26"/>
      <c r="BK274" s="21"/>
      <c r="BL274" s="21"/>
      <c r="BM274" s="22"/>
      <c r="BN274" s="21"/>
      <c r="BO274" s="21"/>
      <c r="BP274" s="22"/>
      <c r="BQ274" s="21"/>
      <c r="BR274" s="21"/>
      <c r="BS274" s="22"/>
      <c r="BT27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74" s="109" t="str">
        <f>IF(ISNUMBER(tblParticipants[[#This Row],[SvcStartDate]]),IF(AND(tblParticipants[[#This Row],[EnrollQtr]]=1,tblParticipants[[#This Row],[SvcStartDate]]&lt;DATE(conProgYear,7,1)),1,""),"")</f>
        <v/>
      </c>
      <c r="BV27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74" s="232" t="str">
        <f t="shared" ca="1" si="4"/>
        <v/>
      </c>
      <c r="BX274" s="9">
        <f>IF(SUM(IF(tblParticipants[[#This Row],[AmIndOrAkNtv]]=1,1,0),IF(tblParticipants[[#This Row],[Asian]]=1,1,0),IF(tblParticipants[[#This Row],[BlkOrAfAmer]]=1,1,0),IF(tblParticipants[[#This Row],[NtvHawOrPacIsl]]=1,1,0),IF(tblParticipants[[#This Row],[White]]=1,1,0))&gt;1,1,0)</f>
        <v>0</v>
      </c>
      <c r="BY27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7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7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74" s="11">
        <f>IF(tblParticipants[[#This Row],[EarnWg2Qae]]=1,IFERROR(tblParticipants[[#This Row],[HoursPerWk2Qae]]*tblParticipants[[#This Row],[HrlyWg2Qae]]*13,0),0)</f>
        <v>0</v>
      </c>
      <c r="CC274" s="11">
        <f>IF(tblParticipants[[#This Row],[EarnWg3Qae]]=1,IFERROR(tblParticipants[[#This Row],[HoursPerWk3Qae]]*tblParticipants[[#This Row],[HrlyWg3Qae]]*13,0),0)</f>
        <v>0</v>
      </c>
      <c r="CD274" s="9">
        <f>IFERROR(IF(SUM(tblParticipants[[#This Row],[EarnWg1Qae]],tblParticipants[[#This Row],[EarnWg2Qae]],tblParticipants[[#This Row],[EarnWg3Qae]])=3,1,0),0)</f>
        <v>0</v>
      </c>
      <c r="CE274" s="12">
        <f>IF(tblParticipants[[#This Row],[EmplAll3Qae]]=1,tblParticipants[[#This Row],[Earnings2Qae]]+tblParticipants[[#This Row],[Earnings3Qae]],0)</f>
        <v>0</v>
      </c>
      <c r="CF274" s="407"/>
    </row>
    <row r="275" spans="1:84" x14ac:dyDescent="0.3">
      <c r="A275" s="19"/>
      <c r="B275" s="19"/>
      <c r="C275" s="20"/>
      <c r="D275" s="20"/>
      <c r="E275" s="26"/>
      <c r="F275" s="26"/>
      <c r="G275" s="26"/>
      <c r="H275" s="26"/>
      <c r="I275" s="26"/>
      <c r="J275" s="26"/>
      <c r="K275" s="26"/>
      <c r="L275" s="26"/>
      <c r="M275" s="20"/>
      <c r="N275" s="26"/>
      <c r="O275" s="22"/>
      <c r="P275" s="21"/>
      <c r="Q275" s="23"/>
      <c r="R275" s="21"/>
      <c r="S275" s="21"/>
      <c r="T275" s="21"/>
      <c r="U275" s="21"/>
      <c r="V275" s="21"/>
      <c r="W275" s="24"/>
      <c r="X275" s="20"/>
      <c r="Y275" s="20"/>
      <c r="Z275" s="21"/>
      <c r="AA275" s="21"/>
      <c r="AB275" s="21"/>
      <c r="AC275" s="21"/>
      <c r="AD275" s="21"/>
      <c r="AE275" s="21"/>
      <c r="AF275" s="21"/>
      <c r="AG275" s="21"/>
      <c r="AH275" s="21"/>
      <c r="AI275" s="25"/>
      <c r="AJ275" s="20"/>
      <c r="AK275" s="21"/>
      <c r="AL275" s="20"/>
      <c r="AM275" s="20"/>
      <c r="AN275" s="20"/>
      <c r="AO275" s="20"/>
      <c r="AP275" s="446"/>
      <c r="AQ275" s="20"/>
      <c r="AR275" s="20"/>
      <c r="AS275" s="20"/>
      <c r="AT275" s="20"/>
      <c r="AU275" s="26"/>
      <c r="AV275" s="98"/>
      <c r="AW275" s="98"/>
      <c r="AX275" s="98"/>
      <c r="AY275" s="98"/>
      <c r="AZ275" s="98"/>
      <c r="BA275" s="217"/>
      <c r="BB275" s="98"/>
      <c r="BC275" s="98"/>
      <c r="BD275" s="98"/>
      <c r="BE275" s="98"/>
      <c r="BF275" s="98"/>
      <c r="BG275" s="219"/>
      <c r="BH275" s="219"/>
      <c r="BI275" s="219"/>
      <c r="BJ275" s="26"/>
      <c r="BK275" s="21"/>
      <c r="BL275" s="21"/>
      <c r="BM275" s="22"/>
      <c r="BN275" s="21"/>
      <c r="BO275" s="21"/>
      <c r="BP275" s="22"/>
      <c r="BQ275" s="21"/>
      <c r="BR275" s="21"/>
      <c r="BS275" s="22"/>
      <c r="BT27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75" s="109" t="str">
        <f>IF(ISNUMBER(tblParticipants[[#This Row],[SvcStartDate]]),IF(AND(tblParticipants[[#This Row],[EnrollQtr]]=1,tblParticipants[[#This Row],[SvcStartDate]]&lt;DATE(conProgYear,7,1)),1,""),"")</f>
        <v/>
      </c>
      <c r="BV27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75" s="232" t="str">
        <f t="shared" ca="1" si="4"/>
        <v/>
      </c>
      <c r="BX275" s="9">
        <f>IF(SUM(IF(tblParticipants[[#This Row],[AmIndOrAkNtv]]=1,1,0),IF(tblParticipants[[#This Row],[Asian]]=1,1,0),IF(tblParticipants[[#This Row],[BlkOrAfAmer]]=1,1,0),IF(tblParticipants[[#This Row],[NtvHawOrPacIsl]]=1,1,0),IF(tblParticipants[[#This Row],[White]]=1,1,0))&gt;1,1,0)</f>
        <v>0</v>
      </c>
      <c r="BY27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7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7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75" s="11">
        <f>IF(tblParticipants[[#This Row],[EarnWg2Qae]]=1,IFERROR(tblParticipants[[#This Row],[HoursPerWk2Qae]]*tblParticipants[[#This Row],[HrlyWg2Qae]]*13,0),0)</f>
        <v>0</v>
      </c>
      <c r="CC275" s="11">
        <f>IF(tblParticipants[[#This Row],[EarnWg3Qae]]=1,IFERROR(tblParticipants[[#This Row],[HoursPerWk3Qae]]*tblParticipants[[#This Row],[HrlyWg3Qae]]*13,0),0)</f>
        <v>0</v>
      </c>
      <c r="CD275" s="9">
        <f>IFERROR(IF(SUM(tblParticipants[[#This Row],[EarnWg1Qae]],tblParticipants[[#This Row],[EarnWg2Qae]],tblParticipants[[#This Row],[EarnWg3Qae]])=3,1,0),0)</f>
        <v>0</v>
      </c>
      <c r="CE275" s="12">
        <f>IF(tblParticipants[[#This Row],[EmplAll3Qae]]=1,tblParticipants[[#This Row],[Earnings2Qae]]+tblParticipants[[#This Row],[Earnings3Qae]],0)</f>
        <v>0</v>
      </c>
      <c r="CF275" s="407"/>
    </row>
    <row r="276" spans="1:84" x14ac:dyDescent="0.3">
      <c r="A276" s="19"/>
      <c r="B276" s="19"/>
      <c r="C276" s="20"/>
      <c r="D276" s="20"/>
      <c r="E276" s="26"/>
      <c r="F276" s="26"/>
      <c r="G276" s="26"/>
      <c r="H276" s="26"/>
      <c r="I276" s="26"/>
      <c r="J276" s="26"/>
      <c r="K276" s="26"/>
      <c r="L276" s="26"/>
      <c r="M276" s="20"/>
      <c r="N276" s="26"/>
      <c r="O276" s="22"/>
      <c r="P276" s="21"/>
      <c r="Q276" s="23"/>
      <c r="R276" s="21"/>
      <c r="S276" s="21"/>
      <c r="T276" s="21"/>
      <c r="U276" s="21"/>
      <c r="V276" s="21"/>
      <c r="W276" s="24"/>
      <c r="X276" s="20"/>
      <c r="Y276" s="20"/>
      <c r="Z276" s="21"/>
      <c r="AA276" s="21"/>
      <c r="AB276" s="21"/>
      <c r="AC276" s="21"/>
      <c r="AD276" s="21"/>
      <c r="AE276" s="21"/>
      <c r="AF276" s="21"/>
      <c r="AG276" s="21"/>
      <c r="AH276" s="21"/>
      <c r="AI276" s="25"/>
      <c r="AJ276" s="20"/>
      <c r="AK276" s="21"/>
      <c r="AL276" s="20"/>
      <c r="AM276" s="20"/>
      <c r="AN276" s="20"/>
      <c r="AO276" s="20"/>
      <c r="AP276" s="446"/>
      <c r="AQ276" s="20"/>
      <c r="AR276" s="20"/>
      <c r="AS276" s="20"/>
      <c r="AT276" s="20"/>
      <c r="AU276" s="26"/>
      <c r="AV276" s="98"/>
      <c r="AW276" s="98"/>
      <c r="AX276" s="98"/>
      <c r="AY276" s="98"/>
      <c r="AZ276" s="98"/>
      <c r="BA276" s="217"/>
      <c r="BB276" s="98"/>
      <c r="BC276" s="98"/>
      <c r="BD276" s="98"/>
      <c r="BE276" s="98"/>
      <c r="BF276" s="98"/>
      <c r="BG276" s="219"/>
      <c r="BH276" s="219"/>
      <c r="BI276" s="219"/>
      <c r="BJ276" s="26"/>
      <c r="BK276" s="21"/>
      <c r="BL276" s="21"/>
      <c r="BM276" s="22"/>
      <c r="BN276" s="21"/>
      <c r="BO276" s="21"/>
      <c r="BP276" s="22"/>
      <c r="BQ276" s="21"/>
      <c r="BR276" s="21"/>
      <c r="BS276" s="22"/>
      <c r="BT27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76" s="109" t="str">
        <f>IF(ISNUMBER(tblParticipants[[#This Row],[SvcStartDate]]),IF(AND(tblParticipants[[#This Row],[EnrollQtr]]=1,tblParticipants[[#This Row],[SvcStartDate]]&lt;DATE(conProgYear,7,1)),1,""),"")</f>
        <v/>
      </c>
      <c r="BV27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76" s="232" t="str">
        <f t="shared" ca="1" si="4"/>
        <v/>
      </c>
      <c r="BX276" s="9">
        <f>IF(SUM(IF(tblParticipants[[#This Row],[AmIndOrAkNtv]]=1,1,0),IF(tblParticipants[[#This Row],[Asian]]=1,1,0),IF(tblParticipants[[#This Row],[BlkOrAfAmer]]=1,1,0),IF(tblParticipants[[#This Row],[NtvHawOrPacIsl]]=1,1,0),IF(tblParticipants[[#This Row],[White]]=1,1,0))&gt;1,1,0)</f>
        <v>0</v>
      </c>
      <c r="BY27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7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7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76" s="11">
        <f>IF(tblParticipants[[#This Row],[EarnWg2Qae]]=1,IFERROR(tblParticipants[[#This Row],[HoursPerWk2Qae]]*tblParticipants[[#This Row],[HrlyWg2Qae]]*13,0),0)</f>
        <v>0</v>
      </c>
      <c r="CC276" s="11">
        <f>IF(tblParticipants[[#This Row],[EarnWg3Qae]]=1,IFERROR(tblParticipants[[#This Row],[HoursPerWk3Qae]]*tblParticipants[[#This Row],[HrlyWg3Qae]]*13,0),0)</f>
        <v>0</v>
      </c>
      <c r="CD276" s="9">
        <f>IFERROR(IF(SUM(tblParticipants[[#This Row],[EarnWg1Qae]],tblParticipants[[#This Row],[EarnWg2Qae]],tblParticipants[[#This Row],[EarnWg3Qae]])=3,1,0),0)</f>
        <v>0</v>
      </c>
      <c r="CE276" s="12">
        <f>IF(tblParticipants[[#This Row],[EmplAll3Qae]]=1,tblParticipants[[#This Row],[Earnings2Qae]]+tblParticipants[[#This Row],[Earnings3Qae]],0)</f>
        <v>0</v>
      </c>
      <c r="CF276" s="407"/>
    </row>
    <row r="277" spans="1:84" x14ac:dyDescent="0.3">
      <c r="A277" s="19"/>
      <c r="B277" s="19"/>
      <c r="C277" s="20"/>
      <c r="D277" s="20"/>
      <c r="E277" s="26"/>
      <c r="F277" s="26"/>
      <c r="G277" s="26"/>
      <c r="H277" s="26"/>
      <c r="I277" s="26"/>
      <c r="J277" s="26"/>
      <c r="K277" s="26"/>
      <c r="L277" s="26"/>
      <c r="M277" s="20"/>
      <c r="N277" s="26"/>
      <c r="O277" s="22"/>
      <c r="P277" s="21"/>
      <c r="Q277" s="23"/>
      <c r="R277" s="21"/>
      <c r="S277" s="21"/>
      <c r="T277" s="21"/>
      <c r="U277" s="21"/>
      <c r="V277" s="21"/>
      <c r="W277" s="24"/>
      <c r="X277" s="20"/>
      <c r="Y277" s="20"/>
      <c r="Z277" s="21"/>
      <c r="AA277" s="21"/>
      <c r="AB277" s="21"/>
      <c r="AC277" s="21"/>
      <c r="AD277" s="21"/>
      <c r="AE277" s="21"/>
      <c r="AF277" s="21"/>
      <c r="AG277" s="21"/>
      <c r="AH277" s="21"/>
      <c r="AI277" s="25"/>
      <c r="AJ277" s="20"/>
      <c r="AK277" s="21"/>
      <c r="AL277" s="20"/>
      <c r="AM277" s="20"/>
      <c r="AN277" s="20"/>
      <c r="AO277" s="20"/>
      <c r="AP277" s="446"/>
      <c r="AQ277" s="20"/>
      <c r="AR277" s="20"/>
      <c r="AS277" s="20"/>
      <c r="AT277" s="20"/>
      <c r="AU277" s="26"/>
      <c r="AV277" s="98"/>
      <c r="AW277" s="98"/>
      <c r="AX277" s="98"/>
      <c r="AY277" s="98"/>
      <c r="AZ277" s="98"/>
      <c r="BA277" s="217"/>
      <c r="BB277" s="98"/>
      <c r="BC277" s="98"/>
      <c r="BD277" s="98"/>
      <c r="BE277" s="98"/>
      <c r="BF277" s="98"/>
      <c r="BG277" s="219"/>
      <c r="BH277" s="219"/>
      <c r="BI277" s="219"/>
      <c r="BJ277" s="26"/>
      <c r="BK277" s="21"/>
      <c r="BL277" s="21"/>
      <c r="BM277" s="22"/>
      <c r="BN277" s="21"/>
      <c r="BO277" s="21"/>
      <c r="BP277" s="22"/>
      <c r="BQ277" s="21"/>
      <c r="BR277" s="21"/>
      <c r="BS277" s="22"/>
      <c r="BT27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77" s="109" t="str">
        <f>IF(ISNUMBER(tblParticipants[[#This Row],[SvcStartDate]]),IF(AND(tblParticipants[[#This Row],[EnrollQtr]]=1,tblParticipants[[#This Row],[SvcStartDate]]&lt;DATE(conProgYear,7,1)),1,""),"")</f>
        <v/>
      </c>
      <c r="BV27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77" s="232" t="str">
        <f t="shared" ca="1" si="4"/>
        <v/>
      </c>
      <c r="BX277" s="9">
        <f>IF(SUM(IF(tblParticipants[[#This Row],[AmIndOrAkNtv]]=1,1,0),IF(tblParticipants[[#This Row],[Asian]]=1,1,0),IF(tblParticipants[[#This Row],[BlkOrAfAmer]]=1,1,0),IF(tblParticipants[[#This Row],[NtvHawOrPacIsl]]=1,1,0),IF(tblParticipants[[#This Row],[White]]=1,1,0))&gt;1,1,0)</f>
        <v>0</v>
      </c>
      <c r="BY27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7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7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77" s="11">
        <f>IF(tblParticipants[[#This Row],[EarnWg2Qae]]=1,IFERROR(tblParticipants[[#This Row],[HoursPerWk2Qae]]*tblParticipants[[#This Row],[HrlyWg2Qae]]*13,0),0)</f>
        <v>0</v>
      </c>
      <c r="CC277" s="11">
        <f>IF(tblParticipants[[#This Row],[EarnWg3Qae]]=1,IFERROR(tblParticipants[[#This Row],[HoursPerWk3Qae]]*tblParticipants[[#This Row],[HrlyWg3Qae]]*13,0),0)</f>
        <v>0</v>
      </c>
      <c r="CD277" s="9">
        <f>IFERROR(IF(SUM(tblParticipants[[#This Row],[EarnWg1Qae]],tblParticipants[[#This Row],[EarnWg2Qae]],tblParticipants[[#This Row],[EarnWg3Qae]])=3,1,0),0)</f>
        <v>0</v>
      </c>
      <c r="CE277" s="12">
        <f>IF(tblParticipants[[#This Row],[EmplAll3Qae]]=1,tblParticipants[[#This Row],[Earnings2Qae]]+tblParticipants[[#This Row],[Earnings3Qae]],0)</f>
        <v>0</v>
      </c>
      <c r="CF277" s="407"/>
    </row>
    <row r="278" spans="1:84" x14ac:dyDescent="0.3">
      <c r="A278" s="19"/>
      <c r="B278" s="19"/>
      <c r="C278" s="20"/>
      <c r="D278" s="20"/>
      <c r="E278" s="26"/>
      <c r="F278" s="26"/>
      <c r="G278" s="26"/>
      <c r="H278" s="26"/>
      <c r="I278" s="26"/>
      <c r="J278" s="26"/>
      <c r="K278" s="26"/>
      <c r="L278" s="26"/>
      <c r="M278" s="20"/>
      <c r="N278" s="26"/>
      <c r="O278" s="22"/>
      <c r="P278" s="21"/>
      <c r="Q278" s="23"/>
      <c r="R278" s="21"/>
      <c r="S278" s="21"/>
      <c r="T278" s="21"/>
      <c r="U278" s="21"/>
      <c r="V278" s="21"/>
      <c r="W278" s="24"/>
      <c r="X278" s="20"/>
      <c r="Y278" s="20"/>
      <c r="Z278" s="21"/>
      <c r="AA278" s="21"/>
      <c r="AB278" s="21"/>
      <c r="AC278" s="21"/>
      <c r="AD278" s="21"/>
      <c r="AE278" s="21"/>
      <c r="AF278" s="21"/>
      <c r="AG278" s="21"/>
      <c r="AH278" s="21"/>
      <c r="AI278" s="25"/>
      <c r="AJ278" s="20"/>
      <c r="AK278" s="21"/>
      <c r="AL278" s="20"/>
      <c r="AM278" s="20"/>
      <c r="AN278" s="20"/>
      <c r="AO278" s="20"/>
      <c r="AP278" s="446"/>
      <c r="AQ278" s="20"/>
      <c r="AR278" s="20"/>
      <c r="AS278" s="20"/>
      <c r="AT278" s="20"/>
      <c r="AU278" s="26"/>
      <c r="AV278" s="98"/>
      <c r="AW278" s="98"/>
      <c r="AX278" s="98"/>
      <c r="AY278" s="98"/>
      <c r="AZ278" s="98"/>
      <c r="BA278" s="217"/>
      <c r="BB278" s="98"/>
      <c r="BC278" s="98"/>
      <c r="BD278" s="98"/>
      <c r="BE278" s="98"/>
      <c r="BF278" s="98"/>
      <c r="BG278" s="219"/>
      <c r="BH278" s="219"/>
      <c r="BI278" s="219"/>
      <c r="BJ278" s="26"/>
      <c r="BK278" s="21"/>
      <c r="BL278" s="21"/>
      <c r="BM278" s="22"/>
      <c r="BN278" s="21"/>
      <c r="BO278" s="21"/>
      <c r="BP278" s="22"/>
      <c r="BQ278" s="21"/>
      <c r="BR278" s="21"/>
      <c r="BS278" s="22"/>
      <c r="BT27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78" s="109" t="str">
        <f>IF(ISNUMBER(tblParticipants[[#This Row],[SvcStartDate]]),IF(AND(tblParticipants[[#This Row],[EnrollQtr]]=1,tblParticipants[[#This Row],[SvcStartDate]]&lt;DATE(conProgYear,7,1)),1,""),"")</f>
        <v/>
      </c>
      <c r="BV27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78" s="232" t="str">
        <f t="shared" ca="1" si="4"/>
        <v/>
      </c>
      <c r="BX278" s="9">
        <f>IF(SUM(IF(tblParticipants[[#This Row],[AmIndOrAkNtv]]=1,1,0),IF(tblParticipants[[#This Row],[Asian]]=1,1,0),IF(tblParticipants[[#This Row],[BlkOrAfAmer]]=1,1,0),IF(tblParticipants[[#This Row],[NtvHawOrPacIsl]]=1,1,0),IF(tblParticipants[[#This Row],[White]]=1,1,0))&gt;1,1,0)</f>
        <v>0</v>
      </c>
      <c r="BY27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7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7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78" s="11">
        <f>IF(tblParticipants[[#This Row],[EarnWg2Qae]]=1,IFERROR(tblParticipants[[#This Row],[HoursPerWk2Qae]]*tblParticipants[[#This Row],[HrlyWg2Qae]]*13,0),0)</f>
        <v>0</v>
      </c>
      <c r="CC278" s="11">
        <f>IF(tblParticipants[[#This Row],[EarnWg3Qae]]=1,IFERROR(tblParticipants[[#This Row],[HoursPerWk3Qae]]*tblParticipants[[#This Row],[HrlyWg3Qae]]*13,0),0)</f>
        <v>0</v>
      </c>
      <c r="CD278" s="9">
        <f>IFERROR(IF(SUM(tblParticipants[[#This Row],[EarnWg1Qae]],tblParticipants[[#This Row],[EarnWg2Qae]],tblParticipants[[#This Row],[EarnWg3Qae]])=3,1,0),0)</f>
        <v>0</v>
      </c>
      <c r="CE278" s="12">
        <f>IF(tblParticipants[[#This Row],[EmplAll3Qae]]=1,tblParticipants[[#This Row],[Earnings2Qae]]+tblParticipants[[#This Row],[Earnings3Qae]],0)</f>
        <v>0</v>
      </c>
      <c r="CF278" s="407"/>
    </row>
    <row r="279" spans="1:84" x14ac:dyDescent="0.3">
      <c r="A279" s="19"/>
      <c r="B279" s="19"/>
      <c r="C279" s="20"/>
      <c r="D279" s="20"/>
      <c r="E279" s="26"/>
      <c r="F279" s="26"/>
      <c r="G279" s="26"/>
      <c r="H279" s="26"/>
      <c r="I279" s="26"/>
      <c r="J279" s="26"/>
      <c r="K279" s="26"/>
      <c r="L279" s="26"/>
      <c r="M279" s="20"/>
      <c r="N279" s="26"/>
      <c r="O279" s="22"/>
      <c r="P279" s="21"/>
      <c r="Q279" s="23"/>
      <c r="R279" s="21"/>
      <c r="S279" s="21"/>
      <c r="T279" s="21"/>
      <c r="U279" s="21"/>
      <c r="V279" s="21"/>
      <c r="W279" s="24"/>
      <c r="X279" s="20"/>
      <c r="Y279" s="20"/>
      <c r="Z279" s="21"/>
      <c r="AA279" s="21"/>
      <c r="AB279" s="21"/>
      <c r="AC279" s="21"/>
      <c r="AD279" s="21"/>
      <c r="AE279" s="21"/>
      <c r="AF279" s="21"/>
      <c r="AG279" s="21"/>
      <c r="AH279" s="21"/>
      <c r="AI279" s="25"/>
      <c r="AJ279" s="20"/>
      <c r="AK279" s="21"/>
      <c r="AL279" s="20"/>
      <c r="AM279" s="20"/>
      <c r="AN279" s="20"/>
      <c r="AO279" s="20"/>
      <c r="AP279" s="446"/>
      <c r="AQ279" s="20"/>
      <c r="AR279" s="20"/>
      <c r="AS279" s="20"/>
      <c r="AT279" s="20"/>
      <c r="AU279" s="26"/>
      <c r="AV279" s="98"/>
      <c r="AW279" s="98"/>
      <c r="AX279" s="98"/>
      <c r="AY279" s="98"/>
      <c r="AZ279" s="98"/>
      <c r="BA279" s="217"/>
      <c r="BB279" s="98"/>
      <c r="BC279" s="98"/>
      <c r="BD279" s="98"/>
      <c r="BE279" s="98"/>
      <c r="BF279" s="98"/>
      <c r="BG279" s="219"/>
      <c r="BH279" s="219"/>
      <c r="BI279" s="219"/>
      <c r="BJ279" s="26"/>
      <c r="BK279" s="21"/>
      <c r="BL279" s="21"/>
      <c r="BM279" s="22"/>
      <c r="BN279" s="21"/>
      <c r="BO279" s="21"/>
      <c r="BP279" s="22"/>
      <c r="BQ279" s="21"/>
      <c r="BR279" s="21"/>
      <c r="BS279" s="22"/>
      <c r="BT27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79" s="109" t="str">
        <f>IF(ISNUMBER(tblParticipants[[#This Row],[SvcStartDate]]),IF(AND(tblParticipants[[#This Row],[EnrollQtr]]=1,tblParticipants[[#This Row],[SvcStartDate]]&lt;DATE(conProgYear,7,1)),1,""),"")</f>
        <v/>
      </c>
      <c r="BV27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79" s="232" t="str">
        <f t="shared" ca="1" si="4"/>
        <v/>
      </c>
      <c r="BX279" s="9">
        <f>IF(SUM(IF(tblParticipants[[#This Row],[AmIndOrAkNtv]]=1,1,0),IF(tblParticipants[[#This Row],[Asian]]=1,1,0),IF(tblParticipants[[#This Row],[BlkOrAfAmer]]=1,1,0),IF(tblParticipants[[#This Row],[NtvHawOrPacIsl]]=1,1,0),IF(tblParticipants[[#This Row],[White]]=1,1,0))&gt;1,1,0)</f>
        <v>0</v>
      </c>
      <c r="BY27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7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7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79" s="11">
        <f>IF(tblParticipants[[#This Row],[EarnWg2Qae]]=1,IFERROR(tblParticipants[[#This Row],[HoursPerWk2Qae]]*tblParticipants[[#This Row],[HrlyWg2Qae]]*13,0),0)</f>
        <v>0</v>
      </c>
      <c r="CC279" s="11">
        <f>IF(tblParticipants[[#This Row],[EarnWg3Qae]]=1,IFERROR(tblParticipants[[#This Row],[HoursPerWk3Qae]]*tblParticipants[[#This Row],[HrlyWg3Qae]]*13,0),0)</f>
        <v>0</v>
      </c>
      <c r="CD279" s="9">
        <f>IFERROR(IF(SUM(tblParticipants[[#This Row],[EarnWg1Qae]],tblParticipants[[#This Row],[EarnWg2Qae]],tblParticipants[[#This Row],[EarnWg3Qae]])=3,1,0),0)</f>
        <v>0</v>
      </c>
      <c r="CE279" s="12">
        <f>IF(tblParticipants[[#This Row],[EmplAll3Qae]]=1,tblParticipants[[#This Row],[Earnings2Qae]]+tblParticipants[[#This Row],[Earnings3Qae]],0)</f>
        <v>0</v>
      </c>
      <c r="CF279" s="407"/>
    </row>
    <row r="280" spans="1:84" x14ac:dyDescent="0.3">
      <c r="A280" s="19"/>
      <c r="B280" s="19"/>
      <c r="C280" s="20"/>
      <c r="D280" s="20"/>
      <c r="E280" s="26"/>
      <c r="F280" s="26"/>
      <c r="G280" s="26"/>
      <c r="H280" s="26"/>
      <c r="I280" s="26"/>
      <c r="J280" s="26"/>
      <c r="K280" s="26"/>
      <c r="L280" s="26"/>
      <c r="M280" s="20"/>
      <c r="N280" s="26"/>
      <c r="O280" s="22"/>
      <c r="P280" s="21"/>
      <c r="Q280" s="23"/>
      <c r="R280" s="21"/>
      <c r="S280" s="21"/>
      <c r="T280" s="21"/>
      <c r="U280" s="21"/>
      <c r="V280" s="21"/>
      <c r="W280" s="24"/>
      <c r="X280" s="20"/>
      <c r="Y280" s="20"/>
      <c r="Z280" s="21"/>
      <c r="AA280" s="21"/>
      <c r="AB280" s="21"/>
      <c r="AC280" s="21"/>
      <c r="AD280" s="21"/>
      <c r="AE280" s="21"/>
      <c r="AF280" s="21"/>
      <c r="AG280" s="21"/>
      <c r="AH280" s="21"/>
      <c r="AI280" s="25"/>
      <c r="AJ280" s="20"/>
      <c r="AK280" s="21"/>
      <c r="AL280" s="20"/>
      <c r="AM280" s="20"/>
      <c r="AN280" s="20"/>
      <c r="AO280" s="20"/>
      <c r="AP280" s="446"/>
      <c r="AQ280" s="20"/>
      <c r="AR280" s="20"/>
      <c r="AS280" s="20"/>
      <c r="AT280" s="20"/>
      <c r="AU280" s="26"/>
      <c r="AV280" s="98"/>
      <c r="AW280" s="98"/>
      <c r="AX280" s="98"/>
      <c r="AY280" s="98"/>
      <c r="AZ280" s="98"/>
      <c r="BA280" s="217"/>
      <c r="BB280" s="98"/>
      <c r="BC280" s="98"/>
      <c r="BD280" s="98"/>
      <c r="BE280" s="98"/>
      <c r="BF280" s="98"/>
      <c r="BG280" s="219"/>
      <c r="BH280" s="219"/>
      <c r="BI280" s="219"/>
      <c r="BJ280" s="26"/>
      <c r="BK280" s="21"/>
      <c r="BL280" s="21"/>
      <c r="BM280" s="22"/>
      <c r="BN280" s="21"/>
      <c r="BO280" s="21"/>
      <c r="BP280" s="22"/>
      <c r="BQ280" s="21"/>
      <c r="BR280" s="21"/>
      <c r="BS280" s="22"/>
      <c r="BT28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80" s="109" t="str">
        <f>IF(ISNUMBER(tblParticipants[[#This Row],[SvcStartDate]]),IF(AND(tblParticipants[[#This Row],[EnrollQtr]]=1,tblParticipants[[#This Row],[SvcStartDate]]&lt;DATE(conProgYear,7,1)),1,""),"")</f>
        <v/>
      </c>
      <c r="BV28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80" s="232" t="str">
        <f t="shared" ca="1" si="4"/>
        <v/>
      </c>
      <c r="BX280" s="9">
        <f>IF(SUM(IF(tblParticipants[[#This Row],[AmIndOrAkNtv]]=1,1,0),IF(tblParticipants[[#This Row],[Asian]]=1,1,0),IF(tblParticipants[[#This Row],[BlkOrAfAmer]]=1,1,0),IF(tblParticipants[[#This Row],[NtvHawOrPacIsl]]=1,1,0),IF(tblParticipants[[#This Row],[White]]=1,1,0))&gt;1,1,0)</f>
        <v>0</v>
      </c>
      <c r="BY28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8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8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80" s="11">
        <f>IF(tblParticipants[[#This Row],[EarnWg2Qae]]=1,IFERROR(tblParticipants[[#This Row],[HoursPerWk2Qae]]*tblParticipants[[#This Row],[HrlyWg2Qae]]*13,0),0)</f>
        <v>0</v>
      </c>
      <c r="CC280" s="11">
        <f>IF(tblParticipants[[#This Row],[EarnWg3Qae]]=1,IFERROR(tblParticipants[[#This Row],[HoursPerWk3Qae]]*tblParticipants[[#This Row],[HrlyWg3Qae]]*13,0),0)</f>
        <v>0</v>
      </c>
      <c r="CD280" s="9">
        <f>IFERROR(IF(SUM(tblParticipants[[#This Row],[EarnWg1Qae]],tblParticipants[[#This Row],[EarnWg2Qae]],tblParticipants[[#This Row],[EarnWg3Qae]])=3,1,0),0)</f>
        <v>0</v>
      </c>
      <c r="CE280" s="12">
        <f>IF(tblParticipants[[#This Row],[EmplAll3Qae]]=1,tblParticipants[[#This Row],[Earnings2Qae]]+tblParticipants[[#This Row],[Earnings3Qae]],0)</f>
        <v>0</v>
      </c>
      <c r="CF280" s="407"/>
    </row>
    <row r="281" spans="1:84" x14ac:dyDescent="0.3">
      <c r="A281" s="19"/>
      <c r="B281" s="19"/>
      <c r="C281" s="20"/>
      <c r="D281" s="20"/>
      <c r="E281" s="26"/>
      <c r="F281" s="26"/>
      <c r="G281" s="26"/>
      <c r="H281" s="26"/>
      <c r="I281" s="26"/>
      <c r="J281" s="26"/>
      <c r="K281" s="26"/>
      <c r="L281" s="26"/>
      <c r="M281" s="20"/>
      <c r="N281" s="26"/>
      <c r="O281" s="22"/>
      <c r="P281" s="21"/>
      <c r="Q281" s="23"/>
      <c r="R281" s="21"/>
      <c r="S281" s="21"/>
      <c r="T281" s="21"/>
      <c r="U281" s="21"/>
      <c r="V281" s="21"/>
      <c r="W281" s="24"/>
      <c r="X281" s="20"/>
      <c r="Y281" s="20"/>
      <c r="Z281" s="21"/>
      <c r="AA281" s="21"/>
      <c r="AB281" s="21"/>
      <c r="AC281" s="21"/>
      <c r="AD281" s="21"/>
      <c r="AE281" s="21"/>
      <c r="AF281" s="21"/>
      <c r="AG281" s="21"/>
      <c r="AH281" s="21"/>
      <c r="AI281" s="25"/>
      <c r="AJ281" s="20"/>
      <c r="AK281" s="21"/>
      <c r="AL281" s="20"/>
      <c r="AM281" s="20"/>
      <c r="AN281" s="20"/>
      <c r="AO281" s="20"/>
      <c r="AP281" s="446"/>
      <c r="AQ281" s="20"/>
      <c r="AR281" s="20"/>
      <c r="AS281" s="20"/>
      <c r="AT281" s="20"/>
      <c r="AU281" s="26"/>
      <c r="AV281" s="98"/>
      <c r="AW281" s="98"/>
      <c r="AX281" s="98"/>
      <c r="AY281" s="98"/>
      <c r="AZ281" s="98"/>
      <c r="BA281" s="217"/>
      <c r="BB281" s="98"/>
      <c r="BC281" s="98"/>
      <c r="BD281" s="98"/>
      <c r="BE281" s="98"/>
      <c r="BF281" s="98"/>
      <c r="BG281" s="219"/>
      <c r="BH281" s="219"/>
      <c r="BI281" s="219"/>
      <c r="BJ281" s="26"/>
      <c r="BK281" s="21"/>
      <c r="BL281" s="21"/>
      <c r="BM281" s="22"/>
      <c r="BN281" s="21"/>
      <c r="BO281" s="21"/>
      <c r="BP281" s="22"/>
      <c r="BQ281" s="21"/>
      <c r="BR281" s="21"/>
      <c r="BS281" s="22"/>
      <c r="BT28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81" s="109" t="str">
        <f>IF(ISNUMBER(tblParticipants[[#This Row],[SvcStartDate]]),IF(AND(tblParticipants[[#This Row],[EnrollQtr]]=1,tblParticipants[[#This Row],[SvcStartDate]]&lt;DATE(conProgYear,7,1)),1,""),"")</f>
        <v/>
      </c>
      <c r="BV28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81" s="232" t="str">
        <f t="shared" ca="1" si="4"/>
        <v/>
      </c>
      <c r="BX281" s="9">
        <f>IF(SUM(IF(tblParticipants[[#This Row],[AmIndOrAkNtv]]=1,1,0),IF(tblParticipants[[#This Row],[Asian]]=1,1,0),IF(tblParticipants[[#This Row],[BlkOrAfAmer]]=1,1,0),IF(tblParticipants[[#This Row],[NtvHawOrPacIsl]]=1,1,0),IF(tblParticipants[[#This Row],[White]]=1,1,0))&gt;1,1,0)</f>
        <v>0</v>
      </c>
      <c r="BY28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8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8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81" s="11">
        <f>IF(tblParticipants[[#This Row],[EarnWg2Qae]]=1,IFERROR(tblParticipants[[#This Row],[HoursPerWk2Qae]]*tblParticipants[[#This Row],[HrlyWg2Qae]]*13,0),0)</f>
        <v>0</v>
      </c>
      <c r="CC281" s="11">
        <f>IF(tblParticipants[[#This Row],[EarnWg3Qae]]=1,IFERROR(tblParticipants[[#This Row],[HoursPerWk3Qae]]*tblParticipants[[#This Row],[HrlyWg3Qae]]*13,0),0)</f>
        <v>0</v>
      </c>
      <c r="CD281" s="9">
        <f>IFERROR(IF(SUM(tblParticipants[[#This Row],[EarnWg1Qae]],tblParticipants[[#This Row],[EarnWg2Qae]],tblParticipants[[#This Row],[EarnWg3Qae]])=3,1,0),0)</f>
        <v>0</v>
      </c>
      <c r="CE281" s="12">
        <f>IF(tblParticipants[[#This Row],[EmplAll3Qae]]=1,tblParticipants[[#This Row],[Earnings2Qae]]+tblParticipants[[#This Row],[Earnings3Qae]],0)</f>
        <v>0</v>
      </c>
      <c r="CF281" s="407"/>
    </row>
    <row r="282" spans="1:84" x14ac:dyDescent="0.3">
      <c r="A282" s="19"/>
      <c r="B282" s="19"/>
      <c r="C282" s="20"/>
      <c r="D282" s="20"/>
      <c r="E282" s="26"/>
      <c r="F282" s="26"/>
      <c r="G282" s="26"/>
      <c r="H282" s="26"/>
      <c r="I282" s="26"/>
      <c r="J282" s="26"/>
      <c r="K282" s="26"/>
      <c r="L282" s="26"/>
      <c r="M282" s="20"/>
      <c r="N282" s="26"/>
      <c r="O282" s="22"/>
      <c r="P282" s="21"/>
      <c r="Q282" s="23"/>
      <c r="R282" s="21"/>
      <c r="S282" s="21"/>
      <c r="T282" s="21"/>
      <c r="U282" s="21"/>
      <c r="V282" s="21"/>
      <c r="W282" s="24"/>
      <c r="X282" s="20"/>
      <c r="Y282" s="20"/>
      <c r="Z282" s="21"/>
      <c r="AA282" s="21"/>
      <c r="AB282" s="21"/>
      <c r="AC282" s="21"/>
      <c r="AD282" s="21"/>
      <c r="AE282" s="21"/>
      <c r="AF282" s="21"/>
      <c r="AG282" s="21"/>
      <c r="AH282" s="21"/>
      <c r="AI282" s="25"/>
      <c r="AJ282" s="20"/>
      <c r="AK282" s="21"/>
      <c r="AL282" s="20"/>
      <c r="AM282" s="20"/>
      <c r="AN282" s="20"/>
      <c r="AO282" s="20"/>
      <c r="AP282" s="446"/>
      <c r="AQ282" s="20"/>
      <c r="AR282" s="20"/>
      <c r="AS282" s="20"/>
      <c r="AT282" s="20"/>
      <c r="AU282" s="26"/>
      <c r="AV282" s="98"/>
      <c r="AW282" s="98"/>
      <c r="AX282" s="98"/>
      <c r="AY282" s="98"/>
      <c r="AZ282" s="98"/>
      <c r="BA282" s="217"/>
      <c r="BB282" s="98"/>
      <c r="BC282" s="98"/>
      <c r="BD282" s="98"/>
      <c r="BE282" s="98"/>
      <c r="BF282" s="98"/>
      <c r="BG282" s="219"/>
      <c r="BH282" s="219"/>
      <c r="BI282" s="219"/>
      <c r="BJ282" s="26"/>
      <c r="BK282" s="21"/>
      <c r="BL282" s="21"/>
      <c r="BM282" s="22"/>
      <c r="BN282" s="21"/>
      <c r="BO282" s="21"/>
      <c r="BP282" s="22"/>
      <c r="BQ282" s="21"/>
      <c r="BR282" s="21"/>
      <c r="BS282" s="22"/>
      <c r="BT28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82" s="109" t="str">
        <f>IF(ISNUMBER(tblParticipants[[#This Row],[SvcStartDate]]),IF(AND(tblParticipants[[#This Row],[EnrollQtr]]=1,tblParticipants[[#This Row],[SvcStartDate]]&lt;DATE(conProgYear,7,1)),1,""),"")</f>
        <v/>
      </c>
      <c r="BV28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82" s="232" t="str">
        <f t="shared" ca="1" si="4"/>
        <v/>
      </c>
      <c r="BX282" s="9">
        <f>IF(SUM(IF(tblParticipants[[#This Row],[AmIndOrAkNtv]]=1,1,0),IF(tblParticipants[[#This Row],[Asian]]=1,1,0),IF(tblParticipants[[#This Row],[BlkOrAfAmer]]=1,1,0),IF(tblParticipants[[#This Row],[NtvHawOrPacIsl]]=1,1,0),IF(tblParticipants[[#This Row],[White]]=1,1,0))&gt;1,1,0)</f>
        <v>0</v>
      </c>
      <c r="BY28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8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8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82" s="11">
        <f>IF(tblParticipants[[#This Row],[EarnWg2Qae]]=1,IFERROR(tblParticipants[[#This Row],[HoursPerWk2Qae]]*tblParticipants[[#This Row],[HrlyWg2Qae]]*13,0),0)</f>
        <v>0</v>
      </c>
      <c r="CC282" s="11">
        <f>IF(tblParticipants[[#This Row],[EarnWg3Qae]]=1,IFERROR(tblParticipants[[#This Row],[HoursPerWk3Qae]]*tblParticipants[[#This Row],[HrlyWg3Qae]]*13,0),0)</f>
        <v>0</v>
      </c>
      <c r="CD282" s="9">
        <f>IFERROR(IF(SUM(tblParticipants[[#This Row],[EarnWg1Qae]],tblParticipants[[#This Row],[EarnWg2Qae]],tblParticipants[[#This Row],[EarnWg3Qae]])=3,1,0),0)</f>
        <v>0</v>
      </c>
      <c r="CE282" s="12">
        <f>IF(tblParticipants[[#This Row],[EmplAll3Qae]]=1,tblParticipants[[#This Row],[Earnings2Qae]]+tblParticipants[[#This Row],[Earnings3Qae]],0)</f>
        <v>0</v>
      </c>
      <c r="CF282" s="407"/>
    </row>
    <row r="283" spans="1:84" x14ac:dyDescent="0.3">
      <c r="A283" s="19"/>
      <c r="B283" s="19"/>
      <c r="C283" s="20"/>
      <c r="D283" s="20"/>
      <c r="E283" s="26"/>
      <c r="F283" s="26"/>
      <c r="G283" s="26"/>
      <c r="H283" s="26"/>
      <c r="I283" s="26"/>
      <c r="J283" s="26"/>
      <c r="K283" s="26"/>
      <c r="L283" s="26"/>
      <c r="M283" s="20"/>
      <c r="N283" s="26"/>
      <c r="O283" s="22"/>
      <c r="P283" s="21"/>
      <c r="Q283" s="23"/>
      <c r="R283" s="21"/>
      <c r="S283" s="21"/>
      <c r="T283" s="21"/>
      <c r="U283" s="21"/>
      <c r="V283" s="21"/>
      <c r="W283" s="24"/>
      <c r="X283" s="20"/>
      <c r="Y283" s="20"/>
      <c r="Z283" s="21"/>
      <c r="AA283" s="21"/>
      <c r="AB283" s="21"/>
      <c r="AC283" s="21"/>
      <c r="AD283" s="21"/>
      <c r="AE283" s="21"/>
      <c r="AF283" s="21"/>
      <c r="AG283" s="21"/>
      <c r="AH283" s="21"/>
      <c r="AI283" s="25"/>
      <c r="AJ283" s="20"/>
      <c r="AK283" s="21"/>
      <c r="AL283" s="20"/>
      <c r="AM283" s="20"/>
      <c r="AN283" s="20"/>
      <c r="AO283" s="20"/>
      <c r="AP283" s="446"/>
      <c r="AQ283" s="20"/>
      <c r="AR283" s="20"/>
      <c r="AS283" s="20"/>
      <c r="AT283" s="20"/>
      <c r="AU283" s="26"/>
      <c r="AV283" s="98"/>
      <c r="AW283" s="98"/>
      <c r="AX283" s="98"/>
      <c r="AY283" s="98"/>
      <c r="AZ283" s="98"/>
      <c r="BA283" s="217"/>
      <c r="BB283" s="98"/>
      <c r="BC283" s="98"/>
      <c r="BD283" s="98"/>
      <c r="BE283" s="98"/>
      <c r="BF283" s="98"/>
      <c r="BG283" s="219"/>
      <c r="BH283" s="219"/>
      <c r="BI283" s="219"/>
      <c r="BJ283" s="26"/>
      <c r="BK283" s="21"/>
      <c r="BL283" s="21"/>
      <c r="BM283" s="22"/>
      <c r="BN283" s="21"/>
      <c r="BO283" s="21"/>
      <c r="BP283" s="22"/>
      <c r="BQ283" s="21"/>
      <c r="BR283" s="21"/>
      <c r="BS283" s="22"/>
      <c r="BT28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83" s="109" t="str">
        <f>IF(ISNUMBER(tblParticipants[[#This Row],[SvcStartDate]]),IF(AND(tblParticipants[[#This Row],[EnrollQtr]]=1,tblParticipants[[#This Row],[SvcStartDate]]&lt;DATE(conProgYear,7,1)),1,""),"")</f>
        <v/>
      </c>
      <c r="BV28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83" s="232" t="str">
        <f t="shared" ca="1" si="4"/>
        <v/>
      </c>
      <c r="BX283" s="9">
        <f>IF(SUM(IF(tblParticipants[[#This Row],[AmIndOrAkNtv]]=1,1,0),IF(tblParticipants[[#This Row],[Asian]]=1,1,0),IF(tblParticipants[[#This Row],[BlkOrAfAmer]]=1,1,0),IF(tblParticipants[[#This Row],[NtvHawOrPacIsl]]=1,1,0),IF(tblParticipants[[#This Row],[White]]=1,1,0))&gt;1,1,0)</f>
        <v>0</v>
      </c>
      <c r="BY28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8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8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83" s="11">
        <f>IF(tblParticipants[[#This Row],[EarnWg2Qae]]=1,IFERROR(tblParticipants[[#This Row],[HoursPerWk2Qae]]*tblParticipants[[#This Row],[HrlyWg2Qae]]*13,0),0)</f>
        <v>0</v>
      </c>
      <c r="CC283" s="11">
        <f>IF(tblParticipants[[#This Row],[EarnWg3Qae]]=1,IFERROR(tblParticipants[[#This Row],[HoursPerWk3Qae]]*tblParticipants[[#This Row],[HrlyWg3Qae]]*13,0),0)</f>
        <v>0</v>
      </c>
      <c r="CD283" s="9">
        <f>IFERROR(IF(SUM(tblParticipants[[#This Row],[EarnWg1Qae]],tblParticipants[[#This Row],[EarnWg2Qae]],tblParticipants[[#This Row],[EarnWg3Qae]])=3,1,0),0)</f>
        <v>0</v>
      </c>
      <c r="CE283" s="12">
        <f>IF(tblParticipants[[#This Row],[EmplAll3Qae]]=1,tblParticipants[[#This Row],[Earnings2Qae]]+tblParticipants[[#This Row],[Earnings3Qae]],0)</f>
        <v>0</v>
      </c>
      <c r="CF283" s="407"/>
    </row>
    <row r="284" spans="1:84" x14ac:dyDescent="0.3">
      <c r="A284" s="19"/>
      <c r="B284" s="19"/>
      <c r="C284" s="20"/>
      <c r="D284" s="20"/>
      <c r="E284" s="26"/>
      <c r="F284" s="26"/>
      <c r="G284" s="26"/>
      <c r="H284" s="26"/>
      <c r="I284" s="26"/>
      <c r="J284" s="26"/>
      <c r="K284" s="26"/>
      <c r="L284" s="26"/>
      <c r="M284" s="20"/>
      <c r="N284" s="26"/>
      <c r="O284" s="22"/>
      <c r="P284" s="21"/>
      <c r="Q284" s="23"/>
      <c r="R284" s="21"/>
      <c r="S284" s="21"/>
      <c r="T284" s="21"/>
      <c r="U284" s="21"/>
      <c r="V284" s="21"/>
      <c r="W284" s="24"/>
      <c r="X284" s="20"/>
      <c r="Y284" s="20"/>
      <c r="Z284" s="21"/>
      <c r="AA284" s="21"/>
      <c r="AB284" s="21"/>
      <c r="AC284" s="21"/>
      <c r="AD284" s="21"/>
      <c r="AE284" s="21"/>
      <c r="AF284" s="21"/>
      <c r="AG284" s="21"/>
      <c r="AH284" s="21"/>
      <c r="AI284" s="25"/>
      <c r="AJ284" s="20"/>
      <c r="AK284" s="21"/>
      <c r="AL284" s="20"/>
      <c r="AM284" s="20"/>
      <c r="AN284" s="20"/>
      <c r="AO284" s="20"/>
      <c r="AP284" s="446"/>
      <c r="AQ284" s="20"/>
      <c r="AR284" s="20"/>
      <c r="AS284" s="20"/>
      <c r="AT284" s="20"/>
      <c r="AU284" s="26"/>
      <c r="AV284" s="98"/>
      <c r="AW284" s="98"/>
      <c r="AX284" s="98"/>
      <c r="AY284" s="98"/>
      <c r="AZ284" s="98"/>
      <c r="BA284" s="217"/>
      <c r="BB284" s="98"/>
      <c r="BC284" s="98"/>
      <c r="BD284" s="98"/>
      <c r="BE284" s="98"/>
      <c r="BF284" s="98"/>
      <c r="BG284" s="219"/>
      <c r="BH284" s="219"/>
      <c r="BI284" s="219"/>
      <c r="BJ284" s="26"/>
      <c r="BK284" s="21"/>
      <c r="BL284" s="21"/>
      <c r="BM284" s="22"/>
      <c r="BN284" s="21"/>
      <c r="BO284" s="21"/>
      <c r="BP284" s="22"/>
      <c r="BQ284" s="21"/>
      <c r="BR284" s="21"/>
      <c r="BS284" s="22"/>
      <c r="BT28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84" s="109" t="str">
        <f>IF(ISNUMBER(tblParticipants[[#This Row],[SvcStartDate]]),IF(AND(tblParticipants[[#This Row],[EnrollQtr]]=1,tblParticipants[[#This Row],[SvcStartDate]]&lt;DATE(conProgYear,7,1)),1,""),"")</f>
        <v/>
      </c>
      <c r="BV28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84" s="232" t="str">
        <f t="shared" ca="1" si="4"/>
        <v/>
      </c>
      <c r="BX284" s="9">
        <f>IF(SUM(IF(tblParticipants[[#This Row],[AmIndOrAkNtv]]=1,1,0),IF(tblParticipants[[#This Row],[Asian]]=1,1,0),IF(tblParticipants[[#This Row],[BlkOrAfAmer]]=1,1,0),IF(tblParticipants[[#This Row],[NtvHawOrPacIsl]]=1,1,0),IF(tblParticipants[[#This Row],[White]]=1,1,0))&gt;1,1,0)</f>
        <v>0</v>
      </c>
      <c r="BY28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8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8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84" s="11">
        <f>IF(tblParticipants[[#This Row],[EarnWg2Qae]]=1,IFERROR(tblParticipants[[#This Row],[HoursPerWk2Qae]]*tblParticipants[[#This Row],[HrlyWg2Qae]]*13,0),0)</f>
        <v>0</v>
      </c>
      <c r="CC284" s="11">
        <f>IF(tblParticipants[[#This Row],[EarnWg3Qae]]=1,IFERROR(tblParticipants[[#This Row],[HoursPerWk3Qae]]*tblParticipants[[#This Row],[HrlyWg3Qae]]*13,0),0)</f>
        <v>0</v>
      </c>
      <c r="CD284" s="9">
        <f>IFERROR(IF(SUM(tblParticipants[[#This Row],[EarnWg1Qae]],tblParticipants[[#This Row],[EarnWg2Qae]],tblParticipants[[#This Row],[EarnWg3Qae]])=3,1,0),0)</f>
        <v>0</v>
      </c>
      <c r="CE284" s="12">
        <f>IF(tblParticipants[[#This Row],[EmplAll3Qae]]=1,tblParticipants[[#This Row],[Earnings2Qae]]+tblParticipants[[#This Row],[Earnings3Qae]],0)</f>
        <v>0</v>
      </c>
      <c r="CF284" s="407"/>
    </row>
    <row r="285" spans="1:84" x14ac:dyDescent="0.3">
      <c r="A285" s="19"/>
      <c r="B285" s="19"/>
      <c r="C285" s="20"/>
      <c r="D285" s="20"/>
      <c r="E285" s="26"/>
      <c r="F285" s="26"/>
      <c r="G285" s="26"/>
      <c r="H285" s="26"/>
      <c r="I285" s="26"/>
      <c r="J285" s="26"/>
      <c r="K285" s="26"/>
      <c r="L285" s="26"/>
      <c r="M285" s="20"/>
      <c r="N285" s="26"/>
      <c r="O285" s="22"/>
      <c r="P285" s="21"/>
      <c r="Q285" s="23"/>
      <c r="R285" s="21"/>
      <c r="S285" s="21"/>
      <c r="T285" s="21"/>
      <c r="U285" s="21"/>
      <c r="V285" s="21"/>
      <c r="W285" s="24"/>
      <c r="X285" s="20"/>
      <c r="Y285" s="20"/>
      <c r="Z285" s="21"/>
      <c r="AA285" s="21"/>
      <c r="AB285" s="21"/>
      <c r="AC285" s="21"/>
      <c r="AD285" s="21"/>
      <c r="AE285" s="21"/>
      <c r="AF285" s="21"/>
      <c r="AG285" s="21"/>
      <c r="AH285" s="21"/>
      <c r="AI285" s="25"/>
      <c r="AJ285" s="20"/>
      <c r="AK285" s="21"/>
      <c r="AL285" s="20"/>
      <c r="AM285" s="20"/>
      <c r="AN285" s="20"/>
      <c r="AO285" s="20"/>
      <c r="AP285" s="446"/>
      <c r="AQ285" s="20"/>
      <c r="AR285" s="20"/>
      <c r="AS285" s="20"/>
      <c r="AT285" s="20"/>
      <c r="AU285" s="26"/>
      <c r="AV285" s="98"/>
      <c r="AW285" s="98"/>
      <c r="AX285" s="98"/>
      <c r="AY285" s="98"/>
      <c r="AZ285" s="98"/>
      <c r="BA285" s="217"/>
      <c r="BB285" s="98"/>
      <c r="BC285" s="98"/>
      <c r="BD285" s="98"/>
      <c r="BE285" s="98"/>
      <c r="BF285" s="98"/>
      <c r="BG285" s="219"/>
      <c r="BH285" s="219"/>
      <c r="BI285" s="219"/>
      <c r="BJ285" s="26"/>
      <c r="BK285" s="21"/>
      <c r="BL285" s="21"/>
      <c r="BM285" s="22"/>
      <c r="BN285" s="21"/>
      <c r="BO285" s="21"/>
      <c r="BP285" s="22"/>
      <c r="BQ285" s="21"/>
      <c r="BR285" s="21"/>
      <c r="BS285" s="22"/>
      <c r="BT28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85" s="109" t="str">
        <f>IF(ISNUMBER(tblParticipants[[#This Row],[SvcStartDate]]),IF(AND(tblParticipants[[#This Row],[EnrollQtr]]=1,tblParticipants[[#This Row],[SvcStartDate]]&lt;DATE(conProgYear,7,1)),1,""),"")</f>
        <v/>
      </c>
      <c r="BV28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85" s="232" t="str">
        <f t="shared" ca="1" si="4"/>
        <v/>
      </c>
      <c r="BX285" s="9">
        <f>IF(SUM(IF(tblParticipants[[#This Row],[AmIndOrAkNtv]]=1,1,0),IF(tblParticipants[[#This Row],[Asian]]=1,1,0),IF(tblParticipants[[#This Row],[BlkOrAfAmer]]=1,1,0),IF(tblParticipants[[#This Row],[NtvHawOrPacIsl]]=1,1,0),IF(tblParticipants[[#This Row],[White]]=1,1,0))&gt;1,1,0)</f>
        <v>0</v>
      </c>
      <c r="BY28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8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8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85" s="11">
        <f>IF(tblParticipants[[#This Row],[EarnWg2Qae]]=1,IFERROR(tblParticipants[[#This Row],[HoursPerWk2Qae]]*tblParticipants[[#This Row],[HrlyWg2Qae]]*13,0),0)</f>
        <v>0</v>
      </c>
      <c r="CC285" s="11">
        <f>IF(tblParticipants[[#This Row],[EarnWg3Qae]]=1,IFERROR(tblParticipants[[#This Row],[HoursPerWk3Qae]]*tblParticipants[[#This Row],[HrlyWg3Qae]]*13,0),0)</f>
        <v>0</v>
      </c>
      <c r="CD285" s="9">
        <f>IFERROR(IF(SUM(tblParticipants[[#This Row],[EarnWg1Qae]],tblParticipants[[#This Row],[EarnWg2Qae]],tblParticipants[[#This Row],[EarnWg3Qae]])=3,1,0),0)</f>
        <v>0</v>
      </c>
      <c r="CE285" s="12">
        <f>IF(tblParticipants[[#This Row],[EmplAll3Qae]]=1,tblParticipants[[#This Row],[Earnings2Qae]]+tblParticipants[[#This Row],[Earnings3Qae]],0)</f>
        <v>0</v>
      </c>
      <c r="CF285" s="407"/>
    </row>
    <row r="286" spans="1:84" x14ac:dyDescent="0.3">
      <c r="A286" s="19"/>
      <c r="B286" s="19"/>
      <c r="C286" s="20"/>
      <c r="D286" s="20"/>
      <c r="E286" s="26"/>
      <c r="F286" s="26"/>
      <c r="G286" s="26"/>
      <c r="H286" s="26"/>
      <c r="I286" s="26"/>
      <c r="J286" s="26"/>
      <c r="K286" s="26"/>
      <c r="L286" s="26"/>
      <c r="M286" s="20"/>
      <c r="N286" s="26"/>
      <c r="O286" s="22"/>
      <c r="P286" s="21"/>
      <c r="Q286" s="23"/>
      <c r="R286" s="21"/>
      <c r="S286" s="21"/>
      <c r="T286" s="21"/>
      <c r="U286" s="21"/>
      <c r="V286" s="21"/>
      <c r="W286" s="24"/>
      <c r="X286" s="20"/>
      <c r="Y286" s="20"/>
      <c r="Z286" s="21"/>
      <c r="AA286" s="21"/>
      <c r="AB286" s="21"/>
      <c r="AC286" s="21"/>
      <c r="AD286" s="21"/>
      <c r="AE286" s="21"/>
      <c r="AF286" s="21"/>
      <c r="AG286" s="21"/>
      <c r="AH286" s="21"/>
      <c r="AI286" s="25"/>
      <c r="AJ286" s="20"/>
      <c r="AK286" s="21"/>
      <c r="AL286" s="20"/>
      <c r="AM286" s="20"/>
      <c r="AN286" s="20"/>
      <c r="AO286" s="20"/>
      <c r="AP286" s="446"/>
      <c r="AQ286" s="20"/>
      <c r="AR286" s="20"/>
      <c r="AS286" s="20"/>
      <c r="AT286" s="20"/>
      <c r="AU286" s="26"/>
      <c r="AV286" s="98"/>
      <c r="AW286" s="98"/>
      <c r="AX286" s="98"/>
      <c r="AY286" s="98"/>
      <c r="AZ286" s="98"/>
      <c r="BA286" s="217"/>
      <c r="BB286" s="98"/>
      <c r="BC286" s="98"/>
      <c r="BD286" s="98"/>
      <c r="BE286" s="98"/>
      <c r="BF286" s="98"/>
      <c r="BG286" s="219"/>
      <c r="BH286" s="219"/>
      <c r="BI286" s="219"/>
      <c r="BJ286" s="26"/>
      <c r="BK286" s="21"/>
      <c r="BL286" s="21"/>
      <c r="BM286" s="22"/>
      <c r="BN286" s="21"/>
      <c r="BO286" s="21"/>
      <c r="BP286" s="22"/>
      <c r="BQ286" s="21"/>
      <c r="BR286" s="21"/>
      <c r="BS286" s="22"/>
      <c r="BT28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86" s="109" t="str">
        <f>IF(ISNUMBER(tblParticipants[[#This Row],[SvcStartDate]]),IF(AND(tblParticipants[[#This Row],[EnrollQtr]]=1,tblParticipants[[#This Row],[SvcStartDate]]&lt;DATE(conProgYear,7,1)),1,""),"")</f>
        <v/>
      </c>
      <c r="BV28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86" s="232" t="str">
        <f t="shared" ca="1" si="4"/>
        <v/>
      </c>
      <c r="BX286" s="9">
        <f>IF(SUM(IF(tblParticipants[[#This Row],[AmIndOrAkNtv]]=1,1,0),IF(tblParticipants[[#This Row],[Asian]]=1,1,0),IF(tblParticipants[[#This Row],[BlkOrAfAmer]]=1,1,0),IF(tblParticipants[[#This Row],[NtvHawOrPacIsl]]=1,1,0),IF(tblParticipants[[#This Row],[White]]=1,1,0))&gt;1,1,0)</f>
        <v>0</v>
      </c>
      <c r="BY28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8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8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86" s="11">
        <f>IF(tblParticipants[[#This Row],[EarnWg2Qae]]=1,IFERROR(tblParticipants[[#This Row],[HoursPerWk2Qae]]*tblParticipants[[#This Row],[HrlyWg2Qae]]*13,0),0)</f>
        <v>0</v>
      </c>
      <c r="CC286" s="11">
        <f>IF(tblParticipants[[#This Row],[EarnWg3Qae]]=1,IFERROR(tblParticipants[[#This Row],[HoursPerWk3Qae]]*tblParticipants[[#This Row],[HrlyWg3Qae]]*13,0),0)</f>
        <v>0</v>
      </c>
      <c r="CD286" s="9">
        <f>IFERROR(IF(SUM(tblParticipants[[#This Row],[EarnWg1Qae]],tblParticipants[[#This Row],[EarnWg2Qae]],tblParticipants[[#This Row],[EarnWg3Qae]])=3,1,0),0)</f>
        <v>0</v>
      </c>
      <c r="CE286" s="12">
        <f>IF(tblParticipants[[#This Row],[EmplAll3Qae]]=1,tblParticipants[[#This Row],[Earnings2Qae]]+tblParticipants[[#This Row],[Earnings3Qae]],0)</f>
        <v>0</v>
      </c>
      <c r="CF286" s="407"/>
    </row>
    <row r="287" spans="1:84" x14ac:dyDescent="0.3">
      <c r="A287" s="19"/>
      <c r="B287" s="19"/>
      <c r="C287" s="20"/>
      <c r="D287" s="20"/>
      <c r="E287" s="26"/>
      <c r="F287" s="26"/>
      <c r="G287" s="26"/>
      <c r="H287" s="26"/>
      <c r="I287" s="26"/>
      <c r="J287" s="26"/>
      <c r="K287" s="26"/>
      <c r="L287" s="26"/>
      <c r="M287" s="20"/>
      <c r="N287" s="26"/>
      <c r="O287" s="22"/>
      <c r="P287" s="21"/>
      <c r="Q287" s="23"/>
      <c r="R287" s="21"/>
      <c r="S287" s="21"/>
      <c r="T287" s="21"/>
      <c r="U287" s="21"/>
      <c r="V287" s="21"/>
      <c r="W287" s="24"/>
      <c r="X287" s="20"/>
      <c r="Y287" s="20"/>
      <c r="Z287" s="21"/>
      <c r="AA287" s="21"/>
      <c r="AB287" s="21"/>
      <c r="AC287" s="21"/>
      <c r="AD287" s="21"/>
      <c r="AE287" s="21"/>
      <c r="AF287" s="21"/>
      <c r="AG287" s="21"/>
      <c r="AH287" s="21"/>
      <c r="AI287" s="25"/>
      <c r="AJ287" s="20"/>
      <c r="AK287" s="21"/>
      <c r="AL287" s="20"/>
      <c r="AM287" s="20"/>
      <c r="AN287" s="20"/>
      <c r="AO287" s="20"/>
      <c r="AP287" s="446"/>
      <c r="AQ287" s="20"/>
      <c r="AR287" s="20"/>
      <c r="AS287" s="20"/>
      <c r="AT287" s="20"/>
      <c r="AU287" s="26"/>
      <c r="AV287" s="98"/>
      <c r="AW287" s="98"/>
      <c r="AX287" s="98"/>
      <c r="AY287" s="98"/>
      <c r="AZ287" s="98"/>
      <c r="BA287" s="217"/>
      <c r="BB287" s="98"/>
      <c r="BC287" s="98"/>
      <c r="BD287" s="98"/>
      <c r="BE287" s="98"/>
      <c r="BF287" s="98"/>
      <c r="BG287" s="219"/>
      <c r="BH287" s="219"/>
      <c r="BI287" s="219"/>
      <c r="BJ287" s="26"/>
      <c r="BK287" s="21"/>
      <c r="BL287" s="21"/>
      <c r="BM287" s="22"/>
      <c r="BN287" s="21"/>
      <c r="BO287" s="21"/>
      <c r="BP287" s="22"/>
      <c r="BQ287" s="21"/>
      <c r="BR287" s="21"/>
      <c r="BS287" s="22"/>
      <c r="BT28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87" s="109" t="str">
        <f>IF(ISNUMBER(tblParticipants[[#This Row],[SvcStartDate]]),IF(AND(tblParticipants[[#This Row],[EnrollQtr]]=1,tblParticipants[[#This Row],[SvcStartDate]]&lt;DATE(conProgYear,7,1)),1,""),"")</f>
        <v/>
      </c>
      <c r="BV28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87" s="232" t="str">
        <f t="shared" ca="1" si="4"/>
        <v/>
      </c>
      <c r="BX287" s="9">
        <f>IF(SUM(IF(tblParticipants[[#This Row],[AmIndOrAkNtv]]=1,1,0),IF(tblParticipants[[#This Row],[Asian]]=1,1,0),IF(tblParticipants[[#This Row],[BlkOrAfAmer]]=1,1,0),IF(tblParticipants[[#This Row],[NtvHawOrPacIsl]]=1,1,0),IF(tblParticipants[[#This Row],[White]]=1,1,0))&gt;1,1,0)</f>
        <v>0</v>
      </c>
      <c r="BY28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8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8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87" s="11">
        <f>IF(tblParticipants[[#This Row],[EarnWg2Qae]]=1,IFERROR(tblParticipants[[#This Row],[HoursPerWk2Qae]]*tblParticipants[[#This Row],[HrlyWg2Qae]]*13,0),0)</f>
        <v>0</v>
      </c>
      <c r="CC287" s="11">
        <f>IF(tblParticipants[[#This Row],[EarnWg3Qae]]=1,IFERROR(tblParticipants[[#This Row],[HoursPerWk3Qae]]*tblParticipants[[#This Row],[HrlyWg3Qae]]*13,0),0)</f>
        <v>0</v>
      </c>
      <c r="CD287" s="9">
        <f>IFERROR(IF(SUM(tblParticipants[[#This Row],[EarnWg1Qae]],tblParticipants[[#This Row],[EarnWg2Qae]],tblParticipants[[#This Row],[EarnWg3Qae]])=3,1,0),0)</f>
        <v>0</v>
      </c>
      <c r="CE287" s="12">
        <f>IF(tblParticipants[[#This Row],[EmplAll3Qae]]=1,tblParticipants[[#This Row],[Earnings2Qae]]+tblParticipants[[#This Row],[Earnings3Qae]],0)</f>
        <v>0</v>
      </c>
      <c r="CF287" s="407"/>
    </row>
    <row r="288" spans="1:84" x14ac:dyDescent="0.3">
      <c r="A288" s="19"/>
      <c r="B288" s="19"/>
      <c r="C288" s="20"/>
      <c r="D288" s="20"/>
      <c r="E288" s="26"/>
      <c r="F288" s="26"/>
      <c r="G288" s="26"/>
      <c r="H288" s="26"/>
      <c r="I288" s="26"/>
      <c r="J288" s="26"/>
      <c r="K288" s="26"/>
      <c r="L288" s="26"/>
      <c r="M288" s="20"/>
      <c r="N288" s="26"/>
      <c r="O288" s="22"/>
      <c r="P288" s="21"/>
      <c r="Q288" s="23"/>
      <c r="R288" s="21"/>
      <c r="S288" s="21"/>
      <c r="T288" s="21"/>
      <c r="U288" s="21"/>
      <c r="V288" s="21"/>
      <c r="W288" s="24"/>
      <c r="X288" s="20"/>
      <c r="Y288" s="20"/>
      <c r="Z288" s="21"/>
      <c r="AA288" s="21"/>
      <c r="AB288" s="21"/>
      <c r="AC288" s="21"/>
      <c r="AD288" s="21"/>
      <c r="AE288" s="21"/>
      <c r="AF288" s="21"/>
      <c r="AG288" s="21"/>
      <c r="AH288" s="21"/>
      <c r="AI288" s="25"/>
      <c r="AJ288" s="20"/>
      <c r="AK288" s="21"/>
      <c r="AL288" s="20"/>
      <c r="AM288" s="20"/>
      <c r="AN288" s="20"/>
      <c r="AO288" s="20"/>
      <c r="AP288" s="446"/>
      <c r="AQ288" s="20"/>
      <c r="AR288" s="20"/>
      <c r="AS288" s="20"/>
      <c r="AT288" s="20"/>
      <c r="AU288" s="26"/>
      <c r="AV288" s="98"/>
      <c r="AW288" s="98"/>
      <c r="AX288" s="98"/>
      <c r="AY288" s="98"/>
      <c r="AZ288" s="98"/>
      <c r="BA288" s="217"/>
      <c r="BB288" s="98"/>
      <c r="BC288" s="98"/>
      <c r="BD288" s="98"/>
      <c r="BE288" s="98"/>
      <c r="BF288" s="98"/>
      <c r="BG288" s="219"/>
      <c r="BH288" s="219"/>
      <c r="BI288" s="219"/>
      <c r="BJ288" s="26"/>
      <c r="BK288" s="21"/>
      <c r="BL288" s="21"/>
      <c r="BM288" s="22"/>
      <c r="BN288" s="21"/>
      <c r="BO288" s="21"/>
      <c r="BP288" s="22"/>
      <c r="BQ288" s="21"/>
      <c r="BR288" s="21"/>
      <c r="BS288" s="22"/>
      <c r="BT28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88" s="109" t="str">
        <f>IF(ISNUMBER(tblParticipants[[#This Row],[SvcStartDate]]),IF(AND(tblParticipants[[#This Row],[EnrollQtr]]=1,tblParticipants[[#This Row],[SvcStartDate]]&lt;DATE(conProgYear,7,1)),1,""),"")</f>
        <v/>
      </c>
      <c r="BV28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88" s="232" t="str">
        <f t="shared" ca="1" si="4"/>
        <v/>
      </c>
      <c r="BX288" s="9">
        <f>IF(SUM(IF(tblParticipants[[#This Row],[AmIndOrAkNtv]]=1,1,0),IF(tblParticipants[[#This Row],[Asian]]=1,1,0),IF(tblParticipants[[#This Row],[BlkOrAfAmer]]=1,1,0),IF(tblParticipants[[#This Row],[NtvHawOrPacIsl]]=1,1,0),IF(tblParticipants[[#This Row],[White]]=1,1,0))&gt;1,1,0)</f>
        <v>0</v>
      </c>
      <c r="BY28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8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8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88" s="11">
        <f>IF(tblParticipants[[#This Row],[EarnWg2Qae]]=1,IFERROR(tblParticipants[[#This Row],[HoursPerWk2Qae]]*tblParticipants[[#This Row],[HrlyWg2Qae]]*13,0),0)</f>
        <v>0</v>
      </c>
      <c r="CC288" s="11">
        <f>IF(tblParticipants[[#This Row],[EarnWg3Qae]]=1,IFERROR(tblParticipants[[#This Row],[HoursPerWk3Qae]]*tblParticipants[[#This Row],[HrlyWg3Qae]]*13,0),0)</f>
        <v>0</v>
      </c>
      <c r="CD288" s="9">
        <f>IFERROR(IF(SUM(tblParticipants[[#This Row],[EarnWg1Qae]],tblParticipants[[#This Row],[EarnWg2Qae]],tblParticipants[[#This Row],[EarnWg3Qae]])=3,1,0),0)</f>
        <v>0</v>
      </c>
      <c r="CE288" s="12">
        <f>IF(tblParticipants[[#This Row],[EmplAll3Qae]]=1,tblParticipants[[#This Row],[Earnings2Qae]]+tblParticipants[[#This Row],[Earnings3Qae]],0)</f>
        <v>0</v>
      </c>
      <c r="CF288" s="407"/>
    </row>
    <row r="289" spans="1:84" x14ac:dyDescent="0.3">
      <c r="A289" s="19"/>
      <c r="B289" s="19"/>
      <c r="C289" s="20"/>
      <c r="D289" s="20"/>
      <c r="E289" s="26"/>
      <c r="F289" s="26"/>
      <c r="G289" s="26"/>
      <c r="H289" s="26"/>
      <c r="I289" s="26"/>
      <c r="J289" s="26"/>
      <c r="K289" s="26"/>
      <c r="L289" s="26"/>
      <c r="M289" s="20"/>
      <c r="N289" s="26"/>
      <c r="O289" s="22"/>
      <c r="P289" s="21"/>
      <c r="Q289" s="23"/>
      <c r="R289" s="21"/>
      <c r="S289" s="21"/>
      <c r="T289" s="21"/>
      <c r="U289" s="21"/>
      <c r="V289" s="21"/>
      <c r="W289" s="24"/>
      <c r="X289" s="20"/>
      <c r="Y289" s="20"/>
      <c r="Z289" s="21"/>
      <c r="AA289" s="21"/>
      <c r="AB289" s="21"/>
      <c r="AC289" s="21"/>
      <c r="AD289" s="21"/>
      <c r="AE289" s="21"/>
      <c r="AF289" s="21"/>
      <c r="AG289" s="21"/>
      <c r="AH289" s="21"/>
      <c r="AI289" s="25"/>
      <c r="AJ289" s="20"/>
      <c r="AK289" s="21"/>
      <c r="AL289" s="20"/>
      <c r="AM289" s="20"/>
      <c r="AN289" s="20"/>
      <c r="AO289" s="20"/>
      <c r="AP289" s="446"/>
      <c r="AQ289" s="20"/>
      <c r="AR289" s="20"/>
      <c r="AS289" s="20"/>
      <c r="AT289" s="20"/>
      <c r="AU289" s="26"/>
      <c r="AV289" s="98"/>
      <c r="AW289" s="98"/>
      <c r="AX289" s="98"/>
      <c r="AY289" s="98"/>
      <c r="AZ289" s="98"/>
      <c r="BA289" s="217"/>
      <c r="BB289" s="98"/>
      <c r="BC289" s="98"/>
      <c r="BD289" s="98"/>
      <c r="BE289" s="98"/>
      <c r="BF289" s="98"/>
      <c r="BG289" s="219"/>
      <c r="BH289" s="219"/>
      <c r="BI289" s="219"/>
      <c r="BJ289" s="26"/>
      <c r="BK289" s="21"/>
      <c r="BL289" s="21"/>
      <c r="BM289" s="22"/>
      <c r="BN289" s="21"/>
      <c r="BO289" s="21"/>
      <c r="BP289" s="22"/>
      <c r="BQ289" s="21"/>
      <c r="BR289" s="21"/>
      <c r="BS289" s="22"/>
      <c r="BT28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89" s="109" t="str">
        <f>IF(ISNUMBER(tblParticipants[[#This Row],[SvcStartDate]]),IF(AND(tblParticipants[[#This Row],[EnrollQtr]]=1,tblParticipants[[#This Row],[SvcStartDate]]&lt;DATE(conProgYear,7,1)),1,""),"")</f>
        <v/>
      </c>
      <c r="BV28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89" s="232" t="str">
        <f t="shared" ca="1" si="4"/>
        <v/>
      </c>
      <c r="BX289" s="9">
        <f>IF(SUM(IF(tblParticipants[[#This Row],[AmIndOrAkNtv]]=1,1,0),IF(tblParticipants[[#This Row],[Asian]]=1,1,0),IF(tblParticipants[[#This Row],[BlkOrAfAmer]]=1,1,0),IF(tblParticipants[[#This Row],[NtvHawOrPacIsl]]=1,1,0),IF(tblParticipants[[#This Row],[White]]=1,1,0))&gt;1,1,0)</f>
        <v>0</v>
      </c>
      <c r="BY28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8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8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89" s="11">
        <f>IF(tblParticipants[[#This Row],[EarnWg2Qae]]=1,IFERROR(tblParticipants[[#This Row],[HoursPerWk2Qae]]*tblParticipants[[#This Row],[HrlyWg2Qae]]*13,0),0)</f>
        <v>0</v>
      </c>
      <c r="CC289" s="11">
        <f>IF(tblParticipants[[#This Row],[EarnWg3Qae]]=1,IFERROR(tblParticipants[[#This Row],[HoursPerWk3Qae]]*tblParticipants[[#This Row],[HrlyWg3Qae]]*13,0),0)</f>
        <v>0</v>
      </c>
      <c r="CD289" s="9">
        <f>IFERROR(IF(SUM(tblParticipants[[#This Row],[EarnWg1Qae]],tblParticipants[[#This Row],[EarnWg2Qae]],tblParticipants[[#This Row],[EarnWg3Qae]])=3,1,0),0)</f>
        <v>0</v>
      </c>
      <c r="CE289" s="12">
        <f>IF(tblParticipants[[#This Row],[EmplAll3Qae]]=1,tblParticipants[[#This Row],[Earnings2Qae]]+tblParticipants[[#This Row],[Earnings3Qae]],0)</f>
        <v>0</v>
      </c>
      <c r="CF289" s="407"/>
    </row>
    <row r="290" spans="1:84" x14ac:dyDescent="0.3">
      <c r="A290" s="19"/>
      <c r="B290" s="19"/>
      <c r="C290" s="20"/>
      <c r="D290" s="20"/>
      <c r="E290" s="26"/>
      <c r="F290" s="26"/>
      <c r="G290" s="26"/>
      <c r="H290" s="26"/>
      <c r="I290" s="26"/>
      <c r="J290" s="26"/>
      <c r="K290" s="26"/>
      <c r="L290" s="26"/>
      <c r="M290" s="20"/>
      <c r="N290" s="26"/>
      <c r="O290" s="22"/>
      <c r="P290" s="21"/>
      <c r="Q290" s="23"/>
      <c r="R290" s="21"/>
      <c r="S290" s="21"/>
      <c r="T290" s="21"/>
      <c r="U290" s="21"/>
      <c r="V290" s="21"/>
      <c r="W290" s="24"/>
      <c r="X290" s="20"/>
      <c r="Y290" s="20"/>
      <c r="Z290" s="21"/>
      <c r="AA290" s="21"/>
      <c r="AB290" s="21"/>
      <c r="AC290" s="21"/>
      <c r="AD290" s="21"/>
      <c r="AE290" s="21"/>
      <c r="AF290" s="21"/>
      <c r="AG290" s="21"/>
      <c r="AH290" s="21"/>
      <c r="AI290" s="25"/>
      <c r="AJ290" s="20"/>
      <c r="AK290" s="21"/>
      <c r="AL290" s="20"/>
      <c r="AM290" s="20"/>
      <c r="AN290" s="20"/>
      <c r="AO290" s="20"/>
      <c r="AP290" s="446"/>
      <c r="AQ290" s="20"/>
      <c r="AR290" s="20"/>
      <c r="AS290" s="20"/>
      <c r="AT290" s="20"/>
      <c r="AU290" s="26"/>
      <c r="AV290" s="98"/>
      <c r="AW290" s="98"/>
      <c r="AX290" s="98"/>
      <c r="AY290" s="98"/>
      <c r="AZ290" s="98"/>
      <c r="BA290" s="217"/>
      <c r="BB290" s="98"/>
      <c r="BC290" s="98"/>
      <c r="BD290" s="98"/>
      <c r="BE290" s="98"/>
      <c r="BF290" s="98"/>
      <c r="BG290" s="219"/>
      <c r="BH290" s="219"/>
      <c r="BI290" s="219"/>
      <c r="BJ290" s="26"/>
      <c r="BK290" s="21"/>
      <c r="BL290" s="21"/>
      <c r="BM290" s="22"/>
      <c r="BN290" s="21"/>
      <c r="BO290" s="21"/>
      <c r="BP290" s="22"/>
      <c r="BQ290" s="21"/>
      <c r="BR290" s="21"/>
      <c r="BS290" s="22"/>
      <c r="BT29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90" s="109" t="str">
        <f>IF(ISNUMBER(tblParticipants[[#This Row],[SvcStartDate]]),IF(AND(tblParticipants[[#This Row],[EnrollQtr]]=1,tblParticipants[[#This Row],[SvcStartDate]]&lt;DATE(conProgYear,7,1)),1,""),"")</f>
        <v/>
      </c>
      <c r="BV29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90" s="232" t="str">
        <f t="shared" ca="1" si="4"/>
        <v/>
      </c>
      <c r="BX290" s="9">
        <f>IF(SUM(IF(tblParticipants[[#This Row],[AmIndOrAkNtv]]=1,1,0),IF(tblParticipants[[#This Row],[Asian]]=1,1,0),IF(tblParticipants[[#This Row],[BlkOrAfAmer]]=1,1,0),IF(tblParticipants[[#This Row],[NtvHawOrPacIsl]]=1,1,0),IF(tblParticipants[[#This Row],[White]]=1,1,0))&gt;1,1,0)</f>
        <v>0</v>
      </c>
      <c r="BY29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9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9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90" s="11">
        <f>IF(tblParticipants[[#This Row],[EarnWg2Qae]]=1,IFERROR(tblParticipants[[#This Row],[HoursPerWk2Qae]]*tblParticipants[[#This Row],[HrlyWg2Qae]]*13,0),0)</f>
        <v>0</v>
      </c>
      <c r="CC290" s="11">
        <f>IF(tblParticipants[[#This Row],[EarnWg3Qae]]=1,IFERROR(tblParticipants[[#This Row],[HoursPerWk3Qae]]*tblParticipants[[#This Row],[HrlyWg3Qae]]*13,0),0)</f>
        <v>0</v>
      </c>
      <c r="CD290" s="9">
        <f>IFERROR(IF(SUM(tblParticipants[[#This Row],[EarnWg1Qae]],tblParticipants[[#This Row],[EarnWg2Qae]],tblParticipants[[#This Row],[EarnWg3Qae]])=3,1,0),0)</f>
        <v>0</v>
      </c>
      <c r="CE290" s="12">
        <f>IF(tblParticipants[[#This Row],[EmplAll3Qae]]=1,tblParticipants[[#This Row],[Earnings2Qae]]+tblParticipants[[#This Row],[Earnings3Qae]],0)</f>
        <v>0</v>
      </c>
      <c r="CF290" s="407"/>
    </row>
    <row r="291" spans="1:84" x14ac:dyDescent="0.3">
      <c r="A291" s="19"/>
      <c r="B291" s="19"/>
      <c r="C291" s="20"/>
      <c r="D291" s="20"/>
      <c r="E291" s="26"/>
      <c r="F291" s="26"/>
      <c r="G291" s="26"/>
      <c r="H291" s="26"/>
      <c r="I291" s="26"/>
      <c r="J291" s="26"/>
      <c r="K291" s="26"/>
      <c r="L291" s="26"/>
      <c r="M291" s="20"/>
      <c r="N291" s="26"/>
      <c r="O291" s="22"/>
      <c r="P291" s="21"/>
      <c r="Q291" s="23"/>
      <c r="R291" s="21"/>
      <c r="S291" s="21"/>
      <c r="T291" s="21"/>
      <c r="U291" s="21"/>
      <c r="V291" s="21"/>
      <c r="W291" s="24"/>
      <c r="X291" s="20"/>
      <c r="Y291" s="20"/>
      <c r="Z291" s="21"/>
      <c r="AA291" s="21"/>
      <c r="AB291" s="21"/>
      <c r="AC291" s="21"/>
      <c r="AD291" s="21"/>
      <c r="AE291" s="21"/>
      <c r="AF291" s="21"/>
      <c r="AG291" s="21"/>
      <c r="AH291" s="21"/>
      <c r="AI291" s="25"/>
      <c r="AJ291" s="20"/>
      <c r="AK291" s="21"/>
      <c r="AL291" s="20"/>
      <c r="AM291" s="20"/>
      <c r="AN291" s="20"/>
      <c r="AO291" s="20"/>
      <c r="AP291" s="446"/>
      <c r="AQ291" s="20"/>
      <c r="AR291" s="20"/>
      <c r="AS291" s="20"/>
      <c r="AT291" s="20"/>
      <c r="AU291" s="26"/>
      <c r="AV291" s="98"/>
      <c r="AW291" s="98"/>
      <c r="AX291" s="98"/>
      <c r="AY291" s="98"/>
      <c r="AZ291" s="98"/>
      <c r="BA291" s="217"/>
      <c r="BB291" s="98"/>
      <c r="BC291" s="98"/>
      <c r="BD291" s="98"/>
      <c r="BE291" s="98"/>
      <c r="BF291" s="98"/>
      <c r="BG291" s="219"/>
      <c r="BH291" s="219"/>
      <c r="BI291" s="219"/>
      <c r="BJ291" s="26"/>
      <c r="BK291" s="21"/>
      <c r="BL291" s="21"/>
      <c r="BM291" s="22"/>
      <c r="BN291" s="21"/>
      <c r="BO291" s="21"/>
      <c r="BP291" s="22"/>
      <c r="BQ291" s="21"/>
      <c r="BR291" s="21"/>
      <c r="BS291" s="22"/>
      <c r="BT29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91" s="109" t="str">
        <f>IF(ISNUMBER(tblParticipants[[#This Row],[SvcStartDate]]),IF(AND(tblParticipants[[#This Row],[EnrollQtr]]=1,tblParticipants[[#This Row],[SvcStartDate]]&lt;DATE(conProgYear,7,1)),1,""),"")</f>
        <v/>
      </c>
      <c r="BV29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91" s="232" t="str">
        <f t="shared" ca="1" si="4"/>
        <v/>
      </c>
      <c r="BX291" s="9">
        <f>IF(SUM(IF(tblParticipants[[#This Row],[AmIndOrAkNtv]]=1,1,0),IF(tblParticipants[[#This Row],[Asian]]=1,1,0),IF(tblParticipants[[#This Row],[BlkOrAfAmer]]=1,1,0),IF(tblParticipants[[#This Row],[NtvHawOrPacIsl]]=1,1,0),IF(tblParticipants[[#This Row],[White]]=1,1,0))&gt;1,1,0)</f>
        <v>0</v>
      </c>
      <c r="BY29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9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9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91" s="11">
        <f>IF(tblParticipants[[#This Row],[EarnWg2Qae]]=1,IFERROR(tblParticipants[[#This Row],[HoursPerWk2Qae]]*tblParticipants[[#This Row],[HrlyWg2Qae]]*13,0),0)</f>
        <v>0</v>
      </c>
      <c r="CC291" s="11">
        <f>IF(tblParticipants[[#This Row],[EarnWg3Qae]]=1,IFERROR(tblParticipants[[#This Row],[HoursPerWk3Qae]]*tblParticipants[[#This Row],[HrlyWg3Qae]]*13,0),0)</f>
        <v>0</v>
      </c>
      <c r="CD291" s="9">
        <f>IFERROR(IF(SUM(tblParticipants[[#This Row],[EarnWg1Qae]],tblParticipants[[#This Row],[EarnWg2Qae]],tblParticipants[[#This Row],[EarnWg3Qae]])=3,1,0),0)</f>
        <v>0</v>
      </c>
      <c r="CE291" s="12">
        <f>IF(tblParticipants[[#This Row],[EmplAll3Qae]]=1,tblParticipants[[#This Row],[Earnings2Qae]]+tblParticipants[[#This Row],[Earnings3Qae]],0)</f>
        <v>0</v>
      </c>
      <c r="CF291" s="407"/>
    </row>
    <row r="292" spans="1:84" x14ac:dyDescent="0.3">
      <c r="A292" s="19"/>
      <c r="B292" s="19"/>
      <c r="C292" s="20"/>
      <c r="D292" s="20"/>
      <c r="E292" s="26"/>
      <c r="F292" s="26"/>
      <c r="G292" s="26"/>
      <c r="H292" s="26"/>
      <c r="I292" s="26"/>
      <c r="J292" s="26"/>
      <c r="K292" s="26"/>
      <c r="L292" s="26"/>
      <c r="M292" s="20"/>
      <c r="N292" s="26"/>
      <c r="O292" s="22"/>
      <c r="P292" s="21"/>
      <c r="Q292" s="23"/>
      <c r="R292" s="21"/>
      <c r="S292" s="21"/>
      <c r="T292" s="21"/>
      <c r="U292" s="21"/>
      <c r="V292" s="21"/>
      <c r="W292" s="24"/>
      <c r="X292" s="20"/>
      <c r="Y292" s="20"/>
      <c r="Z292" s="21"/>
      <c r="AA292" s="21"/>
      <c r="AB292" s="21"/>
      <c r="AC292" s="21"/>
      <c r="AD292" s="21"/>
      <c r="AE292" s="21"/>
      <c r="AF292" s="21"/>
      <c r="AG292" s="21"/>
      <c r="AH292" s="21"/>
      <c r="AI292" s="25"/>
      <c r="AJ292" s="20"/>
      <c r="AK292" s="21"/>
      <c r="AL292" s="20"/>
      <c r="AM292" s="20"/>
      <c r="AN292" s="20"/>
      <c r="AO292" s="20"/>
      <c r="AP292" s="446"/>
      <c r="AQ292" s="20"/>
      <c r="AR292" s="20"/>
      <c r="AS292" s="20"/>
      <c r="AT292" s="20"/>
      <c r="AU292" s="26"/>
      <c r="AV292" s="98"/>
      <c r="AW292" s="98"/>
      <c r="AX292" s="98"/>
      <c r="AY292" s="98"/>
      <c r="AZ292" s="98"/>
      <c r="BA292" s="217"/>
      <c r="BB292" s="98"/>
      <c r="BC292" s="98"/>
      <c r="BD292" s="98"/>
      <c r="BE292" s="98"/>
      <c r="BF292" s="98"/>
      <c r="BG292" s="219"/>
      <c r="BH292" s="219"/>
      <c r="BI292" s="219"/>
      <c r="BJ292" s="26"/>
      <c r="BK292" s="21"/>
      <c r="BL292" s="21"/>
      <c r="BM292" s="22"/>
      <c r="BN292" s="21"/>
      <c r="BO292" s="21"/>
      <c r="BP292" s="22"/>
      <c r="BQ292" s="21"/>
      <c r="BR292" s="21"/>
      <c r="BS292" s="22"/>
      <c r="BT29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92" s="109" t="str">
        <f>IF(ISNUMBER(tblParticipants[[#This Row],[SvcStartDate]]),IF(AND(tblParticipants[[#This Row],[EnrollQtr]]=1,tblParticipants[[#This Row],[SvcStartDate]]&lt;DATE(conProgYear,7,1)),1,""),"")</f>
        <v/>
      </c>
      <c r="BV29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92" s="232" t="str">
        <f t="shared" ca="1" si="4"/>
        <v/>
      </c>
      <c r="BX292" s="9">
        <f>IF(SUM(IF(tblParticipants[[#This Row],[AmIndOrAkNtv]]=1,1,0),IF(tblParticipants[[#This Row],[Asian]]=1,1,0),IF(tblParticipants[[#This Row],[BlkOrAfAmer]]=1,1,0),IF(tblParticipants[[#This Row],[NtvHawOrPacIsl]]=1,1,0),IF(tblParticipants[[#This Row],[White]]=1,1,0))&gt;1,1,0)</f>
        <v>0</v>
      </c>
      <c r="BY29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9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9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92" s="11">
        <f>IF(tblParticipants[[#This Row],[EarnWg2Qae]]=1,IFERROR(tblParticipants[[#This Row],[HoursPerWk2Qae]]*tblParticipants[[#This Row],[HrlyWg2Qae]]*13,0),0)</f>
        <v>0</v>
      </c>
      <c r="CC292" s="11">
        <f>IF(tblParticipants[[#This Row],[EarnWg3Qae]]=1,IFERROR(tblParticipants[[#This Row],[HoursPerWk3Qae]]*tblParticipants[[#This Row],[HrlyWg3Qae]]*13,0),0)</f>
        <v>0</v>
      </c>
      <c r="CD292" s="9">
        <f>IFERROR(IF(SUM(tblParticipants[[#This Row],[EarnWg1Qae]],tblParticipants[[#This Row],[EarnWg2Qae]],tblParticipants[[#This Row],[EarnWg3Qae]])=3,1,0),0)</f>
        <v>0</v>
      </c>
      <c r="CE292" s="12">
        <f>IF(tblParticipants[[#This Row],[EmplAll3Qae]]=1,tblParticipants[[#This Row],[Earnings2Qae]]+tblParticipants[[#This Row],[Earnings3Qae]],0)</f>
        <v>0</v>
      </c>
      <c r="CF292" s="407"/>
    </row>
    <row r="293" spans="1:84" x14ac:dyDescent="0.3">
      <c r="A293" s="19"/>
      <c r="B293" s="19"/>
      <c r="C293" s="20"/>
      <c r="D293" s="20"/>
      <c r="E293" s="26"/>
      <c r="F293" s="26"/>
      <c r="G293" s="26"/>
      <c r="H293" s="26"/>
      <c r="I293" s="26"/>
      <c r="J293" s="26"/>
      <c r="K293" s="26"/>
      <c r="L293" s="26"/>
      <c r="M293" s="20"/>
      <c r="N293" s="26"/>
      <c r="O293" s="22"/>
      <c r="P293" s="21"/>
      <c r="Q293" s="23"/>
      <c r="R293" s="21"/>
      <c r="S293" s="21"/>
      <c r="T293" s="21"/>
      <c r="U293" s="21"/>
      <c r="V293" s="21"/>
      <c r="W293" s="24"/>
      <c r="X293" s="20"/>
      <c r="Y293" s="20"/>
      <c r="Z293" s="21"/>
      <c r="AA293" s="21"/>
      <c r="AB293" s="21"/>
      <c r="AC293" s="21"/>
      <c r="AD293" s="21"/>
      <c r="AE293" s="21"/>
      <c r="AF293" s="21"/>
      <c r="AG293" s="21"/>
      <c r="AH293" s="21"/>
      <c r="AI293" s="25"/>
      <c r="AJ293" s="20"/>
      <c r="AK293" s="21"/>
      <c r="AL293" s="20"/>
      <c r="AM293" s="20"/>
      <c r="AN293" s="20"/>
      <c r="AO293" s="20"/>
      <c r="AP293" s="446"/>
      <c r="AQ293" s="20"/>
      <c r="AR293" s="20"/>
      <c r="AS293" s="20"/>
      <c r="AT293" s="20"/>
      <c r="AU293" s="26"/>
      <c r="AV293" s="98"/>
      <c r="AW293" s="98"/>
      <c r="AX293" s="98"/>
      <c r="AY293" s="98"/>
      <c r="AZ293" s="98"/>
      <c r="BA293" s="217"/>
      <c r="BB293" s="98"/>
      <c r="BC293" s="98"/>
      <c r="BD293" s="98"/>
      <c r="BE293" s="98"/>
      <c r="BF293" s="98"/>
      <c r="BG293" s="219"/>
      <c r="BH293" s="219"/>
      <c r="BI293" s="219"/>
      <c r="BJ293" s="26"/>
      <c r="BK293" s="21"/>
      <c r="BL293" s="21"/>
      <c r="BM293" s="22"/>
      <c r="BN293" s="21"/>
      <c r="BO293" s="21"/>
      <c r="BP293" s="22"/>
      <c r="BQ293" s="21"/>
      <c r="BR293" s="21"/>
      <c r="BS293" s="22"/>
      <c r="BT29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93" s="109" t="str">
        <f>IF(ISNUMBER(tblParticipants[[#This Row],[SvcStartDate]]),IF(AND(tblParticipants[[#This Row],[EnrollQtr]]=1,tblParticipants[[#This Row],[SvcStartDate]]&lt;DATE(conProgYear,7,1)),1,""),"")</f>
        <v/>
      </c>
      <c r="BV29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93" s="232" t="str">
        <f t="shared" ca="1" si="4"/>
        <v/>
      </c>
      <c r="BX293" s="9">
        <f>IF(SUM(IF(tblParticipants[[#This Row],[AmIndOrAkNtv]]=1,1,0),IF(tblParticipants[[#This Row],[Asian]]=1,1,0),IF(tblParticipants[[#This Row],[BlkOrAfAmer]]=1,1,0),IF(tblParticipants[[#This Row],[NtvHawOrPacIsl]]=1,1,0),IF(tblParticipants[[#This Row],[White]]=1,1,0))&gt;1,1,0)</f>
        <v>0</v>
      </c>
      <c r="BY29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9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9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93" s="11">
        <f>IF(tblParticipants[[#This Row],[EarnWg2Qae]]=1,IFERROR(tblParticipants[[#This Row],[HoursPerWk2Qae]]*tblParticipants[[#This Row],[HrlyWg2Qae]]*13,0),0)</f>
        <v>0</v>
      </c>
      <c r="CC293" s="11">
        <f>IF(tblParticipants[[#This Row],[EarnWg3Qae]]=1,IFERROR(tblParticipants[[#This Row],[HoursPerWk3Qae]]*tblParticipants[[#This Row],[HrlyWg3Qae]]*13,0),0)</f>
        <v>0</v>
      </c>
      <c r="CD293" s="9">
        <f>IFERROR(IF(SUM(tblParticipants[[#This Row],[EarnWg1Qae]],tblParticipants[[#This Row],[EarnWg2Qae]],tblParticipants[[#This Row],[EarnWg3Qae]])=3,1,0),0)</f>
        <v>0</v>
      </c>
      <c r="CE293" s="12">
        <f>IF(tblParticipants[[#This Row],[EmplAll3Qae]]=1,tblParticipants[[#This Row],[Earnings2Qae]]+tblParticipants[[#This Row],[Earnings3Qae]],0)</f>
        <v>0</v>
      </c>
      <c r="CF293" s="407"/>
    </row>
    <row r="294" spans="1:84" x14ac:dyDescent="0.3">
      <c r="A294" s="19"/>
      <c r="B294" s="19"/>
      <c r="C294" s="20"/>
      <c r="D294" s="20"/>
      <c r="E294" s="26"/>
      <c r="F294" s="26"/>
      <c r="G294" s="26"/>
      <c r="H294" s="26"/>
      <c r="I294" s="26"/>
      <c r="J294" s="26"/>
      <c r="K294" s="26"/>
      <c r="L294" s="26"/>
      <c r="M294" s="20"/>
      <c r="N294" s="26"/>
      <c r="O294" s="22"/>
      <c r="P294" s="21"/>
      <c r="Q294" s="23"/>
      <c r="R294" s="21"/>
      <c r="S294" s="21"/>
      <c r="T294" s="21"/>
      <c r="U294" s="21"/>
      <c r="V294" s="21"/>
      <c r="W294" s="24"/>
      <c r="X294" s="20"/>
      <c r="Y294" s="20"/>
      <c r="Z294" s="21"/>
      <c r="AA294" s="21"/>
      <c r="AB294" s="21"/>
      <c r="AC294" s="21"/>
      <c r="AD294" s="21"/>
      <c r="AE294" s="21"/>
      <c r="AF294" s="21"/>
      <c r="AG294" s="21"/>
      <c r="AH294" s="21"/>
      <c r="AI294" s="25"/>
      <c r="AJ294" s="20"/>
      <c r="AK294" s="21"/>
      <c r="AL294" s="20"/>
      <c r="AM294" s="20"/>
      <c r="AN294" s="20"/>
      <c r="AO294" s="20"/>
      <c r="AP294" s="446"/>
      <c r="AQ294" s="20"/>
      <c r="AR294" s="20"/>
      <c r="AS294" s="20"/>
      <c r="AT294" s="20"/>
      <c r="AU294" s="26"/>
      <c r="AV294" s="98"/>
      <c r="AW294" s="98"/>
      <c r="AX294" s="98"/>
      <c r="AY294" s="98"/>
      <c r="AZ294" s="98"/>
      <c r="BA294" s="217"/>
      <c r="BB294" s="98"/>
      <c r="BC294" s="98"/>
      <c r="BD294" s="98"/>
      <c r="BE294" s="98"/>
      <c r="BF294" s="98"/>
      <c r="BG294" s="219"/>
      <c r="BH294" s="219"/>
      <c r="BI294" s="219"/>
      <c r="BJ294" s="26"/>
      <c r="BK294" s="21"/>
      <c r="BL294" s="21"/>
      <c r="BM294" s="22"/>
      <c r="BN294" s="21"/>
      <c r="BO294" s="21"/>
      <c r="BP294" s="22"/>
      <c r="BQ294" s="21"/>
      <c r="BR294" s="21"/>
      <c r="BS294" s="22"/>
      <c r="BT29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94" s="109" t="str">
        <f>IF(ISNUMBER(tblParticipants[[#This Row],[SvcStartDate]]),IF(AND(tblParticipants[[#This Row],[EnrollQtr]]=1,tblParticipants[[#This Row],[SvcStartDate]]&lt;DATE(conProgYear,7,1)),1,""),"")</f>
        <v/>
      </c>
      <c r="BV29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94" s="232" t="str">
        <f t="shared" ca="1" si="4"/>
        <v/>
      </c>
      <c r="BX294" s="9">
        <f>IF(SUM(IF(tblParticipants[[#This Row],[AmIndOrAkNtv]]=1,1,0),IF(tblParticipants[[#This Row],[Asian]]=1,1,0),IF(tblParticipants[[#This Row],[BlkOrAfAmer]]=1,1,0),IF(tblParticipants[[#This Row],[NtvHawOrPacIsl]]=1,1,0),IF(tblParticipants[[#This Row],[White]]=1,1,0))&gt;1,1,0)</f>
        <v>0</v>
      </c>
      <c r="BY29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9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9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94" s="11">
        <f>IF(tblParticipants[[#This Row],[EarnWg2Qae]]=1,IFERROR(tblParticipants[[#This Row],[HoursPerWk2Qae]]*tblParticipants[[#This Row],[HrlyWg2Qae]]*13,0),0)</f>
        <v>0</v>
      </c>
      <c r="CC294" s="11">
        <f>IF(tblParticipants[[#This Row],[EarnWg3Qae]]=1,IFERROR(tblParticipants[[#This Row],[HoursPerWk3Qae]]*tblParticipants[[#This Row],[HrlyWg3Qae]]*13,0),0)</f>
        <v>0</v>
      </c>
      <c r="CD294" s="9">
        <f>IFERROR(IF(SUM(tblParticipants[[#This Row],[EarnWg1Qae]],tblParticipants[[#This Row],[EarnWg2Qae]],tblParticipants[[#This Row],[EarnWg3Qae]])=3,1,0),0)</f>
        <v>0</v>
      </c>
      <c r="CE294" s="12">
        <f>IF(tblParticipants[[#This Row],[EmplAll3Qae]]=1,tblParticipants[[#This Row],[Earnings2Qae]]+tblParticipants[[#This Row],[Earnings3Qae]],0)</f>
        <v>0</v>
      </c>
      <c r="CF294" s="407"/>
    </row>
    <row r="295" spans="1:84" x14ac:dyDescent="0.3">
      <c r="A295" s="19"/>
      <c r="B295" s="19"/>
      <c r="C295" s="20"/>
      <c r="D295" s="20"/>
      <c r="E295" s="26"/>
      <c r="F295" s="26"/>
      <c r="G295" s="26"/>
      <c r="H295" s="26"/>
      <c r="I295" s="26"/>
      <c r="J295" s="26"/>
      <c r="K295" s="26"/>
      <c r="L295" s="26"/>
      <c r="M295" s="20"/>
      <c r="N295" s="26"/>
      <c r="O295" s="22"/>
      <c r="P295" s="21"/>
      <c r="Q295" s="23"/>
      <c r="R295" s="21"/>
      <c r="S295" s="21"/>
      <c r="T295" s="21"/>
      <c r="U295" s="21"/>
      <c r="V295" s="21"/>
      <c r="W295" s="24"/>
      <c r="X295" s="20"/>
      <c r="Y295" s="20"/>
      <c r="Z295" s="21"/>
      <c r="AA295" s="21"/>
      <c r="AB295" s="21"/>
      <c r="AC295" s="21"/>
      <c r="AD295" s="21"/>
      <c r="AE295" s="21"/>
      <c r="AF295" s="21"/>
      <c r="AG295" s="21"/>
      <c r="AH295" s="21"/>
      <c r="AI295" s="25"/>
      <c r="AJ295" s="20"/>
      <c r="AK295" s="21"/>
      <c r="AL295" s="20"/>
      <c r="AM295" s="20"/>
      <c r="AN295" s="20"/>
      <c r="AO295" s="20"/>
      <c r="AP295" s="446"/>
      <c r="AQ295" s="20"/>
      <c r="AR295" s="20"/>
      <c r="AS295" s="20"/>
      <c r="AT295" s="20"/>
      <c r="AU295" s="26"/>
      <c r="AV295" s="98"/>
      <c r="AW295" s="98"/>
      <c r="AX295" s="98"/>
      <c r="AY295" s="98"/>
      <c r="AZ295" s="98"/>
      <c r="BA295" s="217"/>
      <c r="BB295" s="98"/>
      <c r="BC295" s="98"/>
      <c r="BD295" s="98"/>
      <c r="BE295" s="98"/>
      <c r="BF295" s="98"/>
      <c r="BG295" s="219"/>
      <c r="BH295" s="219"/>
      <c r="BI295" s="219"/>
      <c r="BJ295" s="26"/>
      <c r="BK295" s="21"/>
      <c r="BL295" s="21"/>
      <c r="BM295" s="22"/>
      <c r="BN295" s="21"/>
      <c r="BO295" s="21"/>
      <c r="BP295" s="22"/>
      <c r="BQ295" s="21"/>
      <c r="BR295" s="21"/>
      <c r="BS295" s="22"/>
      <c r="BT29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95" s="109" t="str">
        <f>IF(ISNUMBER(tblParticipants[[#This Row],[SvcStartDate]]),IF(AND(tblParticipants[[#This Row],[EnrollQtr]]=1,tblParticipants[[#This Row],[SvcStartDate]]&lt;DATE(conProgYear,7,1)),1,""),"")</f>
        <v/>
      </c>
      <c r="BV29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95" s="232" t="str">
        <f t="shared" ca="1" si="4"/>
        <v/>
      </c>
      <c r="BX295" s="9">
        <f>IF(SUM(IF(tblParticipants[[#This Row],[AmIndOrAkNtv]]=1,1,0),IF(tblParticipants[[#This Row],[Asian]]=1,1,0),IF(tblParticipants[[#This Row],[BlkOrAfAmer]]=1,1,0),IF(tblParticipants[[#This Row],[NtvHawOrPacIsl]]=1,1,0),IF(tblParticipants[[#This Row],[White]]=1,1,0))&gt;1,1,0)</f>
        <v>0</v>
      </c>
      <c r="BY29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9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9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95" s="11">
        <f>IF(tblParticipants[[#This Row],[EarnWg2Qae]]=1,IFERROR(tblParticipants[[#This Row],[HoursPerWk2Qae]]*tblParticipants[[#This Row],[HrlyWg2Qae]]*13,0),0)</f>
        <v>0</v>
      </c>
      <c r="CC295" s="11">
        <f>IF(tblParticipants[[#This Row],[EarnWg3Qae]]=1,IFERROR(tblParticipants[[#This Row],[HoursPerWk3Qae]]*tblParticipants[[#This Row],[HrlyWg3Qae]]*13,0),0)</f>
        <v>0</v>
      </c>
      <c r="CD295" s="9">
        <f>IFERROR(IF(SUM(tblParticipants[[#This Row],[EarnWg1Qae]],tblParticipants[[#This Row],[EarnWg2Qae]],tblParticipants[[#This Row],[EarnWg3Qae]])=3,1,0),0)</f>
        <v>0</v>
      </c>
      <c r="CE295" s="12">
        <f>IF(tblParticipants[[#This Row],[EmplAll3Qae]]=1,tblParticipants[[#This Row],[Earnings2Qae]]+tblParticipants[[#This Row],[Earnings3Qae]],0)</f>
        <v>0</v>
      </c>
      <c r="CF295" s="407"/>
    </row>
    <row r="296" spans="1:84" x14ac:dyDescent="0.3">
      <c r="A296" s="19"/>
      <c r="B296" s="19"/>
      <c r="C296" s="20"/>
      <c r="D296" s="20"/>
      <c r="E296" s="26"/>
      <c r="F296" s="26"/>
      <c r="G296" s="26"/>
      <c r="H296" s="26"/>
      <c r="I296" s="26"/>
      <c r="J296" s="26"/>
      <c r="K296" s="26"/>
      <c r="L296" s="26"/>
      <c r="M296" s="20"/>
      <c r="N296" s="26"/>
      <c r="O296" s="22"/>
      <c r="P296" s="21"/>
      <c r="Q296" s="23"/>
      <c r="R296" s="21"/>
      <c r="S296" s="21"/>
      <c r="T296" s="21"/>
      <c r="U296" s="21"/>
      <c r="V296" s="21"/>
      <c r="W296" s="24"/>
      <c r="X296" s="20"/>
      <c r="Y296" s="20"/>
      <c r="Z296" s="21"/>
      <c r="AA296" s="21"/>
      <c r="AB296" s="21"/>
      <c r="AC296" s="21"/>
      <c r="AD296" s="21"/>
      <c r="AE296" s="21"/>
      <c r="AF296" s="21"/>
      <c r="AG296" s="21"/>
      <c r="AH296" s="21"/>
      <c r="AI296" s="25"/>
      <c r="AJ296" s="20"/>
      <c r="AK296" s="21"/>
      <c r="AL296" s="20"/>
      <c r="AM296" s="20"/>
      <c r="AN296" s="20"/>
      <c r="AO296" s="20"/>
      <c r="AP296" s="446"/>
      <c r="AQ296" s="20"/>
      <c r="AR296" s="20"/>
      <c r="AS296" s="20"/>
      <c r="AT296" s="20"/>
      <c r="AU296" s="26"/>
      <c r="AV296" s="98"/>
      <c r="AW296" s="98"/>
      <c r="AX296" s="98"/>
      <c r="AY296" s="98"/>
      <c r="AZ296" s="98"/>
      <c r="BA296" s="217"/>
      <c r="BB296" s="98"/>
      <c r="BC296" s="98"/>
      <c r="BD296" s="98"/>
      <c r="BE296" s="98"/>
      <c r="BF296" s="98"/>
      <c r="BG296" s="219"/>
      <c r="BH296" s="219"/>
      <c r="BI296" s="219"/>
      <c r="BJ296" s="26"/>
      <c r="BK296" s="21"/>
      <c r="BL296" s="21"/>
      <c r="BM296" s="22"/>
      <c r="BN296" s="21"/>
      <c r="BO296" s="21"/>
      <c r="BP296" s="22"/>
      <c r="BQ296" s="21"/>
      <c r="BR296" s="21"/>
      <c r="BS296" s="22"/>
      <c r="BT29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96" s="109" t="str">
        <f>IF(ISNUMBER(tblParticipants[[#This Row],[SvcStartDate]]),IF(AND(tblParticipants[[#This Row],[EnrollQtr]]=1,tblParticipants[[#This Row],[SvcStartDate]]&lt;DATE(conProgYear,7,1)),1,""),"")</f>
        <v/>
      </c>
      <c r="BV29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96" s="232" t="str">
        <f t="shared" ca="1" si="4"/>
        <v/>
      </c>
      <c r="BX296" s="9">
        <f>IF(SUM(IF(tblParticipants[[#This Row],[AmIndOrAkNtv]]=1,1,0),IF(tblParticipants[[#This Row],[Asian]]=1,1,0),IF(tblParticipants[[#This Row],[BlkOrAfAmer]]=1,1,0),IF(tblParticipants[[#This Row],[NtvHawOrPacIsl]]=1,1,0),IF(tblParticipants[[#This Row],[White]]=1,1,0))&gt;1,1,0)</f>
        <v>0</v>
      </c>
      <c r="BY29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9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9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96" s="11">
        <f>IF(tblParticipants[[#This Row],[EarnWg2Qae]]=1,IFERROR(tblParticipants[[#This Row],[HoursPerWk2Qae]]*tblParticipants[[#This Row],[HrlyWg2Qae]]*13,0),0)</f>
        <v>0</v>
      </c>
      <c r="CC296" s="11">
        <f>IF(tblParticipants[[#This Row],[EarnWg3Qae]]=1,IFERROR(tblParticipants[[#This Row],[HoursPerWk3Qae]]*tblParticipants[[#This Row],[HrlyWg3Qae]]*13,0),0)</f>
        <v>0</v>
      </c>
      <c r="CD296" s="9">
        <f>IFERROR(IF(SUM(tblParticipants[[#This Row],[EarnWg1Qae]],tblParticipants[[#This Row],[EarnWg2Qae]],tblParticipants[[#This Row],[EarnWg3Qae]])=3,1,0),0)</f>
        <v>0</v>
      </c>
      <c r="CE296" s="12">
        <f>IF(tblParticipants[[#This Row],[EmplAll3Qae]]=1,tblParticipants[[#This Row],[Earnings2Qae]]+tblParticipants[[#This Row],[Earnings3Qae]],0)</f>
        <v>0</v>
      </c>
      <c r="CF296" s="407"/>
    </row>
    <row r="297" spans="1:84" x14ac:dyDescent="0.3">
      <c r="A297" s="19"/>
      <c r="B297" s="19"/>
      <c r="C297" s="20"/>
      <c r="D297" s="20"/>
      <c r="E297" s="26"/>
      <c r="F297" s="26"/>
      <c r="G297" s="26"/>
      <c r="H297" s="26"/>
      <c r="I297" s="26"/>
      <c r="J297" s="26"/>
      <c r="K297" s="26"/>
      <c r="L297" s="26"/>
      <c r="M297" s="20"/>
      <c r="N297" s="26"/>
      <c r="O297" s="22"/>
      <c r="P297" s="21"/>
      <c r="Q297" s="23"/>
      <c r="R297" s="21"/>
      <c r="S297" s="21"/>
      <c r="T297" s="21"/>
      <c r="U297" s="21"/>
      <c r="V297" s="21"/>
      <c r="W297" s="24"/>
      <c r="X297" s="20"/>
      <c r="Y297" s="20"/>
      <c r="Z297" s="21"/>
      <c r="AA297" s="21"/>
      <c r="AB297" s="21"/>
      <c r="AC297" s="21"/>
      <c r="AD297" s="21"/>
      <c r="AE297" s="21"/>
      <c r="AF297" s="21"/>
      <c r="AG297" s="21"/>
      <c r="AH297" s="21"/>
      <c r="AI297" s="25"/>
      <c r="AJ297" s="20"/>
      <c r="AK297" s="21"/>
      <c r="AL297" s="20"/>
      <c r="AM297" s="20"/>
      <c r="AN297" s="20"/>
      <c r="AO297" s="20"/>
      <c r="AP297" s="446"/>
      <c r="AQ297" s="20"/>
      <c r="AR297" s="20"/>
      <c r="AS297" s="20"/>
      <c r="AT297" s="20"/>
      <c r="AU297" s="26"/>
      <c r="AV297" s="98"/>
      <c r="AW297" s="98"/>
      <c r="AX297" s="98"/>
      <c r="AY297" s="98"/>
      <c r="AZ297" s="98"/>
      <c r="BA297" s="217"/>
      <c r="BB297" s="98"/>
      <c r="BC297" s="98"/>
      <c r="BD297" s="98"/>
      <c r="BE297" s="98"/>
      <c r="BF297" s="98"/>
      <c r="BG297" s="219"/>
      <c r="BH297" s="219"/>
      <c r="BI297" s="219"/>
      <c r="BJ297" s="26"/>
      <c r="BK297" s="21"/>
      <c r="BL297" s="21"/>
      <c r="BM297" s="22"/>
      <c r="BN297" s="21"/>
      <c r="BO297" s="21"/>
      <c r="BP297" s="22"/>
      <c r="BQ297" s="21"/>
      <c r="BR297" s="21"/>
      <c r="BS297" s="22"/>
      <c r="BT29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97" s="109" t="str">
        <f>IF(ISNUMBER(tblParticipants[[#This Row],[SvcStartDate]]),IF(AND(tblParticipants[[#This Row],[EnrollQtr]]=1,tblParticipants[[#This Row],[SvcStartDate]]&lt;DATE(conProgYear,7,1)),1,""),"")</f>
        <v/>
      </c>
      <c r="BV29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97" s="232" t="str">
        <f t="shared" ca="1" si="4"/>
        <v/>
      </c>
      <c r="BX297" s="9">
        <f>IF(SUM(IF(tblParticipants[[#This Row],[AmIndOrAkNtv]]=1,1,0),IF(tblParticipants[[#This Row],[Asian]]=1,1,0),IF(tblParticipants[[#This Row],[BlkOrAfAmer]]=1,1,0),IF(tblParticipants[[#This Row],[NtvHawOrPacIsl]]=1,1,0),IF(tblParticipants[[#This Row],[White]]=1,1,0))&gt;1,1,0)</f>
        <v>0</v>
      </c>
      <c r="BY29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9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9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97" s="11">
        <f>IF(tblParticipants[[#This Row],[EarnWg2Qae]]=1,IFERROR(tblParticipants[[#This Row],[HoursPerWk2Qae]]*tblParticipants[[#This Row],[HrlyWg2Qae]]*13,0),0)</f>
        <v>0</v>
      </c>
      <c r="CC297" s="11">
        <f>IF(tblParticipants[[#This Row],[EarnWg3Qae]]=1,IFERROR(tblParticipants[[#This Row],[HoursPerWk3Qae]]*tblParticipants[[#This Row],[HrlyWg3Qae]]*13,0),0)</f>
        <v>0</v>
      </c>
      <c r="CD297" s="9">
        <f>IFERROR(IF(SUM(tblParticipants[[#This Row],[EarnWg1Qae]],tblParticipants[[#This Row],[EarnWg2Qae]],tblParticipants[[#This Row],[EarnWg3Qae]])=3,1,0),0)</f>
        <v>0</v>
      </c>
      <c r="CE297" s="12">
        <f>IF(tblParticipants[[#This Row],[EmplAll3Qae]]=1,tblParticipants[[#This Row],[Earnings2Qae]]+tblParticipants[[#This Row],[Earnings3Qae]],0)</f>
        <v>0</v>
      </c>
      <c r="CF297" s="407"/>
    </row>
    <row r="298" spans="1:84" x14ac:dyDescent="0.3">
      <c r="A298" s="19"/>
      <c r="B298" s="19"/>
      <c r="C298" s="20"/>
      <c r="D298" s="20"/>
      <c r="E298" s="26"/>
      <c r="F298" s="26"/>
      <c r="G298" s="26"/>
      <c r="H298" s="26"/>
      <c r="I298" s="26"/>
      <c r="J298" s="26"/>
      <c r="K298" s="26"/>
      <c r="L298" s="26"/>
      <c r="M298" s="20"/>
      <c r="N298" s="26"/>
      <c r="O298" s="22"/>
      <c r="P298" s="21"/>
      <c r="Q298" s="23"/>
      <c r="R298" s="21"/>
      <c r="S298" s="21"/>
      <c r="T298" s="21"/>
      <c r="U298" s="21"/>
      <c r="V298" s="21"/>
      <c r="W298" s="24"/>
      <c r="X298" s="20"/>
      <c r="Y298" s="20"/>
      <c r="Z298" s="21"/>
      <c r="AA298" s="21"/>
      <c r="AB298" s="21"/>
      <c r="AC298" s="21"/>
      <c r="AD298" s="21"/>
      <c r="AE298" s="21"/>
      <c r="AF298" s="21"/>
      <c r="AG298" s="21"/>
      <c r="AH298" s="21"/>
      <c r="AI298" s="25"/>
      <c r="AJ298" s="20"/>
      <c r="AK298" s="21"/>
      <c r="AL298" s="20"/>
      <c r="AM298" s="20"/>
      <c r="AN298" s="20"/>
      <c r="AO298" s="20"/>
      <c r="AP298" s="446"/>
      <c r="AQ298" s="20"/>
      <c r="AR298" s="20"/>
      <c r="AS298" s="20"/>
      <c r="AT298" s="20"/>
      <c r="AU298" s="26"/>
      <c r="AV298" s="98"/>
      <c r="AW298" s="98"/>
      <c r="AX298" s="98"/>
      <c r="AY298" s="98"/>
      <c r="AZ298" s="98"/>
      <c r="BA298" s="217"/>
      <c r="BB298" s="98"/>
      <c r="BC298" s="98"/>
      <c r="BD298" s="98"/>
      <c r="BE298" s="98"/>
      <c r="BF298" s="98"/>
      <c r="BG298" s="219"/>
      <c r="BH298" s="219"/>
      <c r="BI298" s="219"/>
      <c r="BJ298" s="26"/>
      <c r="BK298" s="21"/>
      <c r="BL298" s="21"/>
      <c r="BM298" s="22"/>
      <c r="BN298" s="21"/>
      <c r="BO298" s="21"/>
      <c r="BP298" s="22"/>
      <c r="BQ298" s="21"/>
      <c r="BR298" s="21"/>
      <c r="BS298" s="22"/>
      <c r="BT29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98" s="109" t="str">
        <f>IF(ISNUMBER(tblParticipants[[#This Row],[SvcStartDate]]),IF(AND(tblParticipants[[#This Row],[EnrollQtr]]=1,tblParticipants[[#This Row],[SvcStartDate]]&lt;DATE(conProgYear,7,1)),1,""),"")</f>
        <v/>
      </c>
      <c r="BV29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98" s="232" t="str">
        <f t="shared" ca="1" si="4"/>
        <v/>
      </c>
      <c r="BX298" s="9">
        <f>IF(SUM(IF(tblParticipants[[#This Row],[AmIndOrAkNtv]]=1,1,0),IF(tblParticipants[[#This Row],[Asian]]=1,1,0),IF(tblParticipants[[#This Row],[BlkOrAfAmer]]=1,1,0),IF(tblParticipants[[#This Row],[NtvHawOrPacIsl]]=1,1,0),IF(tblParticipants[[#This Row],[White]]=1,1,0))&gt;1,1,0)</f>
        <v>0</v>
      </c>
      <c r="BY29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9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9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98" s="11">
        <f>IF(tblParticipants[[#This Row],[EarnWg2Qae]]=1,IFERROR(tblParticipants[[#This Row],[HoursPerWk2Qae]]*tblParticipants[[#This Row],[HrlyWg2Qae]]*13,0),0)</f>
        <v>0</v>
      </c>
      <c r="CC298" s="11">
        <f>IF(tblParticipants[[#This Row],[EarnWg3Qae]]=1,IFERROR(tblParticipants[[#This Row],[HoursPerWk3Qae]]*tblParticipants[[#This Row],[HrlyWg3Qae]]*13,0),0)</f>
        <v>0</v>
      </c>
      <c r="CD298" s="9">
        <f>IFERROR(IF(SUM(tblParticipants[[#This Row],[EarnWg1Qae]],tblParticipants[[#This Row],[EarnWg2Qae]],tblParticipants[[#This Row],[EarnWg3Qae]])=3,1,0),0)</f>
        <v>0</v>
      </c>
      <c r="CE298" s="12">
        <f>IF(tblParticipants[[#This Row],[EmplAll3Qae]]=1,tblParticipants[[#This Row],[Earnings2Qae]]+tblParticipants[[#This Row],[Earnings3Qae]],0)</f>
        <v>0</v>
      </c>
      <c r="CF298" s="407"/>
    </row>
    <row r="299" spans="1:84" x14ac:dyDescent="0.3">
      <c r="A299" s="19"/>
      <c r="B299" s="19"/>
      <c r="C299" s="20"/>
      <c r="D299" s="20"/>
      <c r="E299" s="26"/>
      <c r="F299" s="26"/>
      <c r="G299" s="26"/>
      <c r="H299" s="26"/>
      <c r="I299" s="26"/>
      <c r="J299" s="26"/>
      <c r="K299" s="26"/>
      <c r="L299" s="26"/>
      <c r="M299" s="20"/>
      <c r="N299" s="26"/>
      <c r="O299" s="22"/>
      <c r="P299" s="21"/>
      <c r="Q299" s="23"/>
      <c r="R299" s="21"/>
      <c r="S299" s="21"/>
      <c r="T299" s="21"/>
      <c r="U299" s="21"/>
      <c r="V299" s="21"/>
      <c r="W299" s="24"/>
      <c r="X299" s="20"/>
      <c r="Y299" s="20"/>
      <c r="Z299" s="21"/>
      <c r="AA299" s="21"/>
      <c r="AB299" s="21"/>
      <c r="AC299" s="21"/>
      <c r="AD299" s="21"/>
      <c r="AE299" s="21"/>
      <c r="AF299" s="21"/>
      <c r="AG299" s="21"/>
      <c r="AH299" s="21"/>
      <c r="AI299" s="25"/>
      <c r="AJ299" s="20"/>
      <c r="AK299" s="21"/>
      <c r="AL299" s="20"/>
      <c r="AM299" s="20"/>
      <c r="AN299" s="20"/>
      <c r="AO299" s="20"/>
      <c r="AP299" s="446"/>
      <c r="AQ299" s="20"/>
      <c r="AR299" s="20"/>
      <c r="AS299" s="20"/>
      <c r="AT299" s="20"/>
      <c r="AU299" s="26"/>
      <c r="AV299" s="98"/>
      <c r="AW299" s="98"/>
      <c r="AX299" s="98"/>
      <c r="AY299" s="98"/>
      <c r="AZ299" s="98"/>
      <c r="BA299" s="217"/>
      <c r="BB299" s="98"/>
      <c r="BC299" s="98"/>
      <c r="BD299" s="98"/>
      <c r="BE299" s="98"/>
      <c r="BF299" s="98"/>
      <c r="BG299" s="219"/>
      <c r="BH299" s="219"/>
      <c r="BI299" s="219"/>
      <c r="BJ299" s="26"/>
      <c r="BK299" s="21"/>
      <c r="BL299" s="21"/>
      <c r="BM299" s="22"/>
      <c r="BN299" s="21"/>
      <c r="BO299" s="21"/>
      <c r="BP299" s="22"/>
      <c r="BQ299" s="21"/>
      <c r="BR299" s="21"/>
      <c r="BS299" s="22"/>
      <c r="BT29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299" s="109" t="str">
        <f>IF(ISNUMBER(tblParticipants[[#This Row],[SvcStartDate]]),IF(AND(tblParticipants[[#This Row],[EnrollQtr]]=1,tblParticipants[[#This Row],[SvcStartDate]]&lt;DATE(conProgYear,7,1)),1,""),"")</f>
        <v/>
      </c>
      <c r="BV29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299" s="232" t="str">
        <f t="shared" ca="1" si="4"/>
        <v/>
      </c>
      <c r="BX299" s="9">
        <f>IF(SUM(IF(tblParticipants[[#This Row],[AmIndOrAkNtv]]=1,1,0),IF(tblParticipants[[#This Row],[Asian]]=1,1,0),IF(tblParticipants[[#This Row],[BlkOrAfAmer]]=1,1,0),IF(tblParticipants[[#This Row],[NtvHawOrPacIsl]]=1,1,0),IF(tblParticipants[[#This Row],[White]]=1,1,0))&gt;1,1,0)</f>
        <v>0</v>
      </c>
      <c r="BY29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29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29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299" s="11">
        <f>IF(tblParticipants[[#This Row],[EarnWg2Qae]]=1,IFERROR(tblParticipants[[#This Row],[HoursPerWk2Qae]]*tblParticipants[[#This Row],[HrlyWg2Qae]]*13,0),0)</f>
        <v>0</v>
      </c>
      <c r="CC299" s="11">
        <f>IF(tblParticipants[[#This Row],[EarnWg3Qae]]=1,IFERROR(tblParticipants[[#This Row],[HoursPerWk3Qae]]*tblParticipants[[#This Row],[HrlyWg3Qae]]*13,0),0)</f>
        <v>0</v>
      </c>
      <c r="CD299" s="9">
        <f>IFERROR(IF(SUM(tblParticipants[[#This Row],[EarnWg1Qae]],tblParticipants[[#This Row],[EarnWg2Qae]],tblParticipants[[#This Row],[EarnWg3Qae]])=3,1,0),0)</f>
        <v>0</v>
      </c>
      <c r="CE299" s="12">
        <f>IF(tblParticipants[[#This Row],[EmplAll3Qae]]=1,tblParticipants[[#This Row],[Earnings2Qae]]+tblParticipants[[#This Row],[Earnings3Qae]],0)</f>
        <v>0</v>
      </c>
      <c r="CF299" s="407"/>
    </row>
    <row r="300" spans="1:84" x14ac:dyDescent="0.3">
      <c r="A300" s="19"/>
      <c r="B300" s="19"/>
      <c r="C300" s="20"/>
      <c r="D300" s="20"/>
      <c r="E300" s="26"/>
      <c r="F300" s="26"/>
      <c r="G300" s="26"/>
      <c r="H300" s="26"/>
      <c r="I300" s="26"/>
      <c r="J300" s="26"/>
      <c r="K300" s="26"/>
      <c r="L300" s="26"/>
      <c r="M300" s="20"/>
      <c r="N300" s="26"/>
      <c r="O300" s="22"/>
      <c r="P300" s="21"/>
      <c r="Q300" s="23"/>
      <c r="R300" s="21"/>
      <c r="S300" s="21"/>
      <c r="T300" s="21"/>
      <c r="U300" s="21"/>
      <c r="V300" s="21"/>
      <c r="W300" s="24"/>
      <c r="X300" s="20"/>
      <c r="Y300" s="20"/>
      <c r="Z300" s="21"/>
      <c r="AA300" s="21"/>
      <c r="AB300" s="21"/>
      <c r="AC300" s="21"/>
      <c r="AD300" s="21"/>
      <c r="AE300" s="21"/>
      <c r="AF300" s="21"/>
      <c r="AG300" s="21"/>
      <c r="AH300" s="21"/>
      <c r="AI300" s="25"/>
      <c r="AJ300" s="20"/>
      <c r="AK300" s="21"/>
      <c r="AL300" s="20"/>
      <c r="AM300" s="20"/>
      <c r="AN300" s="20"/>
      <c r="AO300" s="20"/>
      <c r="AP300" s="446"/>
      <c r="AQ300" s="20"/>
      <c r="AR300" s="20"/>
      <c r="AS300" s="20"/>
      <c r="AT300" s="20"/>
      <c r="AU300" s="26"/>
      <c r="AV300" s="98"/>
      <c r="AW300" s="98"/>
      <c r="AX300" s="98"/>
      <c r="AY300" s="98"/>
      <c r="AZ300" s="98"/>
      <c r="BA300" s="217"/>
      <c r="BB300" s="98"/>
      <c r="BC300" s="98"/>
      <c r="BD300" s="98"/>
      <c r="BE300" s="98"/>
      <c r="BF300" s="98"/>
      <c r="BG300" s="219"/>
      <c r="BH300" s="219"/>
      <c r="BI300" s="219"/>
      <c r="BJ300" s="26"/>
      <c r="BK300" s="21"/>
      <c r="BL300" s="21"/>
      <c r="BM300" s="22"/>
      <c r="BN300" s="21"/>
      <c r="BO300" s="21"/>
      <c r="BP300" s="22"/>
      <c r="BQ300" s="21"/>
      <c r="BR300" s="21"/>
      <c r="BS300" s="22"/>
      <c r="BT30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00" s="109" t="str">
        <f>IF(ISNUMBER(tblParticipants[[#This Row],[SvcStartDate]]),IF(AND(tblParticipants[[#This Row],[EnrollQtr]]=1,tblParticipants[[#This Row],[SvcStartDate]]&lt;DATE(conProgYear,7,1)),1,""),"")</f>
        <v/>
      </c>
      <c r="BV30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00" s="232" t="str">
        <f t="shared" ca="1" si="4"/>
        <v/>
      </c>
      <c r="BX300" s="9">
        <f>IF(SUM(IF(tblParticipants[[#This Row],[AmIndOrAkNtv]]=1,1,0),IF(tblParticipants[[#This Row],[Asian]]=1,1,0),IF(tblParticipants[[#This Row],[BlkOrAfAmer]]=1,1,0),IF(tblParticipants[[#This Row],[NtvHawOrPacIsl]]=1,1,0),IF(tblParticipants[[#This Row],[White]]=1,1,0))&gt;1,1,0)</f>
        <v>0</v>
      </c>
      <c r="BY30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0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0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00" s="11">
        <f>IF(tblParticipants[[#This Row],[EarnWg2Qae]]=1,IFERROR(tblParticipants[[#This Row],[HoursPerWk2Qae]]*tblParticipants[[#This Row],[HrlyWg2Qae]]*13,0),0)</f>
        <v>0</v>
      </c>
      <c r="CC300" s="11">
        <f>IF(tblParticipants[[#This Row],[EarnWg3Qae]]=1,IFERROR(tblParticipants[[#This Row],[HoursPerWk3Qae]]*tblParticipants[[#This Row],[HrlyWg3Qae]]*13,0),0)</f>
        <v>0</v>
      </c>
      <c r="CD300" s="9">
        <f>IFERROR(IF(SUM(tblParticipants[[#This Row],[EarnWg1Qae]],tblParticipants[[#This Row],[EarnWg2Qae]],tblParticipants[[#This Row],[EarnWg3Qae]])=3,1,0),0)</f>
        <v>0</v>
      </c>
      <c r="CE300" s="12">
        <f>IF(tblParticipants[[#This Row],[EmplAll3Qae]]=1,tblParticipants[[#This Row],[Earnings2Qae]]+tblParticipants[[#This Row],[Earnings3Qae]],0)</f>
        <v>0</v>
      </c>
      <c r="CF300" s="407"/>
    </row>
    <row r="301" spans="1:84" x14ac:dyDescent="0.3">
      <c r="A301" s="19"/>
      <c r="B301" s="19"/>
      <c r="C301" s="20"/>
      <c r="D301" s="20"/>
      <c r="E301" s="26"/>
      <c r="F301" s="26"/>
      <c r="G301" s="26"/>
      <c r="H301" s="26"/>
      <c r="I301" s="26"/>
      <c r="J301" s="26"/>
      <c r="K301" s="26"/>
      <c r="L301" s="26"/>
      <c r="M301" s="20"/>
      <c r="N301" s="26"/>
      <c r="O301" s="22"/>
      <c r="P301" s="21"/>
      <c r="Q301" s="23"/>
      <c r="R301" s="21"/>
      <c r="S301" s="21"/>
      <c r="T301" s="21"/>
      <c r="U301" s="21"/>
      <c r="V301" s="21"/>
      <c r="W301" s="24"/>
      <c r="X301" s="20"/>
      <c r="Y301" s="20"/>
      <c r="Z301" s="21"/>
      <c r="AA301" s="21"/>
      <c r="AB301" s="21"/>
      <c r="AC301" s="21"/>
      <c r="AD301" s="21"/>
      <c r="AE301" s="21"/>
      <c r="AF301" s="21"/>
      <c r="AG301" s="21"/>
      <c r="AH301" s="21"/>
      <c r="AI301" s="25"/>
      <c r="AJ301" s="20"/>
      <c r="AK301" s="21"/>
      <c r="AL301" s="20"/>
      <c r="AM301" s="20"/>
      <c r="AN301" s="20"/>
      <c r="AO301" s="20"/>
      <c r="AP301" s="446"/>
      <c r="AQ301" s="20"/>
      <c r="AR301" s="20"/>
      <c r="AS301" s="20"/>
      <c r="AT301" s="20"/>
      <c r="AU301" s="26"/>
      <c r="AV301" s="98"/>
      <c r="AW301" s="98"/>
      <c r="AX301" s="98"/>
      <c r="AY301" s="98"/>
      <c r="AZ301" s="98"/>
      <c r="BA301" s="217"/>
      <c r="BB301" s="98"/>
      <c r="BC301" s="98"/>
      <c r="BD301" s="98"/>
      <c r="BE301" s="98"/>
      <c r="BF301" s="98"/>
      <c r="BG301" s="219"/>
      <c r="BH301" s="219"/>
      <c r="BI301" s="219"/>
      <c r="BJ301" s="26"/>
      <c r="BK301" s="21"/>
      <c r="BL301" s="21"/>
      <c r="BM301" s="22"/>
      <c r="BN301" s="21"/>
      <c r="BO301" s="21"/>
      <c r="BP301" s="22"/>
      <c r="BQ301" s="21"/>
      <c r="BR301" s="21"/>
      <c r="BS301" s="22"/>
      <c r="BT30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01" s="109" t="str">
        <f>IF(ISNUMBER(tblParticipants[[#This Row],[SvcStartDate]]),IF(AND(tblParticipants[[#This Row],[EnrollQtr]]=1,tblParticipants[[#This Row],[SvcStartDate]]&lt;DATE(conProgYear,7,1)),1,""),"")</f>
        <v/>
      </c>
      <c r="BV30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01" s="232" t="str">
        <f t="shared" ca="1" si="4"/>
        <v/>
      </c>
      <c r="BX301" s="9">
        <f>IF(SUM(IF(tblParticipants[[#This Row],[AmIndOrAkNtv]]=1,1,0),IF(tblParticipants[[#This Row],[Asian]]=1,1,0),IF(tblParticipants[[#This Row],[BlkOrAfAmer]]=1,1,0),IF(tblParticipants[[#This Row],[NtvHawOrPacIsl]]=1,1,0),IF(tblParticipants[[#This Row],[White]]=1,1,0))&gt;1,1,0)</f>
        <v>0</v>
      </c>
      <c r="BY30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0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0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01" s="11">
        <f>IF(tblParticipants[[#This Row],[EarnWg2Qae]]=1,IFERROR(tblParticipants[[#This Row],[HoursPerWk2Qae]]*tblParticipants[[#This Row],[HrlyWg2Qae]]*13,0),0)</f>
        <v>0</v>
      </c>
      <c r="CC301" s="11">
        <f>IF(tblParticipants[[#This Row],[EarnWg3Qae]]=1,IFERROR(tblParticipants[[#This Row],[HoursPerWk3Qae]]*tblParticipants[[#This Row],[HrlyWg3Qae]]*13,0),0)</f>
        <v>0</v>
      </c>
      <c r="CD301" s="9">
        <f>IFERROR(IF(SUM(tblParticipants[[#This Row],[EarnWg1Qae]],tblParticipants[[#This Row],[EarnWg2Qae]],tblParticipants[[#This Row],[EarnWg3Qae]])=3,1,0),0)</f>
        <v>0</v>
      </c>
      <c r="CE301" s="12">
        <f>IF(tblParticipants[[#This Row],[EmplAll3Qae]]=1,tblParticipants[[#This Row],[Earnings2Qae]]+tblParticipants[[#This Row],[Earnings3Qae]],0)</f>
        <v>0</v>
      </c>
      <c r="CF301" s="407"/>
    </row>
    <row r="302" spans="1:84" x14ac:dyDescent="0.3">
      <c r="A302" s="19"/>
      <c r="B302" s="19"/>
      <c r="C302" s="20"/>
      <c r="D302" s="20"/>
      <c r="E302" s="26"/>
      <c r="F302" s="26"/>
      <c r="G302" s="26"/>
      <c r="H302" s="26"/>
      <c r="I302" s="26"/>
      <c r="J302" s="26"/>
      <c r="K302" s="26"/>
      <c r="L302" s="26"/>
      <c r="M302" s="20"/>
      <c r="N302" s="26"/>
      <c r="O302" s="22"/>
      <c r="P302" s="21"/>
      <c r="Q302" s="23"/>
      <c r="R302" s="21"/>
      <c r="S302" s="21"/>
      <c r="T302" s="21"/>
      <c r="U302" s="21"/>
      <c r="V302" s="21"/>
      <c r="W302" s="24"/>
      <c r="X302" s="20"/>
      <c r="Y302" s="20"/>
      <c r="Z302" s="21"/>
      <c r="AA302" s="21"/>
      <c r="AB302" s="21"/>
      <c r="AC302" s="21"/>
      <c r="AD302" s="21"/>
      <c r="AE302" s="21"/>
      <c r="AF302" s="21"/>
      <c r="AG302" s="21"/>
      <c r="AH302" s="21"/>
      <c r="AI302" s="25"/>
      <c r="AJ302" s="20"/>
      <c r="AK302" s="21"/>
      <c r="AL302" s="20"/>
      <c r="AM302" s="20"/>
      <c r="AN302" s="20"/>
      <c r="AO302" s="20"/>
      <c r="AP302" s="446"/>
      <c r="AQ302" s="20"/>
      <c r="AR302" s="20"/>
      <c r="AS302" s="20"/>
      <c r="AT302" s="20"/>
      <c r="AU302" s="26"/>
      <c r="AV302" s="98"/>
      <c r="AW302" s="98"/>
      <c r="AX302" s="98"/>
      <c r="AY302" s="98"/>
      <c r="AZ302" s="98"/>
      <c r="BA302" s="217"/>
      <c r="BB302" s="98"/>
      <c r="BC302" s="98"/>
      <c r="BD302" s="98"/>
      <c r="BE302" s="98"/>
      <c r="BF302" s="98"/>
      <c r="BG302" s="219"/>
      <c r="BH302" s="219"/>
      <c r="BI302" s="219"/>
      <c r="BJ302" s="26"/>
      <c r="BK302" s="21"/>
      <c r="BL302" s="21"/>
      <c r="BM302" s="22"/>
      <c r="BN302" s="21"/>
      <c r="BO302" s="21"/>
      <c r="BP302" s="22"/>
      <c r="BQ302" s="21"/>
      <c r="BR302" s="21"/>
      <c r="BS302" s="22"/>
      <c r="BT30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02" s="109" t="str">
        <f>IF(ISNUMBER(tblParticipants[[#This Row],[SvcStartDate]]),IF(AND(tblParticipants[[#This Row],[EnrollQtr]]=1,tblParticipants[[#This Row],[SvcStartDate]]&lt;DATE(conProgYear,7,1)),1,""),"")</f>
        <v/>
      </c>
      <c r="BV30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02" s="232" t="str">
        <f t="shared" ca="1" si="4"/>
        <v/>
      </c>
      <c r="BX302" s="9">
        <f>IF(SUM(IF(tblParticipants[[#This Row],[AmIndOrAkNtv]]=1,1,0),IF(tblParticipants[[#This Row],[Asian]]=1,1,0),IF(tblParticipants[[#This Row],[BlkOrAfAmer]]=1,1,0),IF(tblParticipants[[#This Row],[NtvHawOrPacIsl]]=1,1,0),IF(tblParticipants[[#This Row],[White]]=1,1,0))&gt;1,1,0)</f>
        <v>0</v>
      </c>
      <c r="BY30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0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0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02" s="11">
        <f>IF(tblParticipants[[#This Row],[EarnWg2Qae]]=1,IFERROR(tblParticipants[[#This Row],[HoursPerWk2Qae]]*tblParticipants[[#This Row],[HrlyWg2Qae]]*13,0),0)</f>
        <v>0</v>
      </c>
      <c r="CC302" s="11">
        <f>IF(tblParticipants[[#This Row],[EarnWg3Qae]]=1,IFERROR(tblParticipants[[#This Row],[HoursPerWk3Qae]]*tblParticipants[[#This Row],[HrlyWg3Qae]]*13,0),0)</f>
        <v>0</v>
      </c>
      <c r="CD302" s="9">
        <f>IFERROR(IF(SUM(tblParticipants[[#This Row],[EarnWg1Qae]],tblParticipants[[#This Row],[EarnWg2Qae]],tblParticipants[[#This Row],[EarnWg3Qae]])=3,1,0),0)</f>
        <v>0</v>
      </c>
      <c r="CE302" s="12">
        <f>IF(tblParticipants[[#This Row],[EmplAll3Qae]]=1,tblParticipants[[#This Row],[Earnings2Qae]]+tblParticipants[[#This Row],[Earnings3Qae]],0)</f>
        <v>0</v>
      </c>
      <c r="CF302" s="407"/>
    </row>
    <row r="303" spans="1:84" x14ac:dyDescent="0.3">
      <c r="A303" s="19"/>
      <c r="B303" s="19"/>
      <c r="C303" s="20"/>
      <c r="D303" s="20"/>
      <c r="E303" s="26"/>
      <c r="F303" s="26"/>
      <c r="G303" s="26"/>
      <c r="H303" s="26"/>
      <c r="I303" s="26"/>
      <c r="J303" s="26"/>
      <c r="K303" s="26"/>
      <c r="L303" s="26"/>
      <c r="M303" s="20"/>
      <c r="N303" s="26"/>
      <c r="O303" s="22"/>
      <c r="P303" s="21"/>
      <c r="Q303" s="23"/>
      <c r="R303" s="21"/>
      <c r="S303" s="21"/>
      <c r="T303" s="21"/>
      <c r="U303" s="21"/>
      <c r="V303" s="21"/>
      <c r="W303" s="24"/>
      <c r="X303" s="20"/>
      <c r="Y303" s="20"/>
      <c r="Z303" s="21"/>
      <c r="AA303" s="21"/>
      <c r="AB303" s="21"/>
      <c r="AC303" s="21"/>
      <c r="AD303" s="21"/>
      <c r="AE303" s="21"/>
      <c r="AF303" s="21"/>
      <c r="AG303" s="21"/>
      <c r="AH303" s="21"/>
      <c r="AI303" s="25"/>
      <c r="AJ303" s="20"/>
      <c r="AK303" s="21"/>
      <c r="AL303" s="20"/>
      <c r="AM303" s="20"/>
      <c r="AN303" s="20"/>
      <c r="AO303" s="20"/>
      <c r="AP303" s="446"/>
      <c r="AQ303" s="20"/>
      <c r="AR303" s="20"/>
      <c r="AS303" s="20"/>
      <c r="AT303" s="20"/>
      <c r="AU303" s="26"/>
      <c r="AV303" s="98"/>
      <c r="AW303" s="98"/>
      <c r="AX303" s="98"/>
      <c r="AY303" s="98"/>
      <c r="AZ303" s="98"/>
      <c r="BA303" s="217"/>
      <c r="BB303" s="98"/>
      <c r="BC303" s="98"/>
      <c r="BD303" s="98"/>
      <c r="BE303" s="98"/>
      <c r="BF303" s="98"/>
      <c r="BG303" s="219"/>
      <c r="BH303" s="219"/>
      <c r="BI303" s="219"/>
      <c r="BJ303" s="26"/>
      <c r="BK303" s="21"/>
      <c r="BL303" s="21"/>
      <c r="BM303" s="22"/>
      <c r="BN303" s="21"/>
      <c r="BO303" s="21"/>
      <c r="BP303" s="22"/>
      <c r="BQ303" s="21"/>
      <c r="BR303" s="21"/>
      <c r="BS303" s="22"/>
      <c r="BT30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03" s="109" t="str">
        <f>IF(ISNUMBER(tblParticipants[[#This Row],[SvcStartDate]]),IF(AND(tblParticipants[[#This Row],[EnrollQtr]]=1,tblParticipants[[#This Row],[SvcStartDate]]&lt;DATE(conProgYear,7,1)),1,""),"")</f>
        <v/>
      </c>
      <c r="BV30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03" s="232" t="str">
        <f t="shared" ca="1" si="4"/>
        <v/>
      </c>
      <c r="BX303" s="9">
        <f>IF(SUM(IF(tblParticipants[[#This Row],[AmIndOrAkNtv]]=1,1,0),IF(tblParticipants[[#This Row],[Asian]]=1,1,0),IF(tblParticipants[[#This Row],[BlkOrAfAmer]]=1,1,0),IF(tblParticipants[[#This Row],[NtvHawOrPacIsl]]=1,1,0),IF(tblParticipants[[#This Row],[White]]=1,1,0))&gt;1,1,0)</f>
        <v>0</v>
      </c>
      <c r="BY30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0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0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03" s="11">
        <f>IF(tblParticipants[[#This Row],[EarnWg2Qae]]=1,IFERROR(tblParticipants[[#This Row],[HoursPerWk2Qae]]*tblParticipants[[#This Row],[HrlyWg2Qae]]*13,0),0)</f>
        <v>0</v>
      </c>
      <c r="CC303" s="11">
        <f>IF(tblParticipants[[#This Row],[EarnWg3Qae]]=1,IFERROR(tblParticipants[[#This Row],[HoursPerWk3Qae]]*tblParticipants[[#This Row],[HrlyWg3Qae]]*13,0),0)</f>
        <v>0</v>
      </c>
      <c r="CD303" s="9">
        <f>IFERROR(IF(SUM(tblParticipants[[#This Row],[EarnWg1Qae]],tblParticipants[[#This Row],[EarnWg2Qae]],tblParticipants[[#This Row],[EarnWg3Qae]])=3,1,0),0)</f>
        <v>0</v>
      </c>
      <c r="CE303" s="12">
        <f>IF(tblParticipants[[#This Row],[EmplAll3Qae]]=1,tblParticipants[[#This Row],[Earnings2Qae]]+tblParticipants[[#This Row],[Earnings3Qae]],0)</f>
        <v>0</v>
      </c>
      <c r="CF303" s="407"/>
    </row>
    <row r="304" spans="1:84" x14ac:dyDescent="0.3">
      <c r="A304" s="19"/>
      <c r="B304" s="19"/>
      <c r="C304" s="20"/>
      <c r="D304" s="20"/>
      <c r="E304" s="26"/>
      <c r="F304" s="26"/>
      <c r="G304" s="26"/>
      <c r="H304" s="26"/>
      <c r="I304" s="26"/>
      <c r="J304" s="26"/>
      <c r="K304" s="26"/>
      <c r="L304" s="26"/>
      <c r="M304" s="20"/>
      <c r="N304" s="26"/>
      <c r="O304" s="22"/>
      <c r="P304" s="21"/>
      <c r="Q304" s="23"/>
      <c r="R304" s="21"/>
      <c r="S304" s="21"/>
      <c r="T304" s="21"/>
      <c r="U304" s="21"/>
      <c r="V304" s="21"/>
      <c r="W304" s="24"/>
      <c r="X304" s="20"/>
      <c r="Y304" s="20"/>
      <c r="Z304" s="21"/>
      <c r="AA304" s="21"/>
      <c r="AB304" s="21"/>
      <c r="AC304" s="21"/>
      <c r="AD304" s="21"/>
      <c r="AE304" s="21"/>
      <c r="AF304" s="21"/>
      <c r="AG304" s="21"/>
      <c r="AH304" s="21"/>
      <c r="AI304" s="25"/>
      <c r="AJ304" s="20"/>
      <c r="AK304" s="21"/>
      <c r="AL304" s="20"/>
      <c r="AM304" s="20"/>
      <c r="AN304" s="20"/>
      <c r="AO304" s="20"/>
      <c r="AP304" s="446"/>
      <c r="AQ304" s="20"/>
      <c r="AR304" s="20"/>
      <c r="AS304" s="20"/>
      <c r="AT304" s="20"/>
      <c r="AU304" s="26"/>
      <c r="AV304" s="98"/>
      <c r="AW304" s="98"/>
      <c r="AX304" s="98"/>
      <c r="AY304" s="98"/>
      <c r="AZ304" s="98"/>
      <c r="BA304" s="217"/>
      <c r="BB304" s="98"/>
      <c r="BC304" s="98"/>
      <c r="BD304" s="98"/>
      <c r="BE304" s="98"/>
      <c r="BF304" s="98"/>
      <c r="BG304" s="219"/>
      <c r="BH304" s="219"/>
      <c r="BI304" s="219"/>
      <c r="BJ304" s="26"/>
      <c r="BK304" s="21"/>
      <c r="BL304" s="21"/>
      <c r="BM304" s="22"/>
      <c r="BN304" s="21"/>
      <c r="BO304" s="21"/>
      <c r="BP304" s="22"/>
      <c r="BQ304" s="21"/>
      <c r="BR304" s="21"/>
      <c r="BS304" s="22"/>
      <c r="BT30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04" s="109" t="str">
        <f>IF(ISNUMBER(tblParticipants[[#This Row],[SvcStartDate]]),IF(AND(tblParticipants[[#This Row],[EnrollQtr]]=1,tblParticipants[[#This Row],[SvcStartDate]]&lt;DATE(conProgYear,7,1)),1,""),"")</f>
        <v/>
      </c>
      <c r="BV30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04" s="232" t="str">
        <f t="shared" ca="1" si="4"/>
        <v/>
      </c>
      <c r="BX304" s="9">
        <f>IF(SUM(IF(tblParticipants[[#This Row],[AmIndOrAkNtv]]=1,1,0),IF(tblParticipants[[#This Row],[Asian]]=1,1,0),IF(tblParticipants[[#This Row],[BlkOrAfAmer]]=1,1,0),IF(tblParticipants[[#This Row],[NtvHawOrPacIsl]]=1,1,0),IF(tblParticipants[[#This Row],[White]]=1,1,0))&gt;1,1,0)</f>
        <v>0</v>
      </c>
      <c r="BY30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0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0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04" s="11">
        <f>IF(tblParticipants[[#This Row],[EarnWg2Qae]]=1,IFERROR(tblParticipants[[#This Row],[HoursPerWk2Qae]]*tblParticipants[[#This Row],[HrlyWg2Qae]]*13,0),0)</f>
        <v>0</v>
      </c>
      <c r="CC304" s="11">
        <f>IF(tblParticipants[[#This Row],[EarnWg3Qae]]=1,IFERROR(tblParticipants[[#This Row],[HoursPerWk3Qae]]*tblParticipants[[#This Row],[HrlyWg3Qae]]*13,0),0)</f>
        <v>0</v>
      </c>
      <c r="CD304" s="9">
        <f>IFERROR(IF(SUM(tblParticipants[[#This Row],[EarnWg1Qae]],tblParticipants[[#This Row],[EarnWg2Qae]],tblParticipants[[#This Row],[EarnWg3Qae]])=3,1,0),0)</f>
        <v>0</v>
      </c>
      <c r="CE304" s="12">
        <f>IF(tblParticipants[[#This Row],[EmplAll3Qae]]=1,tblParticipants[[#This Row],[Earnings2Qae]]+tblParticipants[[#This Row],[Earnings3Qae]],0)</f>
        <v>0</v>
      </c>
      <c r="CF304" s="407"/>
    </row>
    <row r="305" spans="1:84" x14ac:dyDescent="0.3">
      <c r="A305" s="19"/>
      <c r="B305" s="19"/>
      <c r="C305" s="20"/>
      <c r="D305" s="20"/>
      <c r="E305" s="26"/>
      <c r="F305" s="26"/>
      <c r="G305" s="26"/>
      <c r="H305" s="26"/>
      <c r="I305" s="26"/>
      <c r="J305" s="26"/>
      <c r="K305" s="26"/>
      <c r="L305" s="26"/>
      <c r="M305" s="20"/>
      <c r="N305" s="26"/>
      <c r="O305" s="22"/>
      <c r="P305" s="21"/>
      <c r="Q305" s="23"/>
      <c r="R305" s="21"/>
      <c r="S305" s="21"/>
      <c r="T305" s="21"/>
      <c r="U305" s="21"/>
      <c r="V305" s="21"/>
      <c r="W305" s="24"/>
      <c r="X305" s="20"/>
      <c r="Y305" s="20"/>
      <c r="Z305" s="21"/>
      <c r="AA305" s="21"/>
      <c r="AB305" s="21"/>
      <c r="AC305" s="21"/>
      <c r="AD305" s="21"/>
      <c r="AE305" s="21"/>
      <c r="AF305" s="21"/>
      <c r="AG305" s="21"/>
      <c r="AH305" s="21"/>
      <c r="AI305" s="25"/>
      <c r="AJ305" s="20"/>
      <c r="AK305" s="21"/>
      <c r="AL305" s="20"/>
      <c r="AM305" s="20"/>
      <c r="AN305" s="20"/>
      <c r="AO305" s="20"/>
      <c r="AP305" s="446"/>
      <c r="AQ305" s="20"/>
      <c r="AR305" s="20"/>
      <c r="AS305" s="20"/>
      <c r="AT305" s="20"/>
      <c r="AU305" s="26"/>
      <c r="AV305" s="98"/>
      <c r="AW305" s="98"/>
      <c r="AX305" s="98"/>
      <c r="AY305" s="98"/>
      <c r="AZ305" s="98"/>
      <c r="BA305" s="217"/>
      <c r="BB305" s="98"/>
      <c r="BC305" s="98"/>
      <c r="BD305" s="98"/>
      <c r="BE305" s="98"/>
      <c r="BF305" s="98"/>
      <c r="BG305" s="219"/>
      <c r="BH305" s="219"/>
      <c r="BI305" s="219"/>
      <c r="BJ305" s="26"/>
      <c r="BK305" s="21"/>
      <c r="BL305" s="21"/>
      <c r="BM305" s="22"/>
      <c r="BN305" s="21"/>
      <c r="BO305" s="21"/>
      <c r="BP305" s="22"/>
      <c r="BQ305" s="21"/>
      <c r="BR305" s="21"/>
      <c r="BS305" s="22"/>
      <c r="BT30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05" s="109" t="str">
        <f>IF(ISNUMBER(tblParticipants[[#This Row],[SvcStartDate]]),IF(AND(tblParticipants[[#This Row],[EnrollQtr]]=1,tblParticipants[[#This Row],[SvcStartDate]]&lt;DATE(conProgYear,7,1)),1,""),"")</f>
        <v/>
      </c>
      <c r="BV30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05" s="232" t="str">
        <f t="shared" ca="1" si="4"/>
        <v/>
      </c>
      <c r="BX305" s="9">
        <f>IF(SUM(IF(tblParticipants[[#This Row],[AmIndOrAkNtv]]=1,1,0),IF(tblParticipants[[#This Row],[Asian]]=1,1,0),IF(tblParticipants[[#This Row],[BlkOrAfAmer]]=1,1,0),IF(tblParticipants[[#This Row],[NtvHawOrPacIsl]]=1,1,0),IF(tblParticipants[[#This Row],[White]]=1,1,0))&gt;1,1,0)</f>
        <v>0</v>
      </c>
      <c r="BY30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0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0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05" s="11">
        <f>IF(tblParticipants[[#This Row],[EarnWg2Qae]]=1,IFERROR(tblParticipants[[#This Row],[HoursPerWk2Qae]]*tblParticipants[[#This Row],[HrlyWg2Qae]]*13,0),0)</f>
        <v>0</v>
      </c>
      <c r="CC305" s="11">
        <f>IF(tblParticipants[[#This Row],[EarnWg3Qae]]=1,IFERROR(tblParticipants[[#This Row],[HoursPerWk3Qae]]*tblParticipants[[#This Row],[HrlyWg3Qae]]*13,0),0)</f>
        <v>0</v>
      </c>
      <c r="CD305" s="9">
        <f>IFERROR(IF(SUM(tblParticipants[[#This Row],[EarnWg1Qae]],tblParticipants[[#This Row],[EarnWg2Qae]],tblParticipants[[#This Row],[EarnWg3Qae]])=3,1,0),0)</f>
        <v>0</v>
      </c>
      <c r="CE305" s="12">
        <f>IF(tblParticipants[[#This Row],[EmplAll3Qae]]=1,tblParticipants[[#This Row],[Earnings2Qae]]+tblParticipants[[#This Row],[Earnings3Qae]],0)</f>
        <v>0</v>
      </c>
      <c r="CF305" s="407"/>
    </row>
    <row r="306" spans="1:84" x14ac:dyDescent="0.3">
      <c r="A306" s="19"/>
      <c r="B306" s="19"/>
      <c r="C306" s="20"/>
      <c r="D306" s="20"/>
      <c r="E306" s="26"/>
      <c r="F306" s="26"/>
      <c r="G306" s="26"/>
      <c r="H306" s="26"/>
      <c r="I306" s="26"/>
      <c r="J306" s="26"/>
      <c r="K306" s="26"/>
      <c r="L306" s="26"/>
      <c r="M306" s="20"/>
      <c r="N306" s="26"/>
      <c r="O306" s="22"/>
      <c r="P306" s="21"/>
      <c r="Q306" s="23"/>
      <c r="R306" s="21"/>
      <c r="S306" s="21"/>
      <c r="T306" s="21"/>
      <c r="U306" s="21"/>
      <c r="V306" s="21"/>
      <c r="W306" s="24"/>
      <c r="X306" s="20"/>
      <c r="Y306" s="20"/>
      <c r="Z306" s="21"/>
      <c r="AA306" s="21"/>
      <c r="AB306" s="21"/>
      <c r="AC306" s="21"/>
      <c r="AD306" s="21"/>
      <c r="AE306" s="21"/>
      <c r="AF306" s="21"/>
      <c r="AG306" s="21"/>
      <c r="AH306" s="21"/>
      <c r="AI306" s="25"/>
      <c r="AJ306" s="20"/>
      <c r="AK306" s="21"/>
      <c r="AL306" s="20"/>
      <c r="AM306" s="20"/>
      <c r="AN306" s="20"/>
      <c r="AO306" s="20"/>
      <c r="AP306" s="446"/>
      <c r="AQ306" s="20"/>
      <c r="AR306" s="20"/>
      <c r="AS306" s="20"/>
      <c r="AT306" s="20"/>
      <c r="AU306" s="26"/>
      <c r="AV306" s="98"/>
      <c r="AW306" s="98"/>
      <c r="AX306" s="98"/>
      <c r="AY306" s="98"/>
      <c r="AZ306" s="98"/>
      <c r="BA306" s="217"/>
      <c r="BB306" s="98"/>
      <c r="BC306" s="98"/>
      <c r="BD306" s="98"/>
      <c r="BE306" s="98"/>
      <c r="BF306" s="98"/>
      <c r="BG306" s="219"/>
      <c r="BH306" s="219"/>
      <c r="BI306" s="219"/>
      <c r="BJ306" s="26"/>
      <c r="BK306" s="21"/>
      <c r="BL306" s="21"/>
      <c r="BM306" s="22"/>
      <c r="BN306" s="21"/>
      <c r="BO306" s="21"/>
      <c r="BP306" s="22"/>
      <c r="BQ306" s="21"/>
      <c r="BR306" s="21"/>
      <c r="BS306" s="22"/>
      <c r="BT30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06" s="109" t="str">
        <f>IF(ISNUMBER(tblParticipants[[#This Row],[SvcStartDate]]),IF(AND(tblParticipants[[#This Row],[EnrollQtr]]=1,tblParticipants[[#This Row],[SvcStartDate]]&lt;DATE(conProgYear,7,1)),1,""),"")</f>
        <v/>
      </c>
      <c r="BV30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06" s="232" t="str">
        <f t="shared" ca="1" si="4"/>
        <v/>
      </c>
      <c r="BX306" s="9">
        <f>IF(SUM(IF(tblParticipants[[#This Row],[AmIndOrAkNtv]]=1,1,0),IF(tblParticipants[[#This Row],[Asian]]=1,1,0),IF(tblParticipants[[#This Row],[BlkOrAfAmer]]=1,1,0),IF(tblParticipants[[#This Row],[NtvHawOrPacIsl]]=1,1,0),IF(tblParticipants[[#This Row],[White]]=1,1,0))&gt;1,1,0)</f>
        <v>0</v>
      </c>
      <c r="BY30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0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0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06" s="11">
        <f>IF(tblParticipants[[#This Row],[EarnWg2Qae]]=1,IFERROR(tblParticipants[[#This Row],[HoursPerWk2Qae]]*tblParticipants[[#This Row],[HrlyWg2Qae]]*13,0),0)</f>
        <v>0</v>
      </c>
      <c r="CC306" s="11">
        <f>IF(tblParticipants[[#This Row],[EarnWg3Qae]]=1,IFERROR(tblParticipants[[#This Row],[HoursPerWk3Qae]]*tblParticipants[[#This Row],[HrlyWg3Qae]]*13,0),0)</f>
        <v>0</v>
      </c>
      <c r="CD306" s="9">
        <f>IFERROR(IF(SUM(tblParticipants[[#This Row],[EarnWg1Qae]],tblParticipants[[#This Row],[EarnWg2Qae]],tblParticipants[[#This Row],[EarnWg3Qae]])=3,1,0),0)</f>
        <v>0</v>
      </c>
      <c r="CE306" s="12">
        <f>IF(tblParticipants[[#This Row],[EmplAll3Qae]]=1,tblParticipants[[#This Row],[Earnings2Qae]]+tblParticipants[[#This Row],[Earnings3Qae]],0)</f>
        <v>0</v>
      </c>
      <c r="CF306" s="407"/>
    </row>
    <row r="307" spans="1:84" x14ac:dyDescent="0.3">
      <c r="A307" s="19"/>
      <c r="B307" s="19"/>
      <c r="C307" s="20"/>
      <c r="D307" s="20"/>
      <c r="E307" s="26"/>
      <c r="F307" s="26"/>
      <c r="G307" s="26"/>
      <c r="H307" s="26"/>
      <c r="I307" s="26"/>
      <c r="J307" s="26"/>
      <c r="K307" s="26"/>
      <c r="L307" s="26"/>
      <c r="M307" s="20"/>
      <c r="N307" s="26"/>
      <c r="O307" s="22"/>
      <c r="P307" s="21"/>
      <c r="Q307" s="23"/>
      <c r="R307" s="21"/>
      <c r="S307" s="21"/>
      <c r="T307" s="21"/>
      <c r="U307" s="21"/>
      <c r="V307" s="21"/>
      <c r="W307" s="24"/>
      <c r="X307" s="20"/>
      <c r="Y307" s="20"/>
      <c r="Z307" s="21"/>
      <c r="AA307" s="21"/>
      <c r="AB307" s="21"/>
      <c r="AC307" s="21"/>
      <c r="AD307" s="21"/>
      <c r="AE307" s="21"/>
      <c r="AF307" s="21"/>
      <c r="AG307" s="21"/>
      <c r="AH307" s="21"/>
      <c r="AI307" s="25"/>
      <c r="AJ307" s="20"/>
      <c r="AK307" s="21"/>
      <c r="AL307" s="20"/>
      <c r="AM307" s="20"/>
      <c r="AN307" s="20"/>
      <c r="AO307" s="20"/>
      <c r="AP307" s="446"/>
      <c r="AQ307" s="20"/>
      <c r="AR307" s="20"/>
      <c r="AS307" s="20"/>
      <c r="AT307" s="20"/>
      <c r="AU307" s="26"/>
      <c r="AV307" s="98"/>
      <c r="AW307" s="98"/>
      <c r="AX307" s="98"/>
      <c r="AY307" s="98"/>
      <c r="AZ307" s="98"/>
      <c r="BA307" s="217"/>
      <c r="BB307" s="98"/>
      <c r="BC307" s="98"/>
      <c r="BD307" s="98"/>
      <c r="BE307" s="98"/>
      <c r="BF307" s="98"/>
      <c r="BG307" s="219"/>
      <c r="BH307" s="219"/>
      <c r="BI307" s="219"/>
      <c r="BJ307" s="26"/>
      <c r="BK307" s="21"/>
      <c r="BL307" s="21"/>
      <c r="BM307" s="22"/>
      <c r="BN307" s="21"/>
      <c r="BO307" s="21"/>
      <c r="BP307" s="22"/>
      <c r="BQ307" s="21"/>
      <c r="BR307" s="21"/>
      <c r="BS307" s="22"/>
      <c r="BT30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07" s="109" t="str">
        <f>IF(ISNUMBER(tblParticipants[[#This Row],[SvcStartDate]]),IF(AND(tblParticipants[[#This Row],[EnrollQtr]]=1,tblParticipants[[#This Row],[SvcStartDate]]&lt;DATE(conProgYear,7,1)),1,""),"")</f>
        <v/>
      </c>
      <c r="BV30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07" s="232" t="str">
        <f t="shared" ca="1" si="4"/>
        <v/>
      </c>
      <c r="BX307" s="9">
        <f>IF(SUM(IF(tblParticipants[[#This Row],[AmIndOrAkNtv]]=1,1,0),IF(tblParticipants[[#This Row],[Asian]]=1,1,0),IF(tblParticipants[[#This Row],[BlkOrAfAmer]]=1,1,0),IF(tblParticipants[[#This Row],[NtvHawOrPacIsl]]=1,1,0),IF(tblParticipants[[#This Row],[White]]=1,1,0))&gt;1,1,0)</f>
        <v>0</v>
      </c>
      <c r="BY30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0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0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07" s="11">
        <f>IF(tblParticipants[[#This Row],[EarnWg2Qae]]=1,IFERROR(tblParticipants[[#This Row],[HoursPerWk2Qae]]*tblParticipants[[#This Row],[HrlyWg2Qae]]*13,0),0)</f>
        <v>0</v>
      </c>
      <c r="CC307" s="11">
        <f>IF(tblParticipants[[#This Row],[EarnWg3Qae]]=1,IFERROR(tblParticipants[[#This Row],[HoursPerWk3Qae]]*tblParticipants[[#This Row],[HrlyWg3Qae]]*13,0),0)</f>
        <v>0</v>
      </c>
      <c r="CD307" s="9">
        <f>IFERROR(IF(SUM(tblParticipants[[#This Row],[EarnWg1Qae]],tblParticipants[[#This Row],[EarnWg2Qae]],tblParticipants[[#This Row],[EarnWg3Qae]])=3,1,0),0)</f>
        <v>0</v>
      </c>
      <c r="CE307" s="12">
        <f>IF(tblParticipants[[#This Row],[EmplAll3Qae]]=1,tblParticipants[[#This Row],[Earnings2Qae]]+tblParticipants[[#This Row],[Earnings3Qae]],0)</f>
        <v>0</v>
      </c>
      <c r="CF307" s="407"/>
    </row>
    <row r="308" spans="1:84" x14ac:dyDescent="0.3">
      <c r="A308" s="19"/>
      <c r="B308" s="19"/>
      <c r="C308" s="20"/>
      <c r="D308" s="20"/>
      <c r="E308" s="26"/>
      <c r="F308" s="26"/>
      <c r="G308" s="26"/>
      <c r="H308" s="26"/>
      <c r="I308" s="26"/>
      <c r="J308" s="26"/>
      <c r="K308" s="26"/>
      <c r="L308" s="26"/>
      <c r="M308" s="20"/>
      <c r="N308" s="26"/>
      <c r="O308" s="22"/>
      <c r="P308" s="21"/>
      <c r="Q308" s="23"/>
      <c r="R308" s="21"/>
      <c r="S308" s="21"/>
      <c r="T308" s="21"/>
      <c r="U308" s="21"/>
      <c r="V308" s="21"/>
      <c r="W308" s="24"/>
      <c r="X308" s="20"/>
      <c r="Y308" s="20"/>
      <c r="Z308" s="21"/>
      <c r="AA308" s="21"/>
      <c r="AB308" s="21"/>
      <c r="AC308" s="21"/>
      <c r="AD308" s="21"/>
      <c r="AE308" s="21"/>
      <c r="AF308" s="21"/>
      <c r="AG308" s="21"/>
      <c r="AH308" s="21"/>
      <c r="AI308" s="25"/>
      <c r="AJ308" s="20"/>
      <c r="AK308" s="21"/>
      <c r="AL308" s="20"/>
      <c r="AM308" s="20"/>
      <c r="AN308" s="20"/>
      <c r="AO308" s="20"/>
      <c r="AP308" s="446"/>
      <c r="AQ308" s="20"/>
      <c r="AR308" s="20"/>
      <c r="AS308" s="20"/>
      <c r="AT308" s="20"/>
      <c r="AU308" s="26"/>
      <c r="AV308" s="98"/>
      <c r="AW308" s="98"/>
      <c r="AX308" s="98"/>
      <c r="AY308" s="98"/>
      <c r="AZ308" s="98"/>
      <c r="BA308" s="217"/>
      <c r="BB308" s="98"/>
      <c r="BC308" s="98"/>
      <c r="BD308" s="98"/>
      <c r="BE308" s="98"/>
      <c r="BF308" s="98"/>
      <c r="BG308" s="219"/>
      <c r="BH308" s="219"/>
      <c r="BI308" s="219"/>
      <c r="BJ308" s="26"/>
      <c r="BK308" s="21"/>
      <c r="BL308" s="21"/>
      <c r="BM308" s="22"/>
      <c r="BN308" s="21"/>
      <c r="BO308" s="21"/>
      <c r="BP308" s="22"/>
      <c r="BQ308" s="21"/>
      <c r="BR308" s="21"/>
      <c r="BS308" s="22"/>
      <c r="BT30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08" s="109" t="str">
        <f>IF(ISNUMBER(tblParticipants[[#This Row],[SvcStartDate]]),IF(AND(tblParticipants[[#This Row],[EnrollQtr]]=1,tblParticipants[[#This Row],[SvcStartDate]]&lt;DATE(conProgYear,7,1)),1,""),"")</f>
        <v/>
      </c>
      <c r="BV30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08" s="232" t="str">
        <f t="shared" ca="1" si="4"/>
        <v/>
      </c>
      <c r="BX308" s="9">
        <f>IF(SUM(IF(tblParticipants[[#This Row],[AmIndOrAkNtv]]=1,1,0),IF(tblParticipants[[#This Row],[Asian]]=1,1,0),IF(tblParticipants[[#This Row],[BlkOrAfAmer]]=1,1,0),IF(tblParticipants[[#This Row],[NtvHawOrPacIsl]]=1,1,0),IF(tblParticipants[[#This Row],[White]]=1,1,0))&gt;1,1,0)</f>
        <v>0</v>
      </c>
      <c r="BY30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0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0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08" s="11">
        <f>IF(tblParticipants[[#This Row],[EarnWg2Qae]]=1,IFERROR(tblParticipants[[#This Row],[HoursPerWk2Qae]]*tblParticipants[[#This Row],[HrlyWg2Qae]]*13,0),0)</f>
        <v>0</v>
      </c>
      <c r="CC308" s="11">
        <f>IF(tblParticipants[[#This Row],[EarnWg3Qae]]=1,IFERROR(tblParticipants[[#This Row],[HoursPerWk3Qae]]*tblParticipants[[#This Row],[HrlyWg3Qae]]*13,0),0)</f>
        <v>0</v>
      </c>
      <c r="CD308" s="9">
        <f>IFERROR(IF(SUM(tblParticipants[[#This Row],[EarnWg1Qae]],tblParticipants[[#This Row],[EarnWg2Qae]],tblParticipants[[#This Row],[EarnWg3Qae]])=3,1,0),0)</f>
        <v>0</v>
      </c>
      <c r="CE308" s="12">
        <f>IF(tblParticipants[[#This Row],[EmplAll3Qae]]=1,tblParticipants[[#This Row],[Earnings2Qae]]+tblParticipants[[#This Row],[Earnings3Qae]],0)</f>
        <v>0</v>
      </c>
      <c r="CF308" s="407"/>
    </row>
    <row r="309" spans="1:84" x14ac:dyDescent="0.3">
      <c r="A309" s="19"/>
      <c r="B309" s="19"/>
      <c r="C309" s="20"/>
      <c r="D309" s="20"/>
      <c r="E309" s="26"/>
      <c r="F309" s="26"/>
      <c r="G309" s="26"/>
      <c r="H309" s="26"/>
      <c r="I309" s="26"/>
      <c r="J309" s="26"/>
      <c r="K309" s="26"/>
      <c r="L309" s="26"/>
      <c r="M309" s="20"/>
      <c r="N309" s="26"/>
      <c r="O309" s="22"/>
      <c r="P309" s="21"/>
      <c r="Q309" s="23"/>
      <c r="R309" s="21"/>
      <c r="S309" s="21"/>
      <c r="T309" s="21"/>
      <c r="U309" s="21"/>
      <c r="V309" s="21"/>
      <c r="W309" s="24"/>
      <c r="X309" s="20"/>
      <c r="Y309" s="20"/>
      <c r="Z309" s="21"/>
      <c r="AA309" s="21"/>
      <c r="AB309" s="21"/>
      <c r="AC309" s="21"/>
      <c r="AD309" s="21"/>
      <c r="AE309" s="21"/>
      <c r="AF309" s="21"/>
      <c r="AG309" s="21"/>
      <c r="AH309" s="21"/>
      <c r="AI309" s="25"/>
      <c r="AJ309" s="20"/>
      <c r="AK309" s="21"/>
      <c r="AL309" s="20"/>
      <c r="AM309" s="20"/>
      <c r="AN309" s="20"/>
      <c r="AO309" s="20"/>
      <c r="AP309" s="446"/>
      <c r="AQ309" s="20"/>
      <c r="AR309" s="20"/>
      <c r="AS309" s="20"/>
      <c r="AT309" s="20"/>
      <c r="AU309" s="26"/>
      <c r="AV309" s="98"/>
      <c r="AW309" s="98"/>
      <c r="AX309" s="98"/>
      <c r="AY309" s="98"/>
      <c r="AZ309" s="98"/>
      <c r="BA309" s="217"/>
      <c r="BB309" s="98"/>
      <c r="BC309" s="98"/>
      <c r="BD309" s="98"/>
      <c r="BE309" s="98"/>
      <c r="BF309" s="98"/>
      <c r="BG309" s="219"/>
      <c r="BH309" s="219"/>
      <c r="BI309" s="219"/>
      <c r="BJ309" s="26"/>
      <c r="BK309" s="21"/>
      <c r="BL309" s="21"/>
      <c r="BM309" s="22"/>
      <c r="BN309" s="21"/>
      <c r="BO309" s="21"/>
      <c r="BP309" s="22"/>
      <c r="BQ309" s="21"/>
      <c r="BR309" s="21"/>
      <c r="BS309" s="22"/>
      <c r="BT30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09" s="109" t="str">
        <f>IF(ISNUMBER(tblParticipants[[#This Row],[SvcStartDate]]),IF(AND(tblParticipants[[#This Row],[EnrollQtr]]=1,tblParticipants[[#This Row],[SvcStartDate]]&lt;DATE(conProgYear,7,1)),1,""),"")</f>
        <v/>
      </c>
      <c r="BV30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09" s="232" t="str">
        <f t="shared" ca="1" si="4"/>
        <v/>
      </c>
      <c r="BX309" s="9">
        <f>IF(SUM(IF(tblParticipants[[#This Row],[AmIndOrAkNtv]]=1,1,0),IF(tblParticipants[[#This Row],[Asian]]=1,1,0),IF(tblParticipants[[#This Row],[BlkOrAfAmer]]=1,1,0),IF(tblParticipants[[#This Row],[NtvHawOrPacIsl]]=1,1,0),IF(tblParticipants[[#This Row],[White]]=1,1,0))&gt;1,1,0)</f>
        <v>0</v>
      </c>
      <c r="BY30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0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0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09" s="11">
        <f>IF(tblParticipants[[#This Row],[EarnWg2Qae]]=1,IFERROR(tblParticipants[[#This Row],[HoursPerWk2Qae]]*tblParticipants[[#This Row],[HrlyWg2Qae]]*13,0),0)</f>
        <v>0</v>
      </c>
      <c r="CC309" s="11">
        <f>IF(tblParticipants[[#This Row],[EarnWg3Qae]]=1,IFERROR(tblParticipants[[#This Row],[HoursPerWk3Qae]]*tblParticipants[[#This Row],[HrlyWg3Qae]]*13,0),0)</f>
        <v>0</v>
      </c>
      <c r="CD309" s="9">
        <f>IFERROR(IF(SUM(tblParticipants[[#This Row],[EarnWg1Qae]],tblParticipants[[#This Row],[EarnWg2Qae]],tblParticipants[[#This Row],[EarnWg3Qae]])=3,1,0),0)</f>
        <v>0</v>
      </c>
      <c r="CE309" s="12">
        <f>IF(tblParticipants[[#This Row],[EmplAll3Qae]]=1,tblParticipants[[#This Row],[Earnings2Qae]]+tblParticipants[[#This Row],[Earnings3Qae]],0)</f>
        <v>0</v>
      </c>
      <c r="CF309" s="407"/>
    </row>
    <row r="310" spans="1:84" x14ac:dyDescent="0.3">
      <c r="A310" s="19"/>
      <c r="B310" s="19"/>
      <c r="C310" s="20"/>
      <c r="D310" s="20"/>
      <c r="E310" s="26"/>
      <c r="F310" s="26"/>
      <c r="G310" s="26"/>
      <c r="H310" s="26"/>
      <c r="I310" s="26"/>
      <c r="J310" s="26"/>
      <c r="K310" s="26"/>
      <c r="L310" s="26"/>
      <c r="M310" s="20"/>
      <c r="N310" s="26"/>
      <c r="O310" s="22"/>
      <c r="P310" s="21"/>
      <c r="Q310" s="23"/>
      <c r="R310" s="21"/>
      <c r="S310" s="21"/>
      <c r="T310" s="21"/>
      <c r="U310" s="21"/>
      <c r="V310" s="21"/>
      <c r="W310" s="24"/>
      <c r="X310" s="20"/>
      <c r="Y310" s="20"/>
      <c r="Z310" s="21"/>
      <c r="AA310" s="21"/>
      <c r="AB310" s="21"/>
      <c r="AC310" s="21"/>
      <c r="AD310" s="21"/>
      <c r="AE310" s="21"/>
      <c r="AF310" s="21"/>
      <c r="AG310" s="21"/>
      <c r="AH310" s="21"/>
      <c r="AI310" s="25"/>
      <c r="AJ310" s="20"/>
      <c r="AK310" s="21"/>
      <c r="AL310" s="20"/>
      <c r="AM310" s="20"/>
      <c r="AN310" s="20"/>
      <c r="AO310" s="20"/>
      <c r="AP310" s="446"/>
      <c r="AQ310" s="20"/>
      <c r="AR310" s="20"/>
      <c r="AS310" s="20"/>
      <c r="AT310" s="20"/>
      <c r="AU310" s="26"/>
      <c r="AV310" s="98"/>
      <c r="AW310" s="98"/>
      <c r="AX310" s="98"/>
      <c r="AY310" s="98"/>
      <c r="AZ310" s="98"/>
      <c r="BA310" s="217"/>
      <c r="BB310" s="98"/>
      <c r="BC310" s="98"/>
      <c r="BD310" s="98"/>
      <c r="BE310" s="98"/>
      <c r="BF310" s="98"/>
      <c r="BG310" s="219"/>
      <c r="BH310" s="219"/>
      <c r="BI310" s="219"/>
      <c r="BJ310" s="26"/>
      <c r="BK310" s="21"/>
      <c r="BL310" s="21"/>
      <c r="BM310" s="22"/>
      <c r="BN310" s="21"/>
      <c r="BO310" s="21"/>
      <c r="BP310" s="22"/>
      <c r="BQ310" s="21"/>
      <c r="BR310" s="21"/>
      <c r="BS310" s="22"/>
      <c r="BT31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10" s="109" t="str">
        <f>IF(ISNUMBER(tblParticipants[[#This Row],[SvcStartDate]]),IF(AND(tblParticipants[[#This Row],[EnrollQtr]]=1,tblParticipants[[#This Row],[SvcStartDate]]&lt;DATE(conProgYear,7,1)),1,""),"")</f>
        <v/>
      </c>
      <c r="BV31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10" s="232" t="str">
        <f t="shared" ca="1" si="4"/>
        <v/>
      </c>
      <c r="BX310" s="9">
        <f>IF(SUM(IF(tblParticipants[[#This Row],[AmIndOrAkNtv]]=1,1,0),IF(tblParticipants[[#This Row],[Asian]]=1,1,0),IF(tblParticipants[[#This Row],[BlkOrAfAmer]]=1,1,0),IF(tblParticipants[[#This Row],[NtvHawOrPacIsl]]=1,1,0),IF(tblParticipants[[#This Row],[White]]=1,1,0))&gt;1,1,0)</f>
        <v>0</v>
      </c>
      <c r="BY31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1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1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10" s="11">
        <f>IF(tblParticipants[[#This Row],[EarnWg2Qae]]=1,IFERROR(tblParticipants[[#This Row],[HoursPerWk2Qae]]*tblParticipants[[#This Row],[HrlyWg2Qae]]*13,0),0)</f>
        <v>0</v>
      </c>
      <c r="CC310" s="11">
        <f>IF(tblParticipants[[#This Row],[EarnWg3Qae]]=1,IFERROR(tblParticipants[[#This Row],[HoursPerWk3Qae]]*tblParticipants[[#This Row],[HrlyWg3Qae]]*13,0),0)</f>
        <v>0</v>
      </c>
      <c r="CD310" s="9">
        <f>IFERROR(IF(SUM(tblParticipants[[#This Row],[EarnWg1Qae]],tblParticipants[[#This Row],[EarnWg2Qae]],tblParticipants[[#This Row],[EarnWg3Qae]])=3,1,0),0)</f>
        <v>0</v>
      </c>
      <c r="CE310" s="12">
        <f>IF(tblParticipants[[#This Row],[EmplAll3Qae]]=1,tblParticipants[[#This Row],[Earnings2Qae]]+tblParticipants[[#This Row],[Earnings3Qae]],0)</f>
        <v>0</v>
      </c>
      <c r="CF310" s="407"/>
    </row>
    <row r="311" spans="1:84" x14ac:dyDescent="0.3">
      <c r="A311" s="19"/>
      <c r="B311" s="19"/>
      <c r="C311" s="20"/>
      <c r="D311" s="20"/>
      <c r="E311" s="26"/>
      <c r="F311" s="26"/>
      <c r="G311" s="26"/>
      <c r="H311" s="26"/>
      <c r="I311" s="26"/>
      <c r="J311" s="26"/>
      <c r="K311" s="26"/>
      <c r="L311" s="26"/>
      <c r="M311" s="20"/>
      <c r="N311" s="26"/>
      <c r="O311" s="22"/>
      <c r="P311" s="21"/>
      <c r="Q311" s="23"/>
      <c r="R311" s="21"/>
      <c r="S311" s="21"/>
      <c r="T311" s="21"/>
      <c r="U311" s="21"/>
      <c r="V311" s="21"/>
      <c r="W311" s="24"/>
      <c r="X311" s="20"/>
      <c r="Y311" s="20"/>
      <c r="Z311" s="21"/>
      <c r="AA311" s="21"/>
      <c r="AB311" s="21"/>
      <c r="AC311" s="21"/>
      <c r="AD311" s="21"/>
      <c r="AE311" s="21"/>
      <c r="AF311" s="21"/>
      <c r="AG311" s="21"/>
      <c r="AH311" s="21"/>
      <c r="AI311" s="25"/>
      <c r="AJ311" s="20"/>
      <c r="AK311" s="21"/>
      <c r="AL311" s="20"/>
      <c r="AM311" s="20"/>
      <c r="AN311" s="20"/>
      <c r="AO311" s="20"/>
      <c r="AP311" s="446"/>
      <c r="AQ311" s="20"/>
      <c r="AR311" s="20"/>
      <c r="AS311" s="20"/>
      <c r="AT311" s="20"/>
      <c r="AU311" s="26"/>
      <c r="AV311" s="98"/>
      <c r="AW311" s="98"/>
      <c r="AX311" s="98"/>
      <c r="AY311" s="98"/>
      <c r="AZ311" s="98"/>
      <c r="BA311" s="217"/>
      <c r="BB311" s="98"/>
      <c r="BC311" s="98"/>
      <c r="BD311" s="98"/>
      <c r="BE311" s="98"/>
      <c r="BF311" s="98"/>
      <c r="BG311" s="219"/>
      <c r="BH311" s="219"/>
      <c r="BI311" s="219"/>
      <c r="BJ311" s="26"/>
      <c r="BK311" s="21"/>
      <c r="BL311" s="21"/>
      <c r="BM311" s="22"/>
      <c r="BN311" s="21"/>
      <c r="BO311" s="21"/>
      <c r="BP311" s="22"/>
      <c r="BQ311" s="21"/>
      <c r="BR311" s="21"/>
      <c r="BS311" s="22"/>
      <c r="BT31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11" s="109" t="str">
        <f>IF(ISNUMBER(tblParticipants[[#This Row],[SvcStartDate]]),IF(AND(tblParticipants[[#This Row],[EnrollQtr]]=1,tblParticipants[[#This Row],[SvcStartDate]]&lt;DATE(conProgYear,7,1)),1,""),"")</f>
        <v/>
      </c>
      <c r="BV31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11" s="232" t="str">
        <f t="shared" ca="1" si="4"/>
        <v/>
      </c>
      <c r="BX311" s="9">
        <f>IF(SUM(IF(tblParticipants[[#This Row],[AmIndOrAkNtv]]=1,1,0),IF(tblParticipants[[#This Row],[Asian]]=1,1,0),IF(tblParticipants[[#This Row],[BlkOrAfAmer]]=1,1,0),IF(tblParticipants[[#This Row],[NtvHawOrPacIsl]]=1,1,0),IF(tblParticipants[[#This Row],[White]]=1,1,0))&gt;1,1,0)</f>
        <v>0</v>
      </c>
      <c r="BY31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1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1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11" s="11">
        <f>IF(tblParticipants[[#This Row],[EarnWg2Qae]]=1,IFERROR(tblParticipants[[#This Row],[HoursPerWk2Qae]]*tblParticipants[[#This Row],[HrlyWg2Qae]]*13,0),0)</f>
        <v>0</v>
      </c>
      <c r="CC311" s="11">
        <f>IF(tblParticipants[[#This Row],[EarnWg3Qae]]=1,IFERROR(tblParticipants[[#This Row],[HoursPerWk3Qae]]*tblParticipants[[#This Row],[HrlyWg3Qae]]*13,0),0)</f>
        <v>0</v>
      </c>
      <c r="CD311" s="9">
        <f>IFERROR(IF(SUM(tblParticipants[[#This Row],[EarnWg1Qae]],tblParticipants[[#This Row],[EarnWg2Qae]],tblParticipants[[#This Row],[EarnWg3Qae]])=3,1,0),0)</f>
        <v>0</v>
      </c>
      <c r="CE311" s="12">
        <f>IF(tblParticipants[[#This Row],[EmplAll3Qae]]=1,tblParticipants[[#This Row],[Earnings2Qae]]+tblParticipants[[#This Row],[Earnings3Qae]],0)</f>
        <v>0</v>
      </c>
      <c r="CF311" s="407"/>
    </row>
    <row r="312" spans="1:84" x14ac:dyDescent="0.3">
      <c r="A312" s="19"/>
      <c r="B312" s="19"/>
      <c r="C312" s="20"/>
      <c r="D312" s="20"/>
      <c r="E312" s="26"/>
      <c r="F312" s="26"/>
      <c r="G312" s="26"/>
      <c r="H312" s="26"/>
      <c r="I312" s="26"/>
      <c r="J312" s="26"/>
      <c r="K312" s="26"/>
      <c r="L312" s="26"/>
      <c r="M312" s="20"/>
      <c r="N312" s="26"/>
      <c r="O312" s="22"/>
      <c r="P312" s="21"/>
      <c r="Q312" s="23"/>
      <c r="R312" s="21"/>
      <c r="S312" s="21"/>
      <c r="T312" s="21"/>
      <c r="U312" s="21"/>
      <c r="V312" s="21"/>
      <c r="W312" s="24"/>
      <c r="X312" s="20"/>
      <c r="Y312" s="20"/>
      <c r="Z312" s="21"/>
      <c r="AA312" s="21"/>
      <c r="AB312" s="21"/>
      <c r="AC312" s="21"/>
      <c r="AD312" s="21"/>
      <c r="AE312" s="21"/>
      <c r="AF312" s="21"/>
      <c r="AG312" s="21"/>
      <c r="AH312" s="21"/>
      <c r="AI312" s="25"/>
      <c r="AJ312" s="20"/>
      <c r="AK312" s="21"/>
      <c r="AL312" s="20"/>
      <c r="AM312" s="20"/>
      <c r="AN312" s="20"/>
      <c r="AO312" s="20"/>
      <c r="AP312" s="446"/>
      <c r="AQ312" s="20"/>
      <c r="AR312" s="20"/>
      <c r="AS312" s="20"/>
      <c r="AT312" s="20"/>
      <c r="AU312" s="26"/>
      <c r="AV312" s="98"/>
      <c r="AW312" s="98"/>
      <c r="AX312" s="98"/>
      <c r="AY312" s="98"/>
      <c r="AZ312" s="98"/>
      <c r="BA312" s="217"/>
      <c r="BB312" s="98"/>
      <c r="BC312" s="98"/>
      <c r="BD312" s="98"/>
      <c r="BE312" s="98"/>
      <c r="BF312" s="98"/>
      <c r="BG312" s="219"/>
      <c r="BH312" s="219"/>
      <c r="BI312" s="219"/>
      <c r="BJ312" s="26"/>
      <c r="BK312" s="21"/>
      <c r="BL312" s="21"/>
      <c r="BM312" s="22"/>
      <c r="BN312" s="21"/>
      <c r="BO312" s="21"/>
      <c r="BP312" s="22"/>
      <c r="BQ312" s="21"/>
      <c r="BR312" s="21"/>
      <c r="BS312" s="22"/>
      <c r="BT31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12" s="109" t="str">
        <f>IF(ISNUMBER(tblParticipants[[#This Row],[SvcStartDate]]),IF(AND(tblParticipants[[#This Row],[EnrollQtr]]=1,tblParticipants[[#This Row],[SvcStartDate]]&lt;DATE(conProgYear,7,1)),1,""),"")</f>
        <v/>
      </c>
      <c r="BV31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12" s="232" t="str">
        <f t="shared" ca="1" si="4"/>
        <v/>
      </c>
      <c r="BX312" s="9">
        <f>IF(SUM(IF(tblParticipants[[#This Row],[AmIndOrAkNtv]]=1,1,0),IF(tblParticipants[[#This Row],[Asian]]=1,1,0),IF(tblParticipants[[#This Row],[BlkOrAfAmer]]=1,1,0),IF(tblParticipants[[#This Row],[NtvHawOrPacIsl]]=1,1,0),IF(tblParticipants[[#This Row],[White]]=1,1,0))&gt;1,1,0)</f>
        <v>0</v>
      </c>
      <c r="BY31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1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1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12" s="11">
        <f>IF(tblParticipants[[#This Row],[EarnWg2Qae]]=1,IFERROR(tblParticipants[[#This Row],[HoursPerWk2Qae]]*tblParticipants[[#This Row],[HrlyWg2Qae]]*13,0),0)</f>
        <v>0</v>
      </c>
      <c r="CC312" s="11">
        <f>IF(tblParticipants[[#This Row],[EarnWg3Qae]]=1,IFERROR(tblParticipants[[#This Row],[HoursPerWk3Qae]]*tblParticipants[[#This Row],[HrlyWg3Qae]]*13,0),0)</f>
        <v>0</v>
      </c>
      <c r="CD312" s="9">
        <f>IFERROR(IF(SUM(tblParticipants[[#This Row],[EarnWg1Qae]],tblParticipants[[#This Row],[EarnWg2Qae]],tblParticipants[[#This Row],[EarnWg3Qae]])=3,1,0),0)</f>
        <v>0</v>
      </c>
      <c r="CE312" s="12">
        <f>IF(tblParticipants[[#This Row],[EmplAll3Qae]]=1,tblParticipants[[#This Row],[Earnings2Qae]]+tblParticipants[[#This Row],[Earnings3Qae]],0)</f>
        <v>0</v>
      </c>
      <c r="CF312" s="407"/>
    </row>
    <row r="313" spans="1:84" x14ac:dyDescent="0.3">
      <c r="A313" s="19"/>
      <c r="B313" s="19"/>
      <c r="C313" s="20"/>
      <c r="D313" s="20"/>
      <c r="E313" s="26"/>
      <c r="F313" s="26"/>
      <c r="G313" s="26"/>
      <c r="H313" s="26"/>
      <c r="I313" s="26"/>
      <c r="J313" s="26"/>
      <c r="K313" s="26"/>
      <c r="L313" s="26"/>
      <c r="M313" s="20"/>
      <c r="N313" s="26"/>
      <c r="O313" s="22"/>
      <c r="P313" s="21"/>
      <c r="Q313" s="23"/>
      <c r="R313" s="21"/>
      <c r="S313" s="21"/>
      <c r="T313" s="21"/>
      <c r="U313" s="21"/>
      <c r="V313" s="21"/>
      <c r="W313" s="24"/>
      <c r="X313" s="20"/>
      <c r="Y313" s="20"/>
      <c r="Z313" s="21"/>
      <c r="AA313" s="21"/>
      <c r="AB313" s="21"/>
      <c r="AC313" s="21"/>
      <c r="AD313" s="21"/>
      <c r="AE313" s="21"/>
      <c r="AF313" s="21"/>
      <c r="AG313" s="21"/>
      <c r="AH313" s="21"/>
      <c r="AI313" s="25"/>
      <c r="AJ313" s="20"/>
      <c r="AK313" s="21"/>
      <c r="AL313" s="20"/>
      <c r="AM313" s="20"/>
      <c r="AN313" s="20"/>
      <c r="AO313" s="20"/>
      <c r="AP313" s="446"/>
      <c r="AQ313" s="20"/>
      <c r="AR313" s="20"/>
      <c r="AS313" s="20"/>
      <c r="AT313" s="20"/>
      <c r="AU313" s="26"/>
      <c r="AV313" s="98"/>
      <c r="AW313" s="98"/>
      <c r="AX313" s="98"/>
      <c r="AY313" s="98"/>
      <c r="AZ313" s="98"/>
      <c r="BA313" s="217"/>
      <c r="BB313" s="98"/>
      <c r="BC313" s="98"/>
      <c r="BD313" s="98"/>
      <c r="BE313" s="98"/>
      <c r="BF313" s="98"/>
      <c r="BG313" s="219"/>
      <c r="BH313" s="219"/>
      <c r="BI313" s="219"/>
      <c r="BJ313" s="26"/>
      <c r="BK313" s="21"/>
      <c r="BL313" s="21"/>
      <c r="BM313" s="22"/>
      <c r="BN313" s="21"/>
      <c r="BO313" s="21"/>
      <c r="BP313" s="22"/>
      <c r="BQ313" s="21"/>
      <c r="BR313" s="21"/>
      <c r="BS313" s="22"/>
      <c r="BT31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13" s="109" t="str">
        <f>IF(ISNUMBER(tblParticipants[[#This Row],[SvcStartDate]]),IF(AND(tblParticipants[[#This Row],[EnrollQtr]]=1,tblParticipants[[#This Row],[SvcStartDate]]&lt;DATE(conProgYear,7,1)),1,""),"")</f>
        <v/>
      </c>
      <c r="BV31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13" s="232" t="str">
        <f t="shared" ca="1" si="4"/>
        <v/>
      </c>
      <c r="BX313" s="9">
        <f>IF(SUM(IF(tblParticipants[[#This Row],[AmIndOrAkNtv]]=1,1,0),IF(tblParticipants[[#This Row],[Asian]]=1,1,0),IF(tblParticipants[[#This Row],[BlkOrAfAmer]]=1,1,0),IF(tblParticipants[[#This Row],[NtvHawOrPacIsl]]=1,1,0),IF(tblParticipants[[#This Row],[White]]=1,1,0))&gt;1,1,0)</f>
        <v>0</v>
      </c>
      <c r="BY31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1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1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13" s="11">
        <f>IF(tblParticipants[[#This Row],[EarnWg2Qae]]=1,IFERROR(tblParticipants[[#This Row],[HoursPerWk2Qae]]*tblParticipants[[#This Row],[HrlyWg2Qae]]*13,0),0)</f>
        <v>0</v>
      </c>
      <c r="CC313" s="11">
        <f>IF(tblParticipants[[#This Row],[EarnWg3Qae]]=1,IFERROR(tblParticipants[[#This Row],[HoursPerWk3Qae]]*tblParticipants[[#This Row],[HrlyWg3Qae]]*13,0),0)</f>
        <v>0</v>
      </c>
      <c r="CD313" s="9">
        <f>IFERROR(IF(SUM(tblParticipants[[#This Row],[EarnWg1Qae]],tblParticipants[[#This Row],[EarnWg2Qae]],tblParticipants[[#This Row],[EarnWg3Qae]])=3,1,0),0)</f>
        <v>0</v>
      </c>
      <c r="CE313" s="12">
        <f>IF(tblParticipants[[#This Row],[EmplAll3Qae]]=1,tblParticipants[[#This Row],[Earnings2Qae]]+tblParticipants[[#This Row],[Earnings3Qae]],0)</f>
        <v>0</v>
      </c>
      <c r="CF313" s="407"/>
    </row>
    <row r="314" spans="1:84" x14ac:dyDescent="0.3">
      <c r="A314" s="19"/>
      <c r="B314" s="19"/>
      <c r="C314" s="20"/>
      <c r="D314" s="20"/>
      <c r="E314" s="26"/>
      <c r="F314" s="26"/>
      <c r="G314" s="26"/>
      <c r="H314" s="26"/>
      <c r="I314" s="26"/>
      <c r="J314" s="26"/>
      <c r="K314" s="26"/>
      <c r="L314" s="26"/>
      <c r="M314" s="20"/>
      <c r="N314" s="26"/>
      <c r="O314" s="22"/>
      <c r="P314" s="21"/>
      <c r="Q314" s="23"/>
      <c r="R314" s="21"/>
      <c r="S314" s="21"/>
      <c r="T314" s="21"/>
      <c r="U314" s="21"/>
      <c r="V314" s="21"/>
      <c r="W314" s="24"/>
      <c r="X314" s="20"/>
      <c r="Y314" s="20"/>
      <c r="Z314" s="21"/>
      <c r="AA314" s="21"/>
      <c r="AB314" s="21"/>
      <c r="AC314" s="21"/>
      <c r="AD314" s="21"/>
      <c r="AE314" s="21"/>
      <c r="AF314" s="21"/>
      <c r="AG314" s="21"/>
      <c r="AH314" s="21"/>
      <c r="AI314" s="25"/>
      <c r="AJ314" s="20"/>
      <c r="AK314" s="21"/>
      <c r="AL314" s="20"/>
      <c r="AM314" s="20"/>
      <c r="AN314" s="20"/>
      <c r="AO314" s="20"/>
      <c r="AP314" s="446"/>
      <c r="AQ314" s="20"/>
      <c r="AR314" s="20"/>
      <c r="AS314" s="20"/>
      <c r="AT314" s="20"/>
      <c r="AU314" s="26"/>
      <c r="AV314" s="98"/>
      <c r="AW314" s="98"/>
      <c r="AX314" s="98"/>
      <c r="AY314" s="98"/>
      <c r="AZ314" s="98"/>
      <c r="BA314" s="217"/>
      <c r="BB314" s="98"/>
      <c r="BC314" s="98"/>
      <c r="BD314" s="98"/>
      <c r="BE314" s="98"/>
      <c r="BF314" s="98"/>
      <c r="BG314" s="219"/>
      <c r="BH314" s="219"/>
      <c r="BI314" s="219"/>
      <c r="BJ314" s="26"/>
      <c r="BK314" s="21"/>
      <c r="BL314" s="21"/>
      <c r="BM314" s="22"/>
      <c r="BN314" s="21"/>
      <c r="BO314" s="21"/>
      <c r="BP314" s="22"/>
      <c r="BQ314" s="21"/>
      <c r="BR314" s="21"/>
      <c r="BS314" s="22"/>
      <c r="BT31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14" s="109" t="str">
        <f>IF(ISNUMBER(tblParticipants[[#This Row],[SvcStartDate]]),IF(AND(tblParticipants[[#This Row],[EnrollQtr]]=1,tblParticipants[[#This Row],[SvcStartDate]]&lt;DATE(conProgYear,7,1)),1,""),"")</f>
        <v/>
      </c>
      <c r="BV31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14" s="232" t="str">
        <f t="shared" ca="1" si="4"/>
        <v/>
      </c>
      <c r="BX314" s="9">
        <f>IF(SUM(IF(tblParticipants[[#This Row],[AmIndOrAkNtv]]=1,1,0),IF(tblParticipants[[#This Row],[Asian]]=1,1,0),IF(tblParticipants[[#This Row],[BlkOrAfAmer]]=1,1,0),IF(tblParticipants[[#This Row],[NtvHawOrPacIsl]]=1,1,0),IF(tblParticipants[[#This Row],[White]]=1,1,0))&gt;1,1,0)</f>
        <v>0</v>
      </c>
      <c r="BY31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1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1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14" s="11">
        <f>IF(tblParticipants[[#This Row],[EarnWg2Qae]]=1,IFERROR(tblParticipants[[#This Row],[HoursPerWk2Qae]]*tblParticipants[[#This Row],[HrlyWg2Qae]]*13,0),0)</f>
        <v>0</v>
      </c>
      <c r="CC314" s="11">
        <f>IF(tblParticipants[[#This Row],[EarnWg3Qae]]=1,IFERROR(tblParticipants[[#This Row],[HoursPerWk3Qae]]*tblParticipants[[#This Row],[HrlyWg3Qae]]*13,0),0)</f>
        <v>0</v>
      </c>
      <c r="CD314" s="9">
        <f>IFERROR(IF(SUM(tblParticipants[[#This Row],[EarnWg1Qae]],tblParticipants[[#This Row],[EarnWg2Qae]],tblParticipants[[#This Row],[EarnWg3Qae]])=3,1,0),0)</f>
        <v>0</v>
      </c>
      <c r="CE314" s="12">
        <f>IF(tblParticipants[[#This Row],[EmplAll3Qae]]=1,tblParticipants[[#This Row],[Earnings2Qae]]+tblParticipants[[#This Row],[Earnings3Qae]],0)</f>
        <v>0</v>
      </c>
      <c r="CF314" s="407"/>
    </row>
    <row r="315" spans="1:84" x14ac:dyDescent="0.3">
      <c r="A315" s="19"/>
      <c r="B315" s="19"/>
      <c r="C315" s="20"/>
      <c r="D315" s="20"/>
      <c r="E315" s="26"/>
      <c r="F315" s="26"/>
      <c r="G315" s="26"/>
      <c r="H315" s="26"/>
      <c r="I315" s="26"/>
      <c r="J315" s="26"/>
      <c r="K315" s="26"/>
      <c r="L315" s="26"/>
      <c r="M315" s="20"/>
      <c r="N315" s="26"/>
      <c r="O315" s="22"/>
      <c r="P315" s="21"/>
      <c r="Q315" s="23"/>
      <c r="R315" s="21"/>
      <c r="S315" s="21"/>
      <c r="T315" s="21"/>
      <c r="U315" s="21"/>
      <c r="V315" s="21"/>
      <c r="W315" s="24"/>
      <c r="X315" s="20"/>
      <c r="Y315" s="20"/>
      <c r="Z315" s="21"/>
      <c r="AA315" s="21"/>
      <c r="AB315" s="21"/>
      <c r="AC315" s="21"/>
      <c r="AD315" s="21"/>
      <c r="AE315" s="21"/>
      <c r="AF315" s="21"/>
      <c r="AG315" s="21"/>
      <c r="AH315" s="21"/>
      <c r="AI315" s="25"/>
      <c r="AJ315" s="20"/>
      <c r="AK315" s="21"/>
      <c r="AL315" s="20"/>
      <c r="AM315" s="20"/>
      <c r="AN315" s="20"/>
      <c r="AO315" s="20"/>
      <c r="AP315" s="446"/>
      <c r="AQ315" s="20"/>
      <c r="AR315" s="20"/>
      <c r="AS315" s="20"/>
      <c r="AT315" s="20"/>
      <c r="AU315" s="26"/>
      <c r="AV315" s="98"/>
      <c r="AW315" s="98"/>
      <c r="AX315" s="98"/>
      <c r="AY315" s="98"/>
      <c r="AZ315" s="98"/>
      <c r="BA315" s="217"/>
      <c r="BB315" s="98"/>
      <c r="BC315" s="98"/>
      <c r="BD315" s="98"/>
      <c r="BE315" s="98"/>
      <c r="BF315" s="98"/>
      <c r="BG315" s="219"/>
      <c r="BH315" s="219"/>
      <c r="BI315" s="219"/>
      <c r="BJ315" s="26"/>
      <c r="BK315" s="21"/>
      <c r="BL315" s="21"/>
      <c r="BM315" s="22"/>
      <c r="BN315" s="21"/>
      <c r="BO315" s="21"/>
      <c r="BP315" s="22"/>
      <c r="BQ315" s="21"/>
      <c r="BR315" s="21"/>
      <c r="BS315" s="22"/>
      <c r="BT31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15" s="109" t="str">
        <f>IF(ISNUMBER(tblParticipants[[#This Row],[SvcStartDate]]),IF(AND(tblParticipants[[#This Row],[EnrollQtr]]=1,tblParticipants[[#This Row],[SvcStartDate]]&lt;DATE(conProgYear,7,1)),1,""),"")</f>
        <v/>
      </c>
      <c r="BV31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15" s="232" t="str">
        <f t="shared" ca="1" si="4"/>
        <v/>
      </c>
      <c r="BX315" s="9">
        <f>IF(SUM(IF(tblParticipants[[#This Row],[AmIndOrAkNtv]]=1,1,0),IF(tblParticipants[[#This Row],[Asian]]=1,1,0),IF(tblParticipants[[#This Row],[BlkOrAfAmer]]=1,1,0),IF(tblParticipants[[#This Row],[NtvHawOrPacIsl]]=1,1,0),IF(tblParticipants[[#This Row],[White]]=1,1,0))&gt;1,1,0)</f>
        <v>0</v>
      </c>
      <c r="BY31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1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1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15" s="11">
        <f>IF(tblParticipants[[#This Row],[EarnWg2Qae]]=1,IFERROR(tblParticipants[[#This Row],[HoursPerWk2Qae]]*tblParticipants[[#This Row],[HrlyWg2Qae]]*13,0),0)</f>
        <v>0</v>
      </c>
      <c r="CC315" s="11">
        <f>IF(tblParticipants[[#This Row],[EarnWg3Qae]]=1,IFERROR(tblParticipants[[#This Row],[HoursPerWk3Qae]]*tblParticipants[[#This Row],[HrlyWg3Qae]]*13,0),0)</f>
        <v>0</v>
      </c>
      <c r="CD315" s="9">
        <f>IFERROR(IF(SUM(tblParticipants[[#This Row],[EarnWg1Qae]],tblParticipants[[#This Row],[EarnWg2Qae]],tblParticipants[[#This Row],[EarnWg3Qae]])=3,1,0),0)</f>
        <v>0</v>
      </c>
      <c r="CE315" s="12">
        <f>IF(tblParticipants[[#This Row],[EmplAll3Qae]]=1,tblParticipants[[#This Row],[Earnings2Qae]]+tblParticipants[[#This Row],[Earnings3Qae]],0)</f>
        <v>0</v>
      </c>
      <c r="CF315" s="407"/>
    </row>
    <row r="316" spans="1:84" x14ac:dyDescent="0.3">
      <c r="A316" s="19"/>
      <c r="B316" s="19"/>
      <c r="C316" s="20"/>
      <c r="D316" s="20"/>
      <c r="E316" s="26"/>
      <c r="F316" s="26"/>
      <c r="G316" s="26"/>
      <c r="H316" s="26"/>
      <c r="I316" s="26"/>
      <c r="J316" s="26"/>
      <c r="K316" s="26"/>
      <c r="L316" s="26"/>
      <c r="M316" s="20"/>
      <c r="N316" s="26"/>
      <c r="O316" s="22"/>
      <c r="P316" s="21"/>
      <c r="Q316" s="23"/>
      <c r="R316" s="21"/>
      <c r="S316" s="21"/>
      <c r="T316" s="21"/>
      <c r="U316" s="21"/>
      <c r="V316" s="21"/>
      <c r="W316" s="24"/>
      <c r="X316" s="20"/>
      <c r="Y316" s="20"/>
      <c r="Z316" s="21"/>
      <c r="AA316" s="21"/>
      <c r="AB316" s="21"/>
      <c r="AC316" s="21"/>
      <c r="AD316" s="21"/>
      <c r="AE316" s="21"/>
      <c r="AF316" s="21"/>
      <c r="AG316" s="21"/>
      <c r="AH316" s="21"/>
      <c r="AI316" s="25"/>
      <c r="AJ316" s="20"/>
      <c r="AK316" s="21"/>
      <c r="AL316" s="20"/>
      <c r="AM316" s="20"/>
      <c r="AN316" s="20"/>
      <c r="AO316" s="20"/>
      <c r="AP316" s="446"/>
      <c r="AQ316" s="20"/>
      <c r="AR316" s="20"/>
      <c r="AS316" s="20"/>
      <c r="AT316" s="20"/>
      <c r="AU316" s="26"/>
      <c r="AV316" s="98"/>
      <c r="AW316" s="98"/>
      <c r="AX316" s="98"/>
      <c r="AY316" s="98"/>
      <c r="AZ316" s="98"/>
      <c r="BA316" s="217"/>
      <c r="BB316" s="98"/>
      <c r="BC316" s="98"/>
      <c r="BD316" s="98"/>
      <c r="BE316" s="98"/>
      <c r="BF316" s="98"/>
      <c r="BG316" s="219"/>
      <c r="BH316" s="219"/>
      <c r="BI316" s="219"/>
      <c r="BJ316" s="26"/>
      <c r="BK316" s="21"/>
      <c r="BL316" s="21"/>
      <c r="BM316" s="22"/>
      <c r="BN316" s="21"/>
      <c r="BO316" s="21"/>
      <c r="BP316" s="22"/>
      <c r="BQ316" s="21"/>
      <c r="BR316" s="21"/>
      <c r="BS316" s="22"/>
      <c r="BT31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16" s="109" t="str">
        <f>IF(ISNUMBER(tblParticipants[[#This Row],[SvcStartDate]]),IF(AND(tblParticipants[[#This Row],[EnrollQtr]]=1,tblParticipants[[#This Row],[SvcStartDate]]&lt;DATE(conProgYear,7,1)),1,""),"")</f>
        <v/>
      </c>
      <c r="BV31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16" s="232" t="str">
        <f t="shared" ca="1" si="4"/>
        <v/>
      </c>
      <c r="BX316" s="9">
        <f>IF(SUM(IF(tblParticipants[[#This Row],[AmIndOrAkNtv]]=1,1,0),IF(tblParticipants[[#This Row],[Asian]]=1,1,0),IF(tblParticipants[[#This Row],[BlkOrAfAmer]]=1,1,0),IF(tblParticipants[[#This Row],[NtvHawOrPacIsl]]=1,1,0),IF(tblParticipants[[#This Row],[White]]=1,1,0))&gt;1,1,0)</f>
        <v>0</v>
      </c>
      <c r="BY31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1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1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16" s="11">
        <f>IF(tblParticipants[[#This Row],[EarnWg2Qae]]=1,IFERROR(tblParticipants[[#This Row],[HoursPerWk2Qae]]*tblParticipants[[#This Row],[HrlyWg2Qae]]*13,0),0)</f>
        <v>0</v>
      </c>
      <c r="CC316" s="11">
        <f>IF(tblParticipants[[#This Row],[EarnWg3Qae]]=1,IFERROR(tblParticipants[[#This Row],[HoursPerWk3Qae]]*tblParticipants[[#This Row],[HrlyWg3Qae]]*13,0),0)</f>
        <v>0</v>
      </c>
      <c r="CD316" s="9">
        <f>IFERROR(IF(SUM(tblParticipants[[#This Row],[EarnWg1Qae]],tblParticipants[[#This Row],[EarnWg2Qae]],tblParticipants[[#This Row],[EarnWg3Qae]])=3,1,0),0)</f>
        <v>0</v>
      </c>
      <c r="CE316" s="12">
        <f>IF(tblParticipants[[#This Row],[EmplAll3Qae]]=1,tblParticipants[[#This Row],[Earnings2Qae]]+tblParticipants[[#This Row],[Earnings3Qae]],0)</f>
        <v>0</v>
      </c>
      <c r="CF316" s="407"/>
    </row>
    <row r="317" spans="1:84" x14ac:dyDescent="0.3">
      <c r="A317" s="19"/>
      <c r="B317" s="19"/>
      <c r="C317" s="20"/>
      <c r="D317" s="20"/>
      <c r="E317" s="26"/>
      <c r="F317" s="26"/>
      <c r="G317" s="26"/>
      <c r="H317" s="26"/>
      <c r="I317" s="26"/>
      <c r="J317" s="26"/>
      <c r="K317" s="26"/>
      <c r="L317" s="26"/>
      <c r="M317" s="20"/>
      <c r="N317" s="26"/>
      <c r="O317" s="22"/>
      <c r="P317" s="21"/>
      <c r="Q317" s="23"/>
      <c r="R317" s="21"/>
      <c r="S317" s="21"/>
      <c r="T317" s="21"/>
      <c r="U317" s="21"/>
      <c r="V317" s="21"/>
      <c r="W317" s="24"/>
      <c r="X317" s="20"/>
      <c r="Y317" s="20"/>
      <c r="Z317" s="21"/>
      <c r="AA317" s="21"/>
      <c r="AB317" s="21"/>
      <c r="AC317" s="21"/>
      <c r="AD317" s="21"/>
      <c r="AE317" s="21"/>
      <c r="AF317" s="21"/>
      <c r="AG317" s="21"/>
      <c r="AH317" s="21"/>
      <c r="AI317" s="25"/>
      <c r="AJ317" s="20"/>
      <c r="AK317" s="21"/>
      <c r="AL317" s="20"/>
      <c r="AM317" s="20"/>
      <c r="AN317" s="20"/>
      <c r="AO317" s="20"/>
      <c r="AP317" s="446"/>
      <c r="AQ317" s="20"/>
      <c r="AR317" s="20"/>
      <c r="AS317" s="20"/>
      <c r="AT317" s="20"/>
      <c r="AU317" s="26"/>
      <c r="AV317" s="98"/>
      <c r="AW317" s="98"/>
      <c r="AX317" s="98"/>
      <c r="AY317" s="98"/>
      <c r="AZ317" s="98"/>
      <c r="BA317" s="217"/>
      <c r="BB317" s="98"/>
      <c r="BC317" s="98"/>
      <c r="BD317" s="98"/>
      <c r="BE317" s="98"/>
      <c r="BF317" s="98"/>
      <c r="BG317" s="219"/>
      <c r="BH317" s="219"/>
      <c r="BI317" s="219"/>
      <c r="BJ317" s="26"/>
      <c r="BK317" s="21"/>
      <c r="BL317" s="21"/>
      <c r="BM317" s="22"/>
      <c r="BN317" s="21"/>
      <c r="BO317" s="21"/>
      <c r="BP317" s="22"/>
      <c r="BQ317" s="21"/>
      <c r="BR317" s="21"/>
      <c r="BS317" s="22"/>
      <c r="BT31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17" s="109" t="str">
        <f>IF(ISNUMBER(tblParticipants[[#This Row],[SvcStartDate]]),IF(AND(tblParticipants[[#This Row],[EnrollQtr]]=1,tblParticipants[[#This Row],[SvcStartDate]]&lt;DATE(conProgYear,7,1)),1,""),"")</f>
        <v/>
      </c>
      <c r="BV31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17" s="232" t="str">
        <f t="shared" ca="1" si="4"/>
        <v/>
      </c>
      <c r="BX317" s="9">
        <f>IF(SUM(IF(tblParticipants[[#This Row],[AmIndOrAkNtv]]=1,1,0),IF(tblParticipants[[#This Row],[Asian]]=1,1,0),IF(tblParticipants[[#This Row],[BlkOrAfAmer]]=1,1,0),IF(tblParticipants[[#This Row],[NtvHawOrPacIsl]]=1,1,0),IF(tblParticipants[[#This Row],[White]]=1,1,0))&gt;1,1,0)</f>
        <v>0</v>
      </c>
      <c r="BY31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1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1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17" s="11">
        <f>IF(tblParticipants[[#This Row],[EarnWg2Qae]]=1,IFERROR(tblParticipants[[#This Row],[HoursPerWk2Qae]]*tblParticipants[[#This Row],[HrlyWg2Qae]]*13,0),0)</f>
        <v>0</v>
      </c>
      <c r="CC317" s="11">
        <f>IF(tblParticipants[[#This Row],[EarnWg3Qae]]=1,IFERROR(tblParticipants[[#This Row],[HoursPerWk3Qae]]*tblParticipants[[#This Row],[HrlyWg3Qae]]*13,0),0)</f>
        <v>0</v>
      </c>
      <c r="CD317" s="9">
        <f>IFERROR(IF(SUM(tblParticipants[[#This Row],[EarnWg1Qae]],tblParticipants[[#This Row],[EarnWg2Qae]],tblParticipants[[#This Row],[EarnWg3Qae]])=3,1,0),0)</f>
        <v>0</v>
      </c>
      <c r="CE317" s="12">
        <f>IF(tblParticipants[[#This Row],[EmplAll3Qae]]=1,tblParticipants[[#This Row],[Earnings2Qae]]+tblParticipants[[#This Row],[Earnings3Qae]],0)</f>
        <v>0</v>
      </c>
      <c r="CF317" s="407"/>
    </row>
    <row r="318" spans="1:84" x14ac:dyDescent="0.3">
      <c r="A318" s="19"/>
      <c r="B318" s="19"/>
      <c r="C318" s="20"/>
      <c r="D318" s="20"/>
      <c r="E318" s="26"/>
      <c r="F318" s="26"/>
      <c r="G318" s="26"/>
      <c r="H318" s="26"/>
      <c r="I318" s="26"/>
      <c r="J318" s="26"/>
      <c r="K318" s="26"/>
      <c r="L318" s="26"/>
      <c r="M318" s="20"/>
      <c r="N318" s="26"/>
      <c r="O318" s="22"/>
      <c r="P318" s="21"/>
      <c r="Q318" s="23"/>
      <c r="R318" s="21"/>
      <c r="S318" s="21"/>
      <c r="T318" s="21"/>
      <c r="U318" s="21"/>
      <c r="V318" s="21"/>
      <c r="W318" s="24"/>
      <c r="X318" s="20"/>
      <c r="Y318" s="20"/>
      <c r="Z318" s="21"/>
      <c r="AA318" s="21"/>
      <c r="AB318" s="21"/>
      <c r="AC318" s="21"/>
      <c r="AD318" s="21"/>
      <c r="AE318" s="21"/>
      <c r="AF318" s="21"/>
      <c r="AG318" s="21"/>
      <c r="AH318" s="21"/>
      <c r="AI318" s="25"/>
      <c r="AJ318" s="20"/>
      <c r="AK318" s="21"/>
      <c r="AL318" s="20"/>
      <c r="AM318" s="20"/>
      <c r="AN318" s="20"/>
      <c r="AO318" s="20"/>
      <c r="AP318" s="446"/>
      <c r="AQ318" s="20"/>
      <c r="AR318" s="20"/>
      <c r="AS318" s="20"/>
      <c r="AT318" s="20"/>
      <c r="AU318" s="26"/>
      <c r="AV318" s="98"/>
      <c r="AW318" s="98"/>
      <c r="AX318" s="98"/>
      <c r="AY318" s="98"/>
      <c r="AZ318" s="98"/>
      <c r="BA318" s="217"/>
      <c r="BB318" s="98"/>
      <c r="BC318" s="98"/>
      <c r="BD318" s="98"/>
      <c r="BE318" s="98"/>
      <c r="BF318" s="98"/>
      <c r="BG318" s="219"/>
      <c r="BH318" s="219"/>
      <c r="BI318" s="219"/>
      <c r="BJ318" s="26"/>
      <c r="BK318" s="21"/>
      <c r="BL318" s="21"/>
      <c r="BM318" s="22"/>
      <c r="BN318" s="21"/>
      <c r="BO318" s="21"/>
      <c r="BP318" s="22"/>
      <c r="BQ318" s="21"/>
      <c r="BR318" s="21"/>
      <c r="BS318" s="22"/>
      <c r="BT31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18" s="109" t="str">
        <f>IF(ISNUMBER(tblParticipants[[#This Row],[SvcStartDate]]),IF(AND(tblParticipants[[#This Row],[EnrollQtr]]=1,tblParticipants[[#This Row],[SvcStartDate]]&lt;DATE(conProgYear,7,1)),1,""),"")</f>
        <v/>
      </c>
      <c r="BV31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18" s="232" t="str">
        <f t="shared" ca="1" si="4"/>
        <v/>
      </c>
      <c r="BX318" s="9">
        <f>IF(SUM(IF(tblParticipants[[#This Row],[AmIndOrAkNtv]]=1,1,0),IF(tblParticipants[[#This Row],[Asian]]=1,1,0),IF(tblParticipants[[#This Row],[BlkOrAfAmer]]=1,1,0),IF(tblParticipants[[#This Row],[NtvHawOrPacIsl]]=1,1,0),IF(tblParticipants[[#This Row],[White]]=1,1,0))&gt;1,1,0)</f>
        <v>0</v>
      </c>
      <c r="BY31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1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1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18" s="11">
        <f>IF(tblParticipants[[#This Row],[EarnWg2Qae]]=1,IFERROR(tblParticipants[[#This Row],[HoursPerWk2Qae]]*tblParticipants[[#This Row],[HrlyWg2Qae]]*13,0),0)</f>
        <v>0</v>
      </c>
      <c r="CC318" s="11">
        <f>IF(tblParticipants[[#This Row],[EarnWg3Qae]]=1,IFERROR(tblParticipants[[#This Row],[HoursPerWk3Qae]]*tblParticipants[[#This Row],[HrlyWg3Qae]]*13,0),0)</f>
        <v>0</v>
      </c>
      <c r="CD318" s="9">
        <f>IFERROR(IF(SUM(tblParticipants[[#This Row],[EarnWg1Qae]],tblParticipants[[#This Row],[EarnWg2Qae]],tblParticipants[[#This Row],[EarnWg3Qae]])=3,1,0),0)</f>
        <v>0</v>
      </c>
      <c r="CE318" s="12">
        <f>IF(tblParticipants[[#This Row],[EmplAll3Qae]]=1,tblParticipants[[#This Row],[Earnings2Qae]]+tblParticipants[[#This Row],[Earnings3Qae]],0)</f>
        <v>0</v>
      </c>
      <c r="CF318" s="407"/>
    </row>
    <row r="319" spans="1:84" x14ac:dyDescent="0.3">
      <c r="A319" s="19"/>
      <c r="B319" s="19"/>
      <c r="C319" s="20"/>
      <c r="D319" s="20"/>
      <c r="E319" s="26"/>
      <c r="F319" s="26"/>
      <c r="G319" s="26"/>
      <c r="H319" s="26"/>
      <c r="I319" s="26"/>
      <c r="J319" s="26"/>
      <c r="K319" s="26"/>
      <c r="L319" s="26"/>
      <c r="M319" s="20"/>
      <c r="N319" s="26"/>
      <c r="O319" s="22"/>
      <c r="P319" s="21"/>
      <c r="Q319" s="23"/>
      <c r="R319" s="21"/>
      <c r="S319" s="21"/>
      <c r="T319" s="21"/>
      <c r="U319" s="21"/>
      <c r="V319" s="21"/>
      <c r="W319" s="24"/>
      <c r="X319" s="20"/>
      <c r="Y319" s="20"/>
      <c r="Z319" s="21"/>
      <c r="AA319" s="21"/>
      <c r="AB319" s="21"/>
      <c r="AC319" s="21"/>
      <c r="AD319" s="21"/>
      <c r="AE319" s="21"/>
      <c r="AF319" s="21"/>
      <c r="AG319" s="21"/>
      <c r="AH319" s="21"/>
      <c r="AI319" s="25"/>
      <c r="AJ319" s="20"/>
      <c r="AK319" s="21"/>
      <c r="AL319" s="20"/>
      <c r="AM319" s="20"/>
      <c r="AN319" s="20"/>
      <c r="AO319" s="20"/>
      <c r="AP319" s="446"/>
      <c r="AQ319" s="20"/>
      <c r="AR319" s="20"/>
      <c r="AS319" s="20"/>
      <c r="AT319" s="20"/>
      <c r="AU319" s="26"/>
      <c r="AV319" s="98"/>
      <c r="AW319" s="98"/>
      <c r="AX319" s="98"/>
      <c r="AY319" s="98"/>
      <c r="AZ319" s="98"/>
      <c r="BA319" s="217"/>
      <c r="BB319" s="98"/>
      <c r="BC319" s="98"/>
      <c r="BD319" s="98"/>
      <c r="BE319" s="98"/>
      <c r="BF319" s="98"/>
      <c r="BG319" s="219"/>
      <c r="BH319" s="219"/>
      <c r="BI319" s="219"/>
      <c r="BJ319" s="26"/>
      <c r="BK319" s="21"/>
      <c r="BL319" s="21"/>
      <c r="BM319" s="22"/>
      <c r="BN319" s="21"/>
      <c r="BO319" s="21"/>
      <c r="BP319" s="22"/>
      <c r="BQ319" s="21"/>
      <c r="BR319" s="21"/>
      <c r="BS319" s="22"/>
      <c r="BT31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19" s="109" t="str">
        <f>IF(ISNUMBER(tblParticipants[[#This Row],[SvcStartDate]]),IF(AND(tblParticipants[[#This Row],[EnrollQtr]]=1,tblParticipants[[#This Row],[SvcStartDate]]&lt;DATE(conProgYear,7,1)),1,""),"")</f>
        <v/>
      </c>
      <c r="BV31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19" s="232" t="str">
        <f t="shared" ca="1" si="4"/>
        <v/>
      </c>
      <c r="BX319" s="9">
        <f>IF(SUM(IF(tblParticipants[[#This Row],[AmIndOrAkNtv]]=1,1,0),IF(tblParticipants[[#This Row],[Asian]]=1,1,0),IF(tblParticipants[[#This Row],[BlkOrAfAmer]]=1,1,0),IF(tblParticipants[[#This Row],[NtvHawOrPacIsl]]=1,1,0),IF(tblParticipants[[#This Row],[White]]=1,1,0))&gt;1,1,0)</f>
        <v>0</v>
      </c>
      <c r="BY31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1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1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19" s="11">
        <f>IF(tblParticipants[[#This Row],[EarnWg2Qae]]=1,IFERROR(tblParticipants[[#This Row],[HoursPerWk2Qae]]*tblParticipants[[#This Row],[HrlyWg2Qae]]*13,0),0)</f>
        <v>0</v>
      </c>
      <c r="CC319" s="11">
        <f>IF(tblParticipants[[#This Row],[EarnWg3Qae]]=1,IFERROR(tblParticipants[[#This Row],[HoursPerWk3Qae]]*tblParticipants[[#This Row],[HrlyWg3Qae]]*13,0),0)</f>
        <v>0</v>
      </c>
      <c r="CD319" s="9">
        <f>IFERROR(IF(SUM(tblParticipants[[#This Row],[EarnWg1Qae]],tblParticipants[[#This Row],[EarnWg2Qae]],tblParticipants[[#This Row],[EarnWg3Qae]])=3,1,0),0)</f>
        <v>0</v>
      </c>
      <c r="CE319" s="12">
        <f>IF(tblParticipants[[#This Row],[EmplAll3Qae]]=1,tblParticipants[[#This Row],[Earnings2Qae]]+tblParticipants[[#This Row],[Earnings3Qae]],0)</f>
        <v>0</v>
      </c>
      <c r="CF319" s="407"/>
    </row>
    <row r="320" spans="1:84" x14ac:dyDescent="0.3">
      <c r="A320" s="19"/>
      <c r="B320" s="19"/>
      <c r="C320" s="20"/>
      <c r="D320" s="20"/>
      <c r="E320" s="26"/>
      <c r="F320" s="26"/>
      <c r="G320" s="26"/>
      <c r="H320" s="26"/>
      <c r="I320" s="26"/>
      <c r="J320" s="26"/>
      <c r="K320" s="26"/>
      <c r="L320" s="26"/>
      <c r="M320" s="20"/>
      <c r="N320" s="26"/>
      <c r="O320" s="22"/>
      <c r="P320" s="21"/>
      <c r="Q320" s="23"/>
      <c r="R320" s="21"/>
      <c r="S320" s="21"/>
      <c r="T320" s="21"/>
      <c r="U320" s="21"/>
      <c r="V320" s="21"/>
      <c r="W320" s="24"/>
      <c r="X320" s="20"/>
      <c r="Y320" s="20"/>
      <c r="Z320" s="21"/>
      <c r="AA320" s="21"/>
      <c r="AB320" s="21"/>
      <c r="AC320" s="21"/>
      <c r="AD320" s="21"/>
      <c r="AE320" s="21"/>
      <c r="AF320" s="21"/>
      <c r="AG320" s="21"/>
      <c r="AH320" s="21"/>
      <c r="AI320" s="25"/>
      <c r="AJ320" s="20"/>
      <c r="AK320" s="21"/>
      <c r="AL320" s="20"/>
      <c r="AM320" s="20"/>
      <c r="AN320" s="20"/>
      <c r="AO320" s="20"/>
      <c r="AP320" s="446"/>
      <c r="AQ320" s="20"/>
      <c r="AR320" s="20"/>
      <c r="AS320" s="20"/>
      <c r="AT320" s="20"/>
      <c r="AU320" s="26"/>
      <c r="AV320" s="98"/>
      <c r="AW320" s="98"/>
      <c r="AX320" s="98"/>
      <c r="AY320" s="98"/>
      <c r="AZ320" s="98"/>
      <c r="BA320" s="217"/>
      <c r="BB320" s="98"/>
      <c r="BC320" s="98"/>
      <c r="BD320" s="98"/>
      <c r="BE320" s="98"/>
      <c r="BF320" s="98"/>
      <c r="BG320" s="219"/>
      <c r="BH320" s="219"/>
      <c r="BI320" s="219"/>
      <c r="BJ320" s="26"/>
      <c r="BK320" s="21"/>
      <c r="BL320" s="21"/>
      <c r="BM320" s="22"/>
      <c r="BN320" s="21"/>
      <c r="BO320" s="21"/>
      <c r="BP320" s="22"/>
      <c r="BQ320" s="21"/>
      <c r="BR320" s="21"/>
      <c r="BS320" s="22"/>
      <c r="BT32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20" s="109" t="str">
        <f>IF(ISNUMBER(tblParticipants[[#This Row],[SvcStartDate]]),IF(AND(tblParticipants[[#This Row],[EnrollQtr]]=1,tblParticipants[[#This Row],[SvcStartDate]]&lt;DATE(conProgYear,7,1)),1,""),"")</f>
        <v/>
      </c>
      <c r="BV32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20" s="232" t="str">
        <f t="shared" ca="1" si="4"/>
        <v/>
      </c>
      <c r="BX320" s="9">
        <f>IF(SUM(IF(tblParticipants[[#This Row],[AmIndOrAkNtv]]=1,1,0),IF(tblParticipants[[#This Row],[Asian]]=1,1,0),IF(tblParticipants[[#This Row],[BlkOrAfAmer]]=1,1,0),IF(tblParticipants[[#This Row],[NtvHawOrPacIsl]]=1,1,0),IF(tblParticipants[[#This Row],[White]]=1,1,0))&gt;1,1,0)</f>
        <v>0</v>
      </c>
      <c r="BY32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2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2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20" s="11">
        <f>IF(tblParticipants[[#This Row],[EarnWg2Qae]]=1,IFERROR(tblParticipants[[#This Row],[HoursPerWk2Qae]]*tblParticipants[[#This Row],[HrlyWg2Qae]]*13,0),0)</f>
        <v>0</v>
      </c>
      <c r="CC320" s="11">
        <f>IF(tblParticipants[[#This Row],[EarnWg3Qae]]=1,IFERROR(tblParticipants[[#This Row],[HoursPerWk3Qae]]*tblParticipants[[#This Row],[HrlyWg3Qae]]*13,0),0)</f>
        <v>0</v>
      </c>
      <c r="CD320" s="9">
        <f>IFERROR(IF(SUM(tblParticipants[[#This Row],[EarnWg1Qae]],tblParticipants[[#This Row],[EarnWg2Qae]],tblParticipants[[#This Row],[EarnWg3Qae]])=3,1,0),0)</f>
        <v>0</v>
      </c>
      <c r="CE320" s="12">
        <f>IF(tblParticipants[[#This Row],[EmplAll3Qae]]=1,tblParticipants[[#This Row],[Earnings2Qae]]+tblParticipants[[#This Row],[Earnings3Qae]],0)</f>
        <v>0</v>
      </c>
      <c r="CF320" s="407"/>
    </row>
    <row r="321" spans="1:84" x14ac:dyDescent="0.3">
      <c r="A321" s="19"/>
      <c r="B321" s="19"/>
      <c r="C321" s="20"/>
      <c r="D321" s="20"/>
      <c r="E321" s="26"/>
      <c r="F321" s="26"/>
      <c r="G321" s="26"/>
      <c r="H321" s="26"/>
      <c r="I321" s="26"/>
      <c r="J321" s="26"/>
      <c r="K321" s="26"/>
      <c r="L321" s="26"/>
      <c r="M321" s="20"/>
      <c r="N321" s="26"/>
      <c r="O321" s="22"/>
      <c r="P321" s="21"/>
      <c r="Q321" s="23"/>
      <c r="R321" s="21"/>
      <c r="S321" s="21"/>
      <c r="T321" s="21"/>
      <c r="U321" s="21"/>
      <c r="V321" s="21"/>
      <c r="W321" s="24"/>
      <c r="X321" s="20"/>
      <c r="Y321" s="20"/>
      <c r="Z321" s="21"/>
      <c r="AA321" s="21"/>
      <c r="AB321" s="21"/>
      <c r="AC321" s="21"/>
      <c r="AD321" s="21"/>
      <c r="AE321" s="21"/>
      <c r="AF321" s="21"/>
      <c r="AG321" s="21"/>
      <c r="AH321" s="21"/>
      <c r="AI321" s="25"/>
      <c r="AJ321" s="20"/>
      <c r="AK321" s="21"/>
      <c r="AL321" s="20"/>
      <c r="AM321" s="20"/>
      <c r="AN321" s="20"/>
      <c r="AO321" s="20"/>
      <c r="AP321" s="446"/>
      <c r="AQ321" s="20"/>
      <c r="AR321" s="20"/>
      <c r="AS321" s="20"/>
      <c r="AT321" s="20"/>
      <c r="AU321" s="26"/>
      <c r="AV321" s="98"/>
      <c r="AW321" s="98"/>
      <c r="AX321" s="98"/>
      <c r="AY321" s="98"/>
      <c r="AZ321" s="98"/>
      <c r="BA321" s="217"/>
      <c r="BB321" s="98"/>
      <c r="BC321" s="98"/>
      <c r="BD321" s="98"/>
      <c r="BE321" s="98"/>
      <c r="BF321" s="98"/>
      <c r="BG321" s="219"/>
      <c r="BH321" s="219"/>
      <c r="BI321" s="219"/>
      <c r="BJ321" s="26"/>
      <c r="BK321" s="21"/>
      <c r="BL321" s="21"/>
      <c r="BM321" s="22"/>
      <c r="BN321" s="21"/>
      <c r="BO321" s="21"/>
      <c r="BP321" s="22"/>
      <c r="BQ321" s="21"/>
      <c r="BR321" s="21"/>
      <c r="BS321" s="22"/>
      <c r="BT32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21" s="109" t="str">
        <f>IF(ISNUMBER(tblParticipants[[#This Row],[SvcStartDate]]),IF(AND(tblParticipants[[#This Row],[EnrollQtr]]=1,tblParticipants[[#This Row],[SvcStartDate]]&lt;DATE(conProgYear,7,1)),1,""),"")</f>
        <v/>
      </c>
      <c r="BV32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21" s="232" t="str">
        <f t="shared" ca="1" si="4"/>
        <v/>
      </c>
      <c r="BX321" s="9">
        <f>IF(SUM(IF(tblParticipants[[#This Row],[AmIndOrAkNtv]]=1,1,0),IF(tblParticipants[[#This Row],[Asian]]=1,1,0),IF(tblParticipants[[#This Row],[BlkOrAfAmer]]=1,1,0),IF(tblParticipants[[#This Row],[NtvHawOrPacIsl]]=1,1,0),IF(tblParticipants[[#This Row],[White]]=1,1,0))&gt;1,1,0)</f>
        <v>0</v>
      </c>
      <c r="BY32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2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2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21" s="11">
        <f>IF(tblParticipants[[#This Row],[EarnWg2Qae]]=1,IFERROR(tblParticipants[[#This Row],[HoursPerWk2Qae]]*tblParticipants[[#This Row],[HrlyWg2Qae]]*13,0),0)</f>
        <v>0</v>
      </c>
      <c r="CC321" s="11">
        <f>IF(tblParticipants[[#This Row],[EarnWg3Qae]]=1,IFERROR(tblParticipants[[#This Row],[HoursPerWk3Qae]]*tblParticipants[[#This Row],[HrlyWg3Qae]]*13,0),0)</f>
        <v>0</v>
      </c>
      <c r="CD321" s="9">
        <f>IFERROR(IF(SUM(tblParticipants[[#This Row],[EarnWg1Qae]],tblParticipants[[#This Row],[EarnWg2Qae]],tblParticipants[[#This Row],[EarnWg3Qae]])=3,1,0),0)</f>
        <v>0</v>
      </c>
      <c r="CE321" s="12">
        <f>IF(tblParticipants[[#This Row],[EmplAll3Qae]]=1,tblParticipants[[#This Row],[Earnings2Qae]]+tblParticipants[[#This Row],[Earnings3Qae]],0)</f>
        <v>0</v>
      </c>
      <c r="CF321" s="407"/>
    </row>
    <row r="322" spans="1:84" x14ac:dyDescent="0.3">
      <c r="A322" s="19"/>
      <c r="B322" s="19"/>
      <c r="C322" s="20"/>
      <c r="D322" s="20"/>
      <c r="E322" s="26"/>
      <c r="F322" s="26"/>
      <c r="G322" s="26"/>
      <c r="H322" s="26"/>
      <c r="I322" s="26"/>
      <c r="J322" s="26"/>
      <c r="K322" s="26"/>
      <c r="L322" s="26"/>
      <c r="M322" s="20"/>
      <c r="N322" s="26"/>
      <c r="O322" s="22"/>
      <c r="P322" s="21"/>
      <c r="Q322" s="23"/>
      <c r="R322" s="21"/>
      <c r="S322" s="21"/>
      <c r="T322" s="21"/>
      <c r="U322" s="21"/>
      <c r="V322" s="21"/>
      <c r="W322" s="24"/>
      <c r="X322" s="20"/>
      <c r="Y322" s="20"/>
      <c r="Z322" s="21"/>
      <c r="AA322" s="21"/>
      <c r="AB322" s="21"/>
      <c r="AC322" s="21"/>
      <c r="AD322" s="21"/>
      <c r="AE322" s="21"/>
      <c r="AF322" s="21"/>
      <c r="AG322" s="21"/>
      <c r="AH322" s="21"/>
      <c r="AI322" s="25"/>
      <c r="AJ322" s="20"/>
      <c r="AK322" s="21"/>
      <c r="AL322" s="20"/>
      <c r="AM322" s="20"/>
      <c r="AN322" s="20"/>
      <c r="AO322" s="20"/>
      <c r="AP322" s="446"/>
      <c r="AQ322" s="20"/>
      <c r="AR322" s="20"/>
      <c r="AS322" s="20"/>
      <c r="AT322" s="20"/>
      <c r="AU322" s="26"/>
      <c r="AV322" s="98"/>
      <c r="AW322" s="98"/>
      <c r="AX322" s="98"/>
      <c r="AY322" s="98"/>
      <c r="AZ322" s="98"/>
      <c r="BA322" s="217"/>
      <c r="BB322" s="98"/>
      <c r="BC322" s="98"/>
      <c r="BD322" s="98"/>
      <c r="BE322" s="98"/>
      <c r="BF322" s="98"/>
      <c r="BG322" s="219"/>
      <c r="BH322" s="219"/>
      <c r="BI322" s="219"/>
      <c r="BJ322" s="26"/>
      <c r="BK322" s="21"/>
      <c r="BL322" s="21"/>
      <c r="BM322" s="22"/>
      <c r="BN322" s="21"/>
      <c r="BO322" s="21"/>
      <c r="BP322" s="22"/>
      <c r="BQ322" s="21"/>
      <c r="BR322" s="21"/>
      <c r="BS322" s="22"/>
      <c r="BT32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22" s="109" t="str">
        <f>IF(ISNUMBER(tblParticipants[[#This Row],[SvcStartDate]]),IF(AND(tblParticipants[[#This Row],[EnrollQtr]]=1,tblParticipants[[#This Row],[SvcStartDate]]&lt;DATE(conProgYear,7,1)),1,""),"")</f>
        <v/>
      </c>
      <c r="BV32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22" s="232" t="str">
        <f t="shared" ca="1" si="4"/>
        <v/>
      </c>
      <c r="BX322" s="9">
        <f>IF(SUM(IF(tblParticipants[[#This Row],[AmIndOrAkNtv]]=1,1,0),IF(tblParticipants[[#This Row],[Asian]]=1,1,0),IF(tblParticipants[[#This Row],[BlkOrAfAmer]]=1,1,0),IF(tblParticipants[[#This Row],[NtvHawOrPacIsl]]=1,1,0),IF(tblParticipants[[#This Row],[White]]=1,1,0))&gt;1,1,0)</f>
        <v>0</v>
      </c>
      <c r="BY32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2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2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22" s="11">
        <f>IF(tblParticipants[[#This Row],[EarnWg2Qae]]=1,IFERROR(tblParticipants[[#This Row],[HoursPerWk2Qae]]*tblParticipants[[#This Row],[HrlyWg2Qae]]*13,0),0)</f>
        <v>0</v>
      </c>
      <c r="CC322" s="11">
        <f>IF(tblParticipants[[#This Row],[EarnWg3Qae]]=1,IFERROR(tblParticipants[[#This Row],[HoursPerWk3Qae]]*tblParticipants[[#This Row],[HrlyWg3Qae]]*13,0),0)</f>
        <v>0</v>
      </c>
      <c r="CD322" s="9">
        <f>IFERROR(IF(SUM(tblParticipants[[#This Row],[EarnWg1Qae]],tblParticipants[[#This Row],[EarnWg2Qae]],tblParticipants[[#This Row],[EarnWg3Qae]])=3,1,0),0)</f>
        <v>0</v>
      </c>
      <c r="CE322" s="12">
        <f>IF(tblParticipants[[#This Row],[EmplAll3Qae]]=1,tblParticipants[[#This Row],[Earnings2Qae]]+tblParticipants[[#This Row],[Earnings3Qae]],0)</f>
        <v>0</v>
      </c>
      <c r="CF322" s="407"/>
    </row>
    <row r="323" spans="1:84" x14ac:dyDescent="0.3">
      <c r="A323" s="19"/>
      <c r="B323" s="19"/>
      <c r="C323" s="20"/>
      <c r="D323" s="20"/>
      <c r="E323" s="26"/>
      <c r="F323" s="26"/>
      <c r="G323" s="26"/>
      <c r="H323" s="26"/>
      <c r="I323" s="26"/>
      <c r="J323" s="26"/>
      <c r="K323" s="26"/>
      <c r="L323" s="26"/>
      <c r="M323" s="20"/>
      <c r="N323" s="26"/>
      <c r="O323" s="22"/>
      <c r="P323" s="21"/>
      <c r="Q323" s="23"/>
      <c r="R323" s="21"/>
      <c r="S323" s="21"/>
      <c r="T323" s="21"/>
      <c r="U323" s="21"/>
      <c r="V323" s="21"/>
      <c r="W323" s="24"/>
      <c r="X323" s="20"/>
      <c r="Y323" s="20"/>
      <c r="Z323" s="21"/>
      <c r="AA323" s="21"/>
      <c r="AB323" s="21"/>
      <c r="AC323" s="21"/>
      <c r="AD323" s="21"/>
      <c r="AE323" s="21"/>
      <c r="AF323" s="21"/>
      <c r="AG323" s="21"/>
      <c r="AH323" s="21"/>
      <c r="AI323" s="25"/>
      <c r="AJ323" s="20"/>
      <c r="AK323" s="21"/>
      <c r="AL323" s="20"/>
      <c r="AM323" s="20"/>
      <c r="AN323" s="20"/>
      <c r="AO323" s="20"/>
      <c r="AP323" s="446"/>
      <c r="AQ323" s="20"/>
      <c r="AR323" s="20"/>
      <c r="AS323" s="20"/>
      <c r="AT323" s="20"/>
      <c r="AU323" s="26"/>
      <c r="AV323" s="98"/>
      <c r="AW323" s="98"/>
      <c r="AX323" s="98"/>
      <c r="AY323" s="98"/>
      <c r="AZ323" s="98"/>
      <c r="BA323" s="217"/>
      <c r="BB323" s="98"/>
      <c r="BC323" s="98"/>
      <c r="BD323" s="98"/>
      <c r="BE323" s="98"/>
      <c r="BF323" s="98"/>
      <c r="BG323" s="219"/>
      <c r="BH323" s="219"/>
      <c r="BI323" s="219"/>
      <c r="BJ323" s="26"/>
      <c r="BK323" s="21"/>
      <c r="BL323" s="21"/>
      <c r="BM323" s="22"/>
      <c r="BN323" s="21"/>
      <c r="BO323" s="21"/>
      <c r="BP323" s="22"/>
      <c r="BQ323" s="21"/>
      <c r="BR323" s="21"/>
      <c r="BS323" s="22"/>
      <c r="BT32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23" s="109" t="str">
        <f>IF(ISNUMBER(tblParticipants[[#This Row],[SvcStartDate]]),IF(AND(tblParticipants[[#This Row],[EnrollQtr]]=1,tblParticipants[[#This Row],[SvcStartDate]]&lt;DATE(conProgYear,7,1)),1,""),"")</f>
        <v/>
      </c>
      <c r="BV32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23" s="232" t="str">
        <f t="shared" ca="1" si="4"/>
        <v/>
      </c>
      <c r="BX323" s="9">
        <f>IF(SUM(IF(tblParticipants[[#This Row],[AmIndOrAkNtv]]=1,1,0),IF(tblParticipants[[#This Row],[Asian]]=1,1,0),IF(tblParticipants[[#This Row],[BlkOrAfAmer]]=1,1,0),IF(tblParticipants[[#This Row],[NtvHawOrPacIsl]]=1,1,0),IF(tblParticipants[[#This Row],[White]]=1,1,0))&gt;1,1,0)</f>
        <v>0</v>
      </c>
      <c r="BY32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2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2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23" s="11">
        <f>IF(tblParticipants[[#This Row],[EarnWg2Qae]]=1,IFERROR(tblParticipants[[#This Row],[HoursPerWk2Qae]]*tblParticipants[[#This Row],[HrlyWg2Qae]]*13,0),0)</f>
        <v>0</v>
      </c>
      <c r="CC323" s="11">
        <f>IF(tblParticipants[[#This Row],[EarnWg3Qae]]=1,IFERROR(tblParticipants[[#This Row],[HoursPerWk3Qae]]*tblParticipants[[#This Row],[HrlyWg3Qae]]*13,0),0)</f>
        <v>0</v>
      </c>
      <c r="CD323" s="9">
        <f>IFERROR(IF(SUM(tblParticipants[[#This Row],[EarnWg1Qae]],tblParticipants[[#This Row],[EarnWg2Qae]],tblParticipants[[#This Row],[EarnWg3Qae]])=3,1,0),0)</f>
        <v>0</v>
      </c>
      <c r="CE323" s="12">
        <f>IF(tblParticipants[[#This Row],[EmplAll3Qae]]=1,tblParticipants[[#This Row],[Earnings2Qae]]+tblParticipants[[#This Row],[Earnings3Qae]],0)</f>
        <v>0</v>
      </c>
      <c r="CF323" s="407"/>
    </row>
    <row r="324" spans="1:84" x14ac:dyDescent="0.3">
      <c r="A324" s="19"/>
      <c r="B324" s="19"/>
      <c r="C324" s="20"/>
      <c r="D324" s="20"/>
      <c r="E324" s="26"/>
      <c r="F324" s="26"/>
      <c r="G324" s="26"/>
      <c r="H324" s="26"/>
      <c r="I324" s="26"/>
      <c r="J324" s="26"/>
      <c r="K324" s="26"/>
      <c r="L324" s="26"/>
      <c r="M324" s="20"/>
      <c r="N324" s="26"/>
      <c r="O324" s="22"/>
      <c r="P324" s="21"/>
      <c r="Q324" s="23"/>
      <c r="R324" s="21"/>
      <c r="S324" s="21"/>
      <c r="T324" s="21"/>
      <c r="U324" s="21"/>
      <c r="V324" s="21"/>
      <c r="W324" s="24"/>
      <c r="X324" s="20"/>
      <c r="Y324" s="20"/>
      <c r="Z324" s="21"/>
      <c r="AA324" s="21"/>
      <c r="AB324" s="21"/>
      <c r="AC324" s="21"/>
      <c r="AD324" s="21"/>
      <c r="AE324" s="21"/>
      <c r="AF324" s="21"/>
      <c r="AG324" s="21"/>
      <c r="AH324" s="21"/>
      <c r="AI324" s="25"/>
      <c r="AJ324" s="20"/>
      <c r="AK324" s="21"/>
      <c r="AL324" s="20"/>
      <c r="AM324" s="20"/>
      <c r="AN324" s="20"/>
      <c r="AO324" s="20"/>
      <c r="AP324" s="446"/>
      <c r="AQ324" s="20"/>
      <c r="AR324" s="20"/>
      <c r="AS324" s="20"/>
      <c r="AT324" s="20"/>
      <c r="AU324" s="26"/>
      <c r="AV324" s="98"/>
      <c r="AW324" s="98"/>
      <c r="AX324" s="98"/>
      <c r="AY324" s="98"/>
      <c r="AZ324" s="98"/>
      <c r="BA324" s="217"/>
      <c r="BB324" s="98"/>
      <c r="BC324" s="98"/>
      <c r="BD324" s="98"/>
      <c r="BE324" s="98"/>
      <c r="BF324" s="98"/>
      <c r="BG324" s="219"/>
      <c r="BH324" s="219"/>
      <c r="BI324" s="219"/>
      <c r="BJ324" s="26"/>
      <c r="BK324" s="21"/>
      <c r="BL324" s="21"/>
      <c r="BM324" s="22"/>
      <c r="BN324" s="21"/>
      <c r="BO324" s="21"/>
      <c r="BP324" s="22"/>
      <c r="BQ324" s="21"/>
      <c r="BR324" s="21"/>
      <c r="BS324" s="22"/>
      <c r="BT32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24" s="109" t="str">
        <f>IF(ISNUMBER(tblParticipants[[#This Row],[SvcStartDate]]),IF(AND(tblParticipants[[#This Row],[EnrollQtr]]=1,tblParticipants[[#This Row],[SvcStartDate]]&lt;DATE(conProgYear,7,1)),1,""),"")</f>
        <v/>
      </c>
      <c r="BV32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24" s="232" t="str">
        <f t="shared" ca="1" si="4"/>
        <v/>
      </c>
      <c r="BX324" s="9">
        <f>IF(SUM(IF(tblParticipants[[#This Row],[AmIndOrAkNtv]]=1,1,0),IF(tblParticipants[[#This Row],[Asian]]=1,1,0),IF(tblParticipants[[#This Row],[BlkOrAfAmer]]=1,1,0),IF(tblParticipants[[#This Row],[NtvHawOrPacIsl]]=1,1,0),IF(tblParticipants[[#This Row],[White]]=1,1,0))&gt;1,1,0)</f>
        <v>0</v>
      </c>
      <c r="BY32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2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2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24" s="11">
        <f>IF(tblParticipants[[#This Row],[EarnWg2Qae]]=1,IFERROR(tblParticipants[[#This Row],[HoursPerWk2Qae]]*tblParticipants[[#This Row],[HrlyWg2Qae]]*13,0),0)</f>
        <v>0</v>
      </c>
      <c r="CC324" s="11">
        <f>IF(tblParticipants[[#This Row],[EarnWg3Qae]]=1,IFERROR(tblParticipants[[#This Row],[HoursPerWk3Qae]]*tblParticipants[[#This Row],[HrlyWg3Qae]]*13,0),0)</f>
        <v>0</v>
      </c>
      <c r="CD324" s="9">
        <f>IFERROR(IF(SUM(tblParticipants[[#This Row],[EarnWg1Qae]],tblParticipants[[#This Row],[EarnWg2Qae]],tblParticipants[[#This Row],[EarnWg3Qae]])=3,1,0),0)</f>
        <v>0</v>
      </c>
      <c r="CE324" s="12">
        <f>IF(tblParticipants[[#This Row],[EmplAll3Qae]]=1,tblParticipants[[#This Row],[Earnings2Qae]]+tblParticipants[[#This Row],[Earnings3Qae]],0)</f>
        <v>0</v>
      </c>
      <c r="CF324" s="407"/>
    </row>
    <row r="325" spans="1:84" x14ac:dyDescent="0.3">
      <c r="A325" s="19"/>
      <c r="B325" s="19"/>
      <c r="C325" s="20"/>
      <c r="D325" s="20"/>
      <c r="E325" s="26"/>
      <c r="F325" s="26"/>
      <c r="G325" s="26"/>
      <c r="H325" s="26"/>
      <c r="I325" s="26"/>
      <c r="J325" s="26"/>
      <c r="K325" s="26"/>
      <c r="L325" s="26"/>
      <c r="M325" s="20"/>
      <c r="N325" s="26"/>
      <c r="O325" s="22"/>
      <c r="P325" s="21"/>
      <c r="Q325" s="23"/>
      <c r="R325" s="21"/>
      <c r="S325" s="21"/>
      <c r="T325" s="21"/>
      <c r="U325" s="21"/>
      <c r="V325" s="21"/>
      <c r="W325" s="24"/>
      <c r="X325" s="20"/>
      <c r="Y325" s="20"/>
      <c r="Z325" s="21"/>
      <c r="AA325" s="21"/>
      <c r="AB325" s="21"/>
      <c r="AC325" s="21"/>
      <c r="AD325" s="21"/>
      <c r="AE325" s="21"/>
      <c r="AF325" s="21"/>
      <c r="AG325" s="21"/>
      <c r="AH325" s="21"/>
      <c r="AI325" s="25"/>
      <c r="AJ325" s="20"/>
      <c r="AK325" s="21"/>
      <c r="AL325" s="20"/>
      <c r="AM325" s="20"/>
      <c r="AN325" s="20"/>
      <c r="AO325" s="20"/>
      <c r="AP325" s="446"/>
      <c r="AQ325" s="20"/>
      <c r="AR325" s="20"/>
      <c r="AS325" s="20"/>
      <c r="AT325" s="20"/>
      <c r="AU325" s="26"/>
      <c r="AV325" s="98"/>
      <c r="AW325" s="98"/>
      <c r="AX325" s="98"/>
      <c r="AY325" s="98"/>
      <c r="AZ325" s="98"/>
      <c r="BA325" s="217"/>
      <c r="BB325" s="98"/>
      <c r="BC325" s="98"/>
      <c r="BD325" s="98"/>
      <c r="BE325" s="98"/>
      <c r="BF325" s="98"/>
      <c r="BG325" s="219"/>
      <c r="BH325" s="219"/>
      <c r="BI325" s="219"/>
      <c r="BJ325" s="26"/>
      <c r="BK325" s="21"/>
      <c r="BL325" s="21"/>
      <c r="BM325" s="22"/>
      <c r="BN325" s="21"/>
      <c r="BO325" s="21"/>
      <c r="BP325" s="22"/>
      <c r="BQ325" s="21"/>
      <c r="BR325" s="21"/>
      <c r="BS325" s="22"/>
      <c r="BT32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25" s="109" t="str">
        <f>IF(ISNUMBER(tblParticipants[[#This Row],[SvcStartDate]]),IF(AND(tblParticipants[[#This Row],[EnrollQtr]]=1,tblParticipants[[#This Row],[SvcStartDate]]&lt;DATE(conProgYear,7,1)),1,""),"")</f>
        <v/>
      </c>
      <c r="BV32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25" s="232" t="str">
        <f t="shared" ref="BW325:BW388" ca="1" si="5">IF(NOT(ISBLANK(INDIRECT("tblParticipants[@PlacedInEmp]"))),IF(INDIRECT("tblParticipants[@PlacedInEmp]")=1,IF(NOT(ISBLANK(INDIRECT("tblParticipants[@SvcEndDate]"))),IF(ISNUMBER(INDIRECT("tblParticipants[@SvcEndDate]")),IF(AND(INDIRECT("tblParticipants[@SvcEndDate]")&gt;=DATE(conProgYear,7,1),INDIRECT("tblParticipants[@SvcEndDate]")&lt;=DATE(conProgYear+1,6,30)),INDIRECT("tblParticipants[@ExitQtr]"),"ERR"),"ERR"),"ERR"),""),"")</f>
        <v/>
      </c>
      <c r="BX325" s="9">
        <f>IF(SUM(IF(tblParticipants[[#This Row],[AmIndOrAkNtv]]=1,1,0),IF(tblParticipants[[#This Row],[Asian]]=1,1,0),IF(tblParticipants[[#This Row],[BlkOrAfAmer]]=1,1,0),IF(tblParticipants[[#This Row],[NtvHawOrPacIsl]]=1,1,0),IF(tblParticipants[[#This Row],[White]]=1,1,0))&gt;1,1,0)</f>
        <v>0</v>
      </c>
      <c r="BY32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2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2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25" s="11">
        <f>IF(tblParticipants[[#This Row],[EarnWg2Qae]]=1,IFERROR(tblParticipants[[#This Row],[HoursPerWk2Qae]]*tblParticipants[[#This Row],[HrlyWg2Qae]]*13,0),0)</f>
        <v>0</v>
      </c>
      <c r="CC325" s="11">
        <f>IF(tblParticipants[[#This Row],[EarnWg3Qae]]=1,IFERROR(tblParticipants[[#This Row],[HoursPerWk3Qae]]*tblParticipants[[#This Row],[HrlyWg3Qae]]*13,0),0)</f>
        <v>0</v>
      </c>
      <c r="CD325" s="9">
        <f>IFERROR(IF(SUM(tblParticipants[[#This Row],[EarnWg1Qae]],tblParticipants[[#This Row],[EarnWg2Qae]],tblParticipants[[#This Row],[EarnWg3Qae]])=3,1,0),0)</f>
        <v>0</v>
      </c>
      <c r="CE325" s="12">
        <f>IF(tblParticipants[[#This Row],[EmplAll3Qae]]=1,tblParticipants[[#This Row],[Earnings2Qae]]+tblParticipants[[#This Row],[Earnings3Qae]],0)</f>
        <v>0</v>
      </c>
      <c r="CF325" s="407"/>
    </row>
    <row r="326" spans="1:84" x14ac:dyDescent="0.3">
      <c r="A326" s="19"/>
      <c r="B326" s="19"/>
      <c r="C326" s="20"/>
      <c r="D326" s="20"/>
      <c r="E326" s="26"/>
      <c r="F326" s="26"/>
      <c r="G326" s="26"/>
      <c r="H326" s="26"/>
      <c r="I326" s="26"/>
      <c r="J326" s="26"/>
      <c r="K326" s="26"/>
      <c r="L326" s="26"/>
      <c r="M326" s="20"/>
      <c r="N326" s="26"/>
      <c r="O326" s="22"/>
      <c r="P326" s="21"/>
      <c r="Q326" s="23"/>
      <c r="R326" s="21"/>
      <c r="S326" s="21"/>
      <c r="T326" s="21"/>
      <c r="U326" s="21"/>
      <c r="V326" s="21"/>
      <c r="W326" s="24"/>
      <c r="X326" s="20"/>
      <c r="Y326" s="20"/>
      <c r="Z326" s="21"/>
      <c r="AA326" s="21"/>
      <c r="AB326" s="21"/>
      <c r="AC326" s="21"/>
      <c r="AD326" s="21"/>
      <c r="AE326" s="21"/>
      <c r="AF326" s="21"/>
      <c r="AG326" s="21"/>
      <c r="AH326" s="21"/>
      <c r="AI326" s="25"/>
      <c r="AJ326" s="20"/>
      <c r="AK326" s="21"/>
      <c r="AL326" s="20"/>
      <c r="AM326" s="20"/>
      <c r="AN326" s="20"/>
      <c r="AO326" s="20"/>
      <c r="AP326" s="446"/>
      <c r="AQ326" s="20"/>
      <c r="AR326" s="20"/>
      <c r="AS326" s="20"/>
      <c r="AT326" s="20"/>
      <c r="AU326" s="26"/>
      <c r="AV326" s="98"/>
      <c r="AW326" s="98"/>
      <c r="AX326" s="98"/>
      <c r="AY326" s="98"/>
      <c r="AZ326" s="98"/>
      <c r="BA326" s="217"/>
      <c r="BB326" s="98"/>
      <c r="BC326" s="98"/>
      <c r="BD326" s="98"/>
      <c r="BE326" s="98"/>
      <c r="BF326" s="98"/>
      <c r="BG326" s="219"/>
      <c r="BH326" s="219"/>
      <c r="BI326" s="219"/>
      <c r="BJ326" s="26"/>
      <c r="BK326" s="21"/>
      <c r="BL326" s="21"/>
      <c r="BM326" s="22"/>
      <c r="BN326" s="21"/>
      <c r="BO326" s="21"/>
      <c r="BP326" s="22"/>
      <c r="BQ326" s="21"/>
      <c r="BR326" s="21"/>
      <c r="BS326" s="22"/>
      <c r="BT32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26" s="109" t="str">
        <f>IF(ISNUMBER(tblParticipants[[#This Row],[SvcStartDate]]),IF(AND(tblParticipants[[#This Row],[EnrollQtr]]=1,tblParticipants[[#This Row],[SvcStartDate]]&lt;DATE(conProgYear,7,1)),1,""),"")</f>
        <v/>
      </c>
      <c r="BV32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26" s="232" t="str">
        <f t="shared" ca="1" si="5"/>
        <v/>
      </c>
      <c r="BX326" s="9">
        <f>IF(SUM(IF(tblParticipants[[#This Row],[AmIndOrAkNtv]]=1,1,0),IF(tblParticipants[[#This Row],[Asian]]=1,1,0),IF(tblParticipants[[#This Row],[BlkOrAfAmer]]=1,1,0),IF(tblParticipants[[#This Row],[NtvHawOrPacIsl]]=1,1,0),IF(tblParticipants[[#This Row],[White]]=1,1,0))&gt;1,1,0)</f>
        <v>0</v>
      </c>
      <c r="BY32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2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2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26" s="11">
        <f>IF(tblParticipants[[#This Row],[EarnWg2Qae]]=1,IFERROR(tblParticipants[[#This Row],[HoursPerWk2Qae]]*tblParticipants[[#This Row],[HrlyWg2Qae]]*13,0),0)</f>
        <v>0</v>
      </c>
      <c r="CC326" s="11">
        <f>IF(tblParticipants[[#This Row],[EarnWg3Qae]]=1,IFERROR(tblParticipants[[#This Row],[HoursPerWk3Qae]]*tblParticipants[[#This Row],[HrlyWg3Qae]]*13,0),0)</f>
        <v>0</v>
      </c>
      <c r="CD326" s="9">
        <f>IFERROR(IF(SUM(tblParticipants[[#This Row],[EarnWg1Qae]],tblParticipants[[#This Row],[EarnWg2Qae]],tblParticipants[[#This Row],[EarnWg3Qae]])=3,1,0),0)</f>
        <v>0</v>
      </c>
      <c r="CE326" s="12">
        <f>IF(tblParticipants[[#This Row],[EmplAll3Qae]]=1,tblParticipants[[#This Row],[Earnings2Qae]]+tblParticipants[[#This Row],[Earnings3Qae]],0)</f>
        <v>0</v>
      </c>
      <c r="CF326" s="407"/>
    </row>
    <row r="327" spans="1:84" x14ac:dyDescent="0.3">
      <c r="A327" s="19"/>
      <c r="B327" s="19"/>
      <c r="C327" s="20"/>
      <c r="D327" s="20"/>
      <c r="E327" s="26"/>
      <c r="F327" s="26"/>
      <c r="G327" s="26"/>
      <c r="H327" s="26"/>
      <c r="I327" s="26"/>
      <c r="J327" s="26"/>
      <c r="K327" s="26"/>
      <c r="L327" s="26"/>
      <c r="M327" s="20"/>
      <c r="N327" s="26"/>
      <c r="O327" s="22"/>
      <c r="P327" s="21"/>
      <c r="Q327" s="23"/>
      <c r="R327" s="21"/>
      <c r="S327" s="21"/>
      <c r="T327" s="21"/>
      <c r="U327" s="21"/>
      <c r="V327" s="21"/>
      <c r="W327" s="24"/>
      <c r="X327" s="20"/>
      <c r="Y327" s="20"/>
      <c r="Z327" s="21"/>
      <c r="AA327" s="21"/>
      <c r="AB327" s="21"/>
      <c r="AC327" s="21"/>
      <c r="AD327" s="21"/>
      <c r="AE327" s="21"/>
      <c r="AF327" s="21"/>
      <c r="AG327" s="21"/>
      <c r="AH327" s="21"/>
      <c r="AI327" s="25"/>
      <c r="AJ327" s="20"/>
      <c r="AK327" s="21"/>
      <c r="AL327" s="20"/>
      <c r="AM327" s="20"/>
      <c r="AN327" s="20"/>
      <c r="AO327" s="20"/>
      <c r="AP327" s="446"/>
      <c r="AQ327" s="20"/>
      <c r="AR327" s="20"/>
      <c r="AS327" s="20"/>
      <c r="AT327" s="20"/>
      <c r="AU327" s="26"/>
      <c r="AV327" s="98"/>
      <c r="AW327" s="98"/>
      <c r="AX327" s="98"/>
      <c r="AY327" s="98"/>
      <c r="AZ327" s="98"/>
      <c r="BA327" s="217"/>
      <c r="BB327" s="98"/>
      <c r="BC327" s="98"/>
      <c r="BD327" s="98"/>
      <c r="BE327" s="98"/>
      <c r="BF327" s="98"/>
      <c r="BG327" s="219"/>
      <c r="BH327" s="219"/>
      <c r="BI327" s="219"/>
      <c r="BJ327" s="26"/>
      <c r="BK327" s="21"/>
      <c r="BL327" s="21"/>
      <c r="BM327" s="22"/>
      <c r="BN327" s="21"/>
      <c r="BO327" s="21"/>
      <c r="BP327" s="22"/>
      <c r="BQ327" s="21"/>
      <c r="BR327" s="21"/>
      <c r="BS327" s="22"/>
      <c r="BT32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27" s="109" t="str">
        <f>IF(ISNUMBER(tblParticipants[[#This Row],[SvcStartDate]]),IF(AND(tblParticipants[[#This Row],[EnrollQtr]]=1,tblParticipants[[#This Row],[SvcStartDate]]&lt;DATE(conProgYear,7,1)),1,""),"")</f>
        <v/>
      </c>
      <c r="BV32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27" s="232" t="str">
        <f t="shared" ca="1" si="5"/>
        <v/>
      </c>
      <c r="BX327" s="9">
        <f>IF(SUM(IF(tblParticipants[[#This Row],[AmIndOrAkNtv]]=1,1,0),IF(tblParticipants[[#This Row],[Asian]]=1,1,0),IF(tblParticipants[[#This Row],[BlkOrAfAmer]]=1,1,0),IF(tblParticipants[[#This Row],[NtvHawOrPacIsl]]=1,1,0),IF(tblParticipants[[#This Row],[White]]=1,1,0))&gt;1,1,0)</f>
        <v>0</v>
      </c>
      <c r="BY32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2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2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27" s="11">
        <f>IF(tblParticipants[[#This Row],[EarnWg2Qae]]=1,IFERROR(tblParticipants[[#This Row],[HoursPerWk2Qae]]*tblParticipants[[#This Row],[HrlyWg2Qae]]*13,0),0)</f>
        <v>0</v>
      </c>
      <c r="CC327" s="11">
        <f>IF(tblParticipants[[#This Row],[EarnWg3Qae]]=1,IFERROR(tblParticipants[[#This Row],[HoursPerWk3Qae]]*tblParticipants[[#This Row],[HrlyWg3Qae]]*13,0),0)</f>
        <v>0</v>
      </c>
      <c r="CD327" s="9">
        <f>IFERROR(IF(SUM(tblParticipants[[#This Row],[EarnWg1Qae]],tblParticipants[[#This Row],[EarnWg2Qae]],tblParticipants[[#This Row],[EarnWg3Qae]])=3,1,0),0)</f>
        <v>0</v>
      </c>
      <c r="CE327" s="12">
        <f>IF(tblParticipants[[#This Row],[EmplAll3Qae]]=1,tblParticipants[[#This Row],[Earnings2Qae]]+tblParticipants[[#This Row],[Earnings3Qae]],0)</f>
        <v>0</v>
      </c>
      <c r="CF327" s="407"/>
    </row>
    <row r="328" spans="1:84" x14ac:dyDescent="0.3">
      <c r="A328" s="19"/>
      <c r="B328" s="19"/>
      <c r="C328" s="20"/>
      <c r="D328" s="20"/>
      <c r="E328" s="26"/>
      <c r="F328" s="26"/>
      <c r="G328" s="26"/>
      <c r="H328" s="26"/>
      <c r="I328" s="26"/>
      <c r="J328" s="26"/>
      <c r="K328" s="26"/>
      <c r="L328" s="26"/>
      <c r="M328" s="20"/>
      <c r="N328" s="26"/>
      <c r="O328" s="22"/>
      <c r="P328" s="21"/>
      <c r="Q328" s="23"/>
      <c r="R328" s="21"/>
      <c r="S328" s="21"/>
      <c r="T328" s="21"/>
      <c r="U328" s="21"/>
      <c r="V328" s="21"/>
      <c r="W328" s="24"/>
      <c r="X328" s="20"/>
      <c r="Y328" s="20"/>
      <c r="Z328" s="21"/>
      <c r="AA328" s="21"/>
      <c r="AB328" s="21"/>
      <c r="AC328" s="21"/>
      <c r="AD328" s="21"/>
      <c r="AE328" s="21"/>
      <c r="AF328" s="21"/>
      <c r="AG328" s="21"/>
      <c r="AH328" s="21"/>
      <c r="AI328" s="25"/>
      <c r="AJ328" s="20"/>
      <c r="AK328" s="21"/>
      <c r="AL328" s="20"/>
      <c r="AM328" s="20"/>
      <c r="AN328" s="20"/>
      <c r="AO328" s="20"/>
      <c r="AP328" s="446"/>
      <c r="AQ328" s="20"/>
      <c r="AR328" s="20"/>
      <c r="AS328" s="20"/>
      <c r="AT328" s="20"/>
      <c r="AU328" s="26"/>
      <c r="AV328" s="98"/>
      <c r="AW328" s="98"/>
      <c r="AX328" s="98"/>
      <c r="AY328" s="98"/>
      <c r="AZ328" s="98"/>
      <c r="BA328" s="217"/>
      <c r="BB328" s="98"/>
      <c r="BC328" s="98"/>
      <c r="BD328" s="98"/>
      <c r="BE328" s="98"/>
      <c r="BF328" s="98"/>
      <c r="BG328" s="219"/>
      <c r="BH328" s="219"/>
      <c r="BI328" s="219"/>
      <c r="BJ328" s="26"/>
      <c r="BK328" s="21"/>
      <c r="BL328" s="21"/>
      <c r="BM328" s="22"/>
      <c r="BN328" s="21"/>
      <c r="BO328" s="21"/>
      <c r="BP328" s="22"/>
      <c r="BQ328" s="21"/>
      <c r="BR328" s="21"/>
      <c r="BS328" s="22"/>
      <c r="BT32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28" s="109" t="str">
        <f>IF(ISNUMBER(tblParticipants[[#This Row],[SvcStartDate]]),IF(AND(tblParticipants[[#This Row],[EnrollQtr]]=1,tblParticipants[[#This Row],[SvcStartDate]]&lt;DATE(conProgYear,7,1)),1,""),"")</f>
        <v/>
      </c>
      <c r="BV32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28" s="232" t="str">
        <f t="shared" ca="1" si="5"/>
        <v/>
      </c>
      <c r="BX328" s="9">
        <f>IF(SUM(IF(tblParticipants[[#This Row],[AmIndOrAkNtv]]=1,1,0),IF(tblParticipants[[#This Row],[Asian]]=1,1,0),IF(tblParticipants[[#This Row],[BlkOrAfAmer]]=1,1,0),IF(tblParticipants[[#This Row],[NtvHawOrPacIsl]]=1,1,0),IF(tblParticipants[[#This Row],[White]]=1,1,0))&gt;1,1,0)</f>
        <v>0</v>
      </c>
      <c r="BY32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2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2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28" s="11">
        <f>IF(tblParticipants[[#This Row],[EarnWg2Qae]]=1,IFERROR(tblParticipants[[#This Row],[HoursPerWk2Qae]]*tblParticipants[[#This Row],[HrlyWg2Qae]]*13,0),0)</f>
        <v>0</v>
      </c>
      <c r="CC328" s="11">
        <f>IF(tblParticipants[[#This Row],[EarnWg3Qae]]=1,IFERROR(tblParticipants[[#This Row],[HoursPerWk3Qae]]*tblParticipants[[#This Row],[HrlyWg3Qae]]*13,0),0)</f>
        <v>0</v>
      </c>
      <c r="CD328" s="9">
        <f>IFERROR(IF(SUM(tblParticipants[[#This Row],[EarnWg1Qae]],tblParticipants[[#This Row],[EarnWg2Qae]],tblParticipants[[#This Row],[EarnWg3Qae]])=3,1,0),0)</f>
        <v>0</v>
      </c>
      <c r="CE328" s="12">
        <f>IF(tblParticipants[[#This Row],[EmplAll3Qae]]=1,tblParticipants[[#This Row],[Earnings2Qae]]+tblParticipants[[#This Row],[Earnings3Qae]],0)</f>
        <v>0</v>
      </c>
      <c r="CF328" s="407"/>
    </row>
    <row r="329" spans="1:84" x14ac:dyDescent="0.3">
      <c r="A329" s="19"/>
      <c r="B329" s="19"/>
      <c r="C329" s="20"/>
      <c r="D329" s="20"/>
      <c r="E329" s="26"/>
      <c r="F329" s="26"/>
      <c r="G329" s="26"/>
      <c r="H329" s="26"/>
      <c r="I329" s="26"/>
      <c r="J329" s="26"/>
      <c r="K329" s="26"/>
      <c r="L329" s="26"/>
      <c r="M329" s="20"/>
      <c r="N329" s="26"/>
      <c r="O329" s="22"/>
      <c r="P329" s="21"/>
      <c r="Q329" s="23"/>
      <c r="R329" s="21"/>
      <c r="S329" s="21"/>
      <c r="T329" s="21"/>
      <c r="U329" s="21"/>
      <c r="V329" s="21"/>
      <c r="W329" s="24"/>
      <c r="X329" s="20"/>
      <c r="Y329" s="20"/>
      <c r="Z329" s="21"/>
      <c r="AA329" s="21"/>
      <c r="AB329" s="21"/>
      <c r="AC329" s="21"/>
      <c r="AD329" s="21"/>
      <c r="AE329" s="21"/>
      <c r="AF329" s="21"/>
      <c r="AG329" s="21"/>
      <c r="AH329" s="21"/>
      <c r="AI329" s="25"/>
      <c r="AJ329" s="20"/>
      <c r="AK329" s="21"/>
      <c r="AL329" s="20"/>
      <c r="AM329" s="20"/>
      <c r="AN329" s="20"/>
      <c r="AO329" s="20"/>
      <c r="AP329" s="446"/>
      <c r="AQ329" s="20"/>
      <c r="AR329" s="20"/>
      <c r="AS329" s="20"/>
      <c r="AT329" s="20"/>
      <c r="AU329" s="26"/>
      <c r="AV329" s="98"/>
      <c r="AW329" s="98"/>
      <c r="AX329" s="98"/>
      <c r="AY329" s="98"/>
      <c r="AZ329" s="98"/>
      <c r="BA329" s="217"/>
      <c r="BB329" s="98"/>
      <c r="BC329" s="98"/>
      <c r="BD329" s="98"/>
      <c r="BE329" s="98"/>
      <c r="BF329" s="98"/>
      <c r="BG329" s="219"/>
      <c r="BH329" s="219"/>
      <c r="BI329" s="219"/>
      <c r="BJ329" s="26"/>
      <c r="BK329" s="21"/>
      <c r="BL329" s="21"/>
      <c r="BM329" s="22"/>
      <c r="BN329" s="21"/>
      <c r="BO329" s="21"/>
      <c r="BP329" s="22"/>
      <c r="BQ329" s="21"/>
      <c r="BR329" s="21"/>
      <c r="BS329" s="22"/>
      <c r="BT32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29" s="109" t="str">
        <f>IF(ISNUMBER(tblParticipants[[#This Row],[SvcStartDate]]),IF(AND(tblParticipants[[#This Row],[EnrollQtr]]=1,tblParticipants[[#This Row],[SvcStartDate]]&lt;DATE(conProgYear,7,1)),1,""),"")</f>
        <v/>
      </c>
      <c r="BV32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29" s="232" t="str">
        <f t="shared" ca="1" si="5"/>
        <v/>
      </c>
      <c r="BX329" s="9">
        <f>IF(SUM(IF(tblParticipants[[#This Row],[AmIndOrAkNtv]]=1,1,0),IF(tblParticipants[[#This Row],[Asian]]=1,1,0),IF(tblParticipants[[#This Row],[BlkOrAfAmer]]=1,1,0),IF(tblParticipants[[#This Row],[NtvHawOrPacIsl]]=1,1,0),IF(tblParticipants[[#This Row],[White]]=1,1,0))&gt;1,1,0)</f>
        <v>0</v>
      </c>
      <c r="BY32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2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2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29" s="11">
        <f>IF(tblParticipants[[#This Row],[EarnWg2Qae]]=1,IFERROR(tblParticipants[[#This Row],[HoursPerWk2Qae]]*tblParticipants[[#This Row],[HrlyWg2Qae]]*13,0),0)</f>
        <v>0</v>
      </c>
      <c r="CC329" s="11">
        <f>IF(tblParticipants[[#This Row],[EarnWg3Qae]]=1,IFERROR(tblParticipants[[#This Row],[HoursPerWk3Qae]]*tblParticipants[[#This Row],[HrlyWg3Qae]]*13,0),0)</f>
        <v>0</v>
      </c>
      <c r="CD329" s="9">
        <f>IFERROR(IF(SUM(tblParticipants[[#This Row],[EarnWg1Qae]],tblParticipants[[#This Row],[EarnWg2Qae]],tblParticipants[[#This Row],[EarnWg3Qae]])=3,1,0),0)</f>
        <v>0</v>
      </c>
      <c r="CE329" s="12">
        <f>IF(tblParticipants[[#This Row],[EmplAll3Qae]]=1,tblParticipants[[#This Row],[Earnings2Qae]]+tblParticipants[[#This Row],[Earnings3Qae]],0)</f>
        <v>0</v>
      </c>
      <c r="CF329" s="407"/>
    </row>
    <row r="330" spans="1:84" x14ac:dyDescent="0.3">
      <c r="A330" s="19"/>
      <c r="B330" s="19"/>
      <c r="C330" s="20"/>
      <c r="D330" s="20"/>
      <c r="E330" s="26"/>
      <c r="F330" s="26"/>
      <c r="G330" s="26"/>
      <c r="H330" s="26"/>
      <c r="I330" s="26"/>
      <c r="J330" s="26"/>
      <c r="K330" s="26"/>
      <c r="L330" s="26"/>
      <c r="M330" s="20"/>
      <c r="N330" s="26"/>
      <c r="O330" s="22"/>
      <c r="P330" s="21"/>
      <c r="Q330" s="23"/>
      <c r="R330" s="21"/>
      <c r="S330" s="21"/>
      <c r="T330" s="21"/>
      <c r="U330" s="21"/>
      <c r="V330" s="21"/>
      <c r="W330" s="24"/>
      <c r="X330" s="20"/>
      <c r="Y330" s="20"/>
      <c r="Z330" s="21"/>
      <c r="AA330" s="21"/>
      <c r="AB330" s="21"/>
      <c r="AC330" s="21"/>
      <c r="AD330" s="21"/>
      <c r="AE330" s="21"/>
      <c r="AF330" s="21"/>
      <c r="AG330" s="21"/>
      <c r="AH330" s="21"/>
      <c r="AI330" s="25"/>
      <c r="AJ330" s="20"/>
      <c r="AK330" s="21"/>
      <c r="AL330" s="20"/>
      <c r="AM330" s="20"/>
      <c r="AN330" s="20"/>
      <c r="AO330" s="20"/>
      <c r="AP330" s="446"/>
      <c r="AQ330" s="20"/>
      <c r="AR330" s="20"/>
      <c r="AS330" s="20"/>
      <c r="AT330" s="20"/>
      <c r="AU330" s="26"/>
      <c r="AV330" s="98"/>
      <c r="AW330" s="98"/>
      <c r="AX330" s="98"/>
      <c r="AY330" s="98"/>
      <c r="AZ330" s="98"/>
      <c r="BA330" s="217"/>
      <c r="BB330" s="98"/>
      <c r="BC330" s="98"/>
      <c r="BD330" s="98"/>
      <c r="BE330" s="98"/>
      <c r="BF330" s="98"/>
      <c r="BG330" s="219"/>
      <c r="BH330" s="219"/>
      <c r="BI330" s="219"/>
      <c r="BJ330" s="26"/>
      <c r="BK330" s="21"/>
      <c r="BL330" s="21"/>
      <c r="BM330" s="22"/>
      <c r="BN330" s="21"/>
      <c r="BO330" s="21"/>
      <c r="BP330" s="22"/>
      <c r="BQ330" s="21"/>
      <c r="BR330" s="21"/>
      <c r="BS330" s="22"/>
      <c r="BT33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30" s="109" t="str">
        <f>IF(ISNUMBER(tblParticipants[[#This Row],[SvcStartDate]]),IF(AND(tblParticipants[[#This Row],[EnrollQtr]]=1,tblParticipants[[#This Row],[SvcStartDate]]&lt;DATE(conProgYear,7,1)),1,""),"")</f>
        <v/>
      </c>
      <c r="BV33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30" s="232" t="str">
        <f t="shared" ca="1" si="5"/>
        <v/>
      </c>
      <c r="BX330" s="9">
        <f>IF(SUM(IF(tblParticipants[[#This Row],[AmIndOrAkNtv]]=1,1,0),IF(tblParticipants[[#This Row],[Asian]]=1,1,0),IF(tblParticipants[[#This Row],[BlkOrAfAmer]]=1,1,0),IF(tblParticipants[[#This Row],[NtvHawOrPacIsl]]=1,1,0),IF(tblParticipants[[#This Row],[White]]=1,1,0))&gt;1,1,0)</f>
        <v>0</v>
      </c>
      <c r="BY33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3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3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30" s="11">
        <f>IF(tblParticipants[[#This Row],[EarnWg2Qae]]=1,IFERROR(tblParticipants[[#This Row],[HoursPerWk2Qae]]*tblParticipants[[#This Row],[HrlyWg2Qae]]*13,0),0)</f>
        <v>0</v>
      </c>
      <c r="CC330" s="11">
        <f>IF(tblParticipants[[#This Row],[EarnWg3Qae]]=1,IFERROR(tblParticipants[[#This Row],[HoursPerWk3Qae]]*tblParticipants[[#This Row],[HrlyWg3Qae]]*13,0),0)</f>
        <v>0</v>
      </c>
      <c r="CD330" s="9">
        <f>IFERROR(IF(SUM(tblParticipants[[#This Row],[EarnWg1Qae]],tblParticipants[[#This Row],[EarnWg2Qae]],tblParticipants[[#This Row],[EarnWg3Qae]])=3,1,0),0)</f>
        <v>0</v>
      </c>
      <c r="CE330" s="12">
        <f>IF(tblParticipants[[#This Row],[EmplAll3Qae]]=1,tblParticipants[[#This Row],[Earnings2Qae]]+tblParticipants[[#This Row],[Earnings3Qae]],0)</f>
        <v>0</v>
      </c>
      <c r="CF330" s="407"/>
    </row>
    <row r="331" spans="1:84" x14ac:dyDescent="0.3">
      <c r="A331" s="19"/>
      <c r="B331" s="19"/>
      <c r="C331" s="20"/>
      <c r="D331" s="20"/>
      <c r="E331" s="26"/>
      <c r="F331" s="26"/>
      <c r="G331" s="26"/>
      <c r="H331" s="26"/>
      <c r="I331" s="26"/>
      <c r="J331" s="26"/>
      <c r="K331" s="26"/>
      <c r="L331" s="26"/>
      <c r="M331" s="20"/>
      <c r="N331" s="26"/>
      <c r="O331" s="22"/>
      <c r="P331" s="21"/>
      <c r="Q331" s="23"/>
      <c r="R331" s="21"/>
      <c r="S331" s="21"/>
      <c r="T331" s="21"/>
      <c r="U331" s="21"/>
      <c r="V331" s="21"/>
      <c r="W331" s="24"/>
      <c r="X331" s="20"/>
      <c r="Y331" s="20"/>
      <c r="Z331" s="21"/>
      <c r="AA331" s="21"/>
      <c r="AB331" s="21"/>
      <c r="AC331" s="21"/>
      <c r="AD331" s="21"/>
      <c r="AE331" s="21"/>
      <c r="AF331" s="21"/>
      <c r="AG331" s="21"/>
      <c r="AH331" s="21"/>
      <c r="AI331" s="25"/>
      <c r="AJ331" s="20"/>
      <c r="AK331" s="21"/>
      <c r="AL331" s="20"/>
      <c r="AM331" s="20"/>
      <c r="AN331" s="20"/>
      <c r="AO331" s="20"/>
      <c r="AP331" s="446"/>
      <c r="AQ331" s="20"/>
      <c r="AR331" s="20"/>
      <c r="AS331" s="20"/>
      <c r="AT331" s="20"/>
      <c r="AU331" s="26"/>
      <c r="AV331" s="98"/>
      <c r="AW331" s="98"/>
      <c r="AX331" s="98"/>
      <c r="AY331" s="98"/>
      <c r="AZ331" s="98"/>
      <c r="BA331" s="217"/>
      <c r="BB331" s="98"/>
      <c r="BC331" s="98"/>
      <c r="BD331" s="98"/>
      <c r="BE331" s="98"/>
      <c r="BF331" s="98"/>
      <c r="BG331" s="219"/>
      <c r="BH331" s="219"/>
      <c r="BI331" s="219"/>
      <c r="BJ331" s="26"/>
      <c r="BK331" s="21"/>
      <c r="BL331" s="21"/>
      <c r="BM331" s="22"/>
      <c r="BN331" s="21"/>
      <c r="BO331" s="21"/>
      <c r="BP331" s="22"/>
      <c r="BQ331" s="21"/>
      <c r="BR331" s="21"/>
      <c r="BS331" s="22"/>
      <c r="BT33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31" s="109" t="str">
        <f>IF(ISNUMBER(tblParticipants[[#This Row],[SvcStartDate]]),IF(AND(tblParticipants[[#This Row],[EnrollQtr]]=1,tblParticipants[[#This Row],[SvcStartDate]]&lt;DATE(conProgYear,7,1)),1,""),"")</f>
        <v/>
      </c>
      <c r="BV33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31" s="232" t="str">
        <f t="shared" ca="1" si="5"/>
        <v/>
      </c>
      <c r="BX331" s="9">
        <f>IF(SUM(IF(tblParticipants[[#This Row],[AmIndOrAkNtv]]=1,1,0),IF(tblParticipants[[#This Row],[Asian]]=1,1,0),IF(tblParticipants[[#This Row],[BlkOrAfAmer]]=1,1,0),IF(tblParticipants[[#This Row],[NtvHawOrPacIsl]]=1,1,0),IF(tblParticipants[[#This Row],[White]]=1,1,0))&gt;1,1,0)</f>
        <v>0</v>
      </c>
      <c r="BY33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3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3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31" s="11">
        <f>IF(tblParticipants[[#This Row],[EarnWg2Qae]]=1,IFERROR(tblParticipants[[#This Row],[HoursPerWk2Qae]]*tblParticipants[[#This Row],[HrlyWg2Qae]]*13,0),0)</f>
        <v>0</v>
      </c>
      <c r="CC331" s="11">
        <f>IF(tblParticipants[[#This Row],[EarnWg3Qae]]=1,IFERROR(tblParticipants[[#This Row],[HoursPerWk3Qae]]*tblParticipants[[#This Row],[HrlyWg3Qae]]*13,0),0)</f>
        <v>0</v>
      </c>
      <c r="CD331" s="9">
        <f>IFERROR(IF(SUM(tblParticipants[[#This Row],[EarnWg1Qae]],tblParticipants[[#This Row],[EarnWg2Qae]],tblParticipants[[#This Row],[EarnWg3Qae]])=3,1,0),0)</f>
        <v>0</v>
      </c>
      <c r="CE331" s="12">
        <f>IF(tblParticipants[[#This Row],[EmplAll3Qae]]=1,tblParticipants[[#This Row],[Earnings2Qae]]+tblParticipants[[#This Row],[Earnings3Qae]],0)</f>
        <v>0</v>
      </c>
      <c r="CF331" s="407"/>
    </row>
    <row r="332" spans="1:84" x14ac:dyDescent="0.3">
      <c r="A332" s="19"/>
      <c r="B332" s="19"/>
      <c r="C332" s="20"/>
      <c r="D332" s="20"/>
      <c r="E332" s="26"/>
      <c r="F332" s="26"/>
      <c r="G332" s="26"/>
      <c r="H332" s="26"/>
      <c r="I332" s="26"/>
      <c r="J332" s="26"/>
      <c r="K332" s="26"/>
      <c r="L332" s="26"/>
      <c r="M332" s="20"/>
      <c r="N332" s="26"/>
      <c r="O332" s="22"/>
      <c r="P332" s="21"/>
      <c r="Q332" s="23"/>
      <c r="R332" s="21"/>
      <c r="S332" s="21"/>
      <c r="T332" s="21"/>
      <c r="U332" s="21"/>
      <c r="V332" s="21"/>
      <c r="W332" s="24"/>
      <c r="X332" s="20"/>
      <c r="Y332" s="20"/>
      <c r="Z332" s="21"/>
      <c r="AA332" s="21"/>
      <c r="AB332" s="21"/>
      <c r="AC332" s="21"/>
      <c r="AD332" s="21"/>
      <c r="AE332" s="21"/>
      <c r="AF332" s="21"/>
      <c r="AG332" s="21"/>
      <c r="AH332" s="21"/>
      <c r="AI332" s="25"/>
      <c r="AJ332" s="20"/>
      <c r="AK332" s="21"/>
      <c r="AL332" s="20"/>
      <c r="AM332" s="20"/>
      <c r="AN332" s="20"/>
      <c r="AO332" s="20"/>
      <c r="AP332" s="446"/>
      <c r="AQ332" s="20"/>
      <c r="AR332" s="20"/>
      <c r="AS332" s="20"/>
      <c r="AT332" s="20"/>
      <c r="AU332" s="26"/>
      <c r="AV332" s="98"/>
      <c r="AW332" s="98"/>
      <c r="AX332" s="98"/>
      <c r="AY332" s="98"/>
      <c r="AZ332" s="98"/>
      <c r="BA332" s="217"/>
      <c r="BB332" s="98"/>
      <c r="BC332" s="98"/>
      <c r="BD332" s="98"/>
      <c r="BE332" s="98"/>
      <c r="BF332" s="98"/>
      <c r="BG332" s="219"/>
      <c r="BH332" s="219"/>
      <c r="BI332" s="219"/>
      <c r="BJ332" s="26"/>
      <c r="BK332" s="21"/>
      <c r="BL332" s="21"/>
      <c r="BM332" s="22"/>
      <c r="BN332" s="21"/>
      <c r="BO332" s="21"/>
      <c r="BP332" s="22"/>
      <c r="BQ332" s="21"/>
      <c r="BR332" s="21"/>
      <c r="BS332" s="22"/>
      <c r="BT33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32" s="109" t="str">
        <f>IF(ISNUMBER(tblParticipants[[#This Row],[SvcStartDate]]),IF(AND(tblParticipants[[#This Row],[EnrollQtr]]=1,tblParticipants[[#This Row],[SvcStartDate]]&lt;DATE(conProgYear,7,1)),1,""),"")</f>
        <v/>
      </c>
      <c r="BV33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32" s="232" t="str">
        <f t="shared" ca="1" si="5"/>
        <v/>
      </c>
      <c r="BX332" s="9">
        <f>IF(SUM(IF(tblParticipants[[#This Row],[AmIndOrAkNtv]]=1,1,0),IF(tblParticipants[[#This Row],[Asian]]=1,1,0),IF(tblParticipants[[#This Row],[BlkOrAfAmer]]=1,1,0),IF(tblParticipants[[#This Row],[NtvHawOrPacIsl]]=1,1,0),IF(tblParticipants[[#This Row],[White]]=1,1,0))&gt;1,1,0)</f>
        <v>0</v>
      </c>
      <c r="BY33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3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3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32" s="11">
        <f>IF(tblParticipants[[#This Row],[EarnWg2Qae]]=1,IFERROR(tblParticipants[[#This Row],[HoursPerWk2Qae]]*tblParticipants[[#This Row],[HrlyWg2Qae]]*13,0),0)</f>
        <v>0</v>
      </c>
      <c r="CC332" s="11">
        <f>IF(tblParticipants[[#This Row],[EarnWg3Qae]]=1,IFERROR(tblParticipants[[#This Row],[HoursPerWk3Qae]]*tblParticipants[[#This Row],[HrlyWg3Qae]]*13,0),0)</f>
        <v>0</v>
      </c>
      <c r="CD332" s="9">
        <f>IFERROR(IF(SUM(tblParticipants[[#This Row],[EarnWg1Qae]],tblParticipants[[#This Row],[EarnWg2Qae]],tblParticipants[[#This Row],[EarnWg3Qae]])=3,1,0),0)</f>
        <v>0</v>
      </c>
      <c r="CE332" s="12">
        <f>IF(tblParticipants[[#This Row],[EmplAll3Qae]]=1,tblParticipants[[#This Row],[Earnings2Qae]]+tblParticipants[[#This Row],[Earnings3Qae]],0)</f>
        <v>0</v>
      </c>
      <c r="CF332" s="407"/>
    </row>
    <row r="333" spans="1:84" x14ac:dyDescent="0.3">
      <c r="A333" s="19"/>
      <c r="B333" s="19"/>
      <c r="C333" s="20"/>
      <c r="D333" s="20"/>
      <c r="E333" s="26"/>
      <c r="F333" s="26"/>
      <c r="G333" s="26"/>
      <c r="H333" s="26"/>
      <c r="I333" s="26"/>
      <c r="J333" s="26"/>
      <c r="K333" s="26"/>
      <c r="L333" s="26"/>
      <c r="M333" s="20"/>
      <c r="N333" s="26"/>
      <c r="O333" s="22"/>
      <c r="P333" s="21"/>
      <c r="Q333" s="23"/>
      <c r="R333" s="21"/>
      <c r="S333" s="21"/>
      <c r="T333" s="21"/>
      <c r="U333" s="21"/>
      <c r="V333" s="21"/>
      <c r="W333" s="24"/>
      <c r="X333" s="20"/>
      <c r="Y333" s="20"/>
      <c r="Z333" s="21"/>
      <c r="AA333" s="21"/>
      <c r="AB333" s="21"/>
      <c r="AC333" s="21"/>
      <c r="AD333" s="21"/>
      <c r="AE333" s="21"/>
      <c r="AF333" s="21"/>
      <c r="AG333" s="21"/>
      <c r="AH333" s="21"/>
      <c r="AI333" s="25"/>
      <c r="AJ333" s="20"/>
      <c r="AK333" s="21"/>
      <c r="AL333" s="20"/>
      <c r="AM333" s="20"/>
      <c r="AN333" s="20"/>
      <c r="AO333" s="20"/>
      <c r="AP333" s="446"/>
      <c r="AQ333" s="20"/>
      <c r="AR333" s="20"/>
      <c r="AS333" s="20"/>
      <c r="AT333" s="20"/>
      <c r="AU333" s="26"/>
      <c r="AV333" s="98"/>
      <c r="AW333" s="98"/>
      <c r="AX333" s="98"/>
      <c r="AY333" s="98"/>
      <c r="AZ333" s="98"/>
      <c r="BA333" s="217"/>
      <c r="BB333" s="98"/>
      <c r="BC333" s="98"/>
      <c r="BD333" s="98"/>
      <c r="BE333" s="98"/>
      <c r="BF333" s="98"/>
      <c r="BG333" s="219"/>
      <c r="BH333" s="219"/>
      <c r="BI333" s="219"/>
      <c r="BJ333" s="26"/>
      <c r="BK333" s="21"/>
      <c r="BL333" s="21"/>
      <c r="BM333" s="22"/>
      <c r="BN333" s="21"/>
      <c r="BO333" s="21"/>
      <c r="BP333" s="22"/>
      <c r="BQ333" s="21"/>
      <c r="BR333" s="21"/>
      <c r="BS333" s="22"/>
      <c r="BT33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33" s="109" t="str">
        <f>IF(ISNUMBER(tblParticipants[[#This Row],[SvcStartDate]]),IF(AND(tblParticipants[[#This Row],[EnrollQtr]]=1,tblParticipants[[#This Row],[SvcStartDate]]&lt;DATE(conProgYear,7,1)),1,""),"")</f>
        <v/>
      </c>
      <c r="BV33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33" s="232" t="str">
        <f t="shared" ca="1" si="5"/>
        <v/>
      </c>
      <c r="BX333" s="9">
        <f>IF(SUM(IF(tblParticipants[[#This Row],[AmIndOrAkNtv]]=1,1,0),IF(tblParticipants[[#This Row],[Asian]]=1,1,0),IF(tblParticipants[[#This Row],[BlkOrAfAmer]]=1,1,0),IF(tblParticipants[[#This Row],[NtvHawOrPacIsl]]=1,1,0),IF(tblParticipants[[#This Row],[White]]=1,1,0))&gt;1,1,0)</f>
        <v>0</v>
      </c>
      <c r="BY33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3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3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33" s="11">
        <f>IF(tblParticipants[[#This Row],[EarnWg2Qae]]=1,IFERROR(tblParticipants[[#This Row],[HoursPerWk2Qae]]*tblParticipants[[#This Row],[HrlyWg2Qae]]*13,0),0)</f>
        <v>0</v>
      </c>
      <c r="CC333" s="11">
        <f>IF(tblParticipants[[#This Row],[EarnWg3Qae]]=1,IFERROR(tblParticipants[[#This Row],[HoursPerWk3Qae]]*tblParticipants[[#This Row],[HrlyWg3Qae]]*13,0),0)</f>
        <v>0</v>
      </c>
      <c r="CD333" s="9">
        <f>IFERROR(IF(SUM(tblParticipants[[#This Row],[EarnWg1Qae]],tblParticipants[[#This Row],[EarnWg2Qae]],tblParticipants[[#This Row],[EarnWg3Qae]])=3,1,0),0)</f>
        <v>0</v>
      </c>
      <c r="CE333" s="12">
        <f>IF(tblParticipants[[#This Row],[EmplAll3Qae]]=1,tblParticipants[[#This Row],[Earnings2Qae]]+tblParticipants[[#This Row],[Earnings3Qae]],0)</f>
        <v>0</v>
      </c>
      <c r="CF333" s="407"/>
    </row>
    <row r="334" spans="1:84" x14ac:dyDescent="0.3">
      <c r="A334" s="19"/>
      <c r="B334" s="19"/>
      <c r="C334" s="20"/>
      <c r="D334" s="20"/>
      <c r="E334" s="26"/>
      <c r="F334" s="26"/>
      <c r="G334" s="26"/>
      <c r="H334" s="26"/>
      <c r="I334" s="26"/>
      <c r="J334" s="26"/>
      <c r="K334" s="26"/>
      <c r="L334" s="26"/>
      <c r="M334" s="20"/>
      <c r="N334" s="26"/>
      <c r="O334" s="22"/>
      <c r="P334" s="21"/>
      <c r="Q334" s="23"/>
      <c r="R334" s="21"/>
      <c r="S334" s="21"/>
      <c r="T334" s="21"/>
      <c r="U334" s="21"/>
      <c r="V334" s="21"/>
      <c r="W334" s="24"/>
      <c r="X334" s="20"/>
      <c r="Y334" s="20"/>
      <c r="Z334" s="21"/>
      <c r="AA334" s="21"/>
      <c r="AB334" s="21"/>
      <c r="AC334" s="21"/>
      <c r="AD334" s="21"/>
      <c r="AE334" s="21"/>
      <c r="AF334" s="21"/>
      <c r="AG334" s="21"/>
      <c r="AH334" s="21"/>
      <c r="AI334" s="25"/>
      <c r="AJ334" s="20"/>
      <c r="AK334" s="21"/>
      <c r="AL334" s="20"/>
      <c r="AM334" s="20"/>
      <c r="AN334" s="20"/>
      <c r="AO334" s="20"/>
      <c r="AP334" s="446"/>
      <c r="AQ334" s="20"/>
      <c r="AR334" s="20"/>
      <c r="AS334" s="20"/>
      <c r="AT334" s="20"/>
      <c r="AU334" s="26"/>
      <c r="AV334" s="98"/>
      <c r="AW334" s="98"/>
      <c r="AX334" s="98"/>
      <c r="AY334" s="98"/>
      <c r="AZ334" s="98"/>
      <c r="BA334" s="217"/>
      <c r="BB334" s="98"/>
      <c r="BC334" s="98"/>
      <c r="BD334" s="98"/>
      <c r="BE334" s="98"/>
      <c r="BF334" s="98"/>
      <c r="BG334" s="219"/>
      <c r="BH334" s="219"/>
      <c r="BI334" s="219"/>
      <c r="BJ334" s="26"/>
      <c r="BK334" s="21"/>
      <c r="BL334" s="21"/>
      <c r="BM334" s="22"/>
      <c r="BN334" s="21"/>
      <c r="BO334" s="21"/>
      <c r="BP334" s="22"/>
      <c r="BQ334" s="21"/>
      <c r="BR334" s="21"/>
      <c r="BS334" s="22"/>
      <c r="BT33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34" s="109" t="str">
        <f>IF(ISNUMBER(tblParticipants[[#This Row],[SvcStartDate]]),IF(AND(tblParticipants[[#This Row],[EnrollQtr]]=1,tblParticipants[[#This Row],[SvcStartDate]]&lt;DATE(conProgYear,7,1)),1,""),"")</f>
        <v/>
      </c>
      <c r="BV33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34" s="232" t="str">
        <f t="shared" ca="1" si="5"/>
        <v/>
      </c>
      <c r="BX334" s="9">
        <f>IF(SUM(IF(tblParticipants[[#This Row],[AmIndOrAkNtv]]=1,1,0),IF(tblParticipants[[#This Row],[Asian]]=1,1,0),IF(tblParticipants[[#This Row],[BlkOrAfAmer]]=1,1,0),IF(tblParticipants[[#This Row],[NtvHawOrPacIsl]]=1,1,0),IF(tblParticipants[[#This Row],[White]]=1,1,0))&gt;1,1,0)</f>
        <v>0</v>
      </c>
      <c r="BY33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3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3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34" s="11">
        <f>IF(tblParticipants[[#This Row],[EarnWg2Qae]]=1,IFERROR(tblParticipants[[#This Row],[HoursPerWk2Qae]]*tblParticipants[[#This Row],[HrlyWg2Qae]]*13,0),0)</f>
        <v>0</v>
      </c>
      <c r="CC334" s="11">
        <f>IF(tblParticipants[[#This Row],[EarnWg3Qae]]=1,IFERROR(tblParticipants[[#This Row],[HoursPerWk3Qae]]*tblParticipants[[#This Row],[HrlyWg3Qae]]*13,0),0)</f>
        <v>0</v>
      </c>
      <c r="CD334" s="9">
        <f>IFERROR(IF(SUM(tblParticipants[[#This Row],[EarnWg1Qae]],tblParticipants[[#This Row],[EarnWg2Qae]],tblParticipants[[#This Row],[EarnWg3Qae]])=3,1,0),0)</f>
        <v>0</v>
      </c>
      <c r="CE334" s="12">
        <f>IF(tblParticipants[[#This Row],[EmplAll3Qae]]=1,tblParticipants[[#This Row],[Earnings2Qae]]+tblParticipants[[#This Row],[Earnings3Qae]],0)</f>
        <v>0</v>
      </c>
      <c r="CF334" s="407"/>
    </row>
    <row r="335" spans="1:84" x14ac:dyDescent="0.3">
      <c r="A335" s="19"/>
      <c r="B335" s="19"/>
      <c r="C335" s="20"/>
      <c r="D335" s="20"/>
      <c r="E335" s="26"/>
      <c r="F335" s="26"/>
      <c r="G335" s="26"/>
      <c r="H335" s="26"/>
      <c r="I335" s="26"/>
      <c r="J335" s="26"/>
      <c r="K335" s="26"/>
      <c r="L335" s="26"/>
      <c r="M335" s="20"/>
      <c r="N335" s="26"/>
      <c r="O335" s="22"/>
      <c r="P335" s="21"/>
      <c r="Q335" s="23"/>
      <c r="R335" s="21"/>
      <c r="S335" s="21"/>
      <c r="T335" s="21"/>
      <c r="U335" s="21"/>
      <c r="V335" s="21"/>
      <c r="W335" s="24"/>
      <c r="X335" s="20"/>
      <c r="Y335" s="20"/>
      <c r="Z335" s="21"/>
      <c r="AA335" s="21"/>
      <c r="AB335" s="21"/>
      <c r="AC335" s="21"/>
      <c r="AD335" s="21"/>
      <c r="AE335" s="21"/>
      <c r="AF335" s="21"/>
      <c r="AG335" s="21"/>
      <c r="AH335" s="21"/>
      <c r="AI335" s="25"/>
      <c r="AJ335" s="20"/>
      <c r="AK335" s="21"/>
      <c r="AL335" s="20"/>
      <c r="AM335" s="20"/>
      <c r="AN335" s="20"/>
      <c r="AO335" s="20"/>
      <c r="AP335" s="446"/>
      <c r="AQ335" s="20"/>
      <c r="AR335" s="20"/>
      <c r="AS335" s="20"/>
      <c r="AT335" s="20"/>
      <c r="AU335" s="26"/>
      <c r="AV335" s="98"/>
      <c r="AW335" s="98"/>
      <c r="AX335" s="98"/>
      <c r="AY335" s="98"/>
      <c r="AZ335" s="98"/>
      <c r="BA335" s="217"/>
      <c r="BB335" s="98"/>
      <c r="BC335" s="98"/>
      <c r="BD335" s="98"/>
      <c r="BE335" s="98"/>
      <c r="BF335" s="98"/>
      <c r="BG335" s="219"/>
      <c r="BH335" s="219"/>
      <c r="BI335" s="219"/>
      <c r="BJ335" s="26"/>
      <c r="BK335" s="21"/>
      <c r="BL335" s="21"/>
      <c r="BM335" s="22"/>
      <c r="BN335" s="21"/>
      <c r="BO335" s="21"/>
      <c r="BP335" s="22"/>
      <c r="BQ335" s="21"/>
      <c r="BR335" s="21"/>
      <c r="BS335" s="22"/>
      <c r="BT33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35" s="109" t="str">
        <f>IF(ISNUMBER(tblParticipants[[#This Row],[SvcStartDate]]),IF(AND(tblParticipants[[#This Row],[EnrollQtr]]=1,tblParticipants[[#This Row],[SvcStartDate]]&lt;DATE(conProgYear,7,1)),1,""),"")</f>
        <v/>
      </c>
      <c r="BV33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35" s="232" t="str">
        <f t="shared" ca="1" si="5"/>
        <v/>
      </c>
      <c r="BX335" s="9">
        <f>IF(SUM(IF(tblParticipants[[#This Row],[AmIndOrAkNtv]]=1,1,0),IF(tblParticipants[[#This Row],[Asian]]=1,1,0),IF(tblParticipants[[#This Row],[BlkOrAfAmer]]=1,1,0),IF(tblParticipants[[#This Row],[NtvHawOrPacIsl]]=1,1,0),IF(tblParticipants[[#This Row],[White]]=1,1,0))&gt;1,1,0)</f>
        <v>0</v>
      </c>
      <c r="BY33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3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3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35" s="11">
        <f>IF(tblParticipants[[#This Row],[EarnWg2Qae]]=1,IFERROR(tblParticipants[[#This Row],[HoursPerWk2Qae]]*tblParticipants[[#This Row],[HrlyWg2Qae]]*13,0),0)</f>
        <v>0</v>
      </c>
      <c r="CC335" s="11">
        <f>IF(tblParticipants[[#This Row],[EarnWg3Qae]]=1,IFERROR(tblParticipants[[#This Row],[HoursPerWk3Qae]]*tblParticipants[[#This Row],[HrlyWg3Qae]]*13,0),0)</f>
        <v>0</v>
      </c>
      <c r="CD335" s="9">
        <f>IFERROR(IF(SUM(tblParticipants[[#This Row],[EarnWg1Qae]],tblParticipants[[#This Row],[EarnWg2Qae]],tblParticipants[[#This Row],[EarnWg3Qae]])=3,1,0),0)</f>
        <v>0</v>
      </c>
      <c r="CE335" s="12">
        <f>IF(tblParticipants[[#This Row],[EmplAll3Qae]]=1,tblParticipants[[#This Row],[Earnings2Qae]]+tblParticipants[[#This Row],[Earnings3Qae]],0)</f>
        <v>0</v>
      </c>
      <c r="CF335" s="407"/>
    </row>
    <row r="336" spans="1:84" x14ac:dyDescent="0.3">
      <c r="A336" s="19"/>
      <c r="B336" s="19"/>
      <c r="C336" s="20"/>
      <c r="D336" s="20"/>
      <c r="E336" s="26"/>
      <c r="F336" s="26"/>
      <c r="G336" s="26"/>
      <c r="H336" s="26"/>
      <c r="I336" s="26"/>
      <c r="J336" s="26"/>
      <c r="K336" s="26"/>
      <c r="L336" s="26"/>
      <c r="M336" s="20"/>
      <c r="N336" s="26"/>
      <c r="O336" s="22"/>
      <c r="P336" s="21"/>
      <c r="Q336" s="23"/>
      <c r="R336" s="21"/>
      <c r="S336" s="21"/>
      <c r="T336" s="21"/>
      <c r="U336" s="21"/>
      <c r="V336" s="21"/>
      <c r="W336" s="24"/>
      <c r="X336" s="20"/>
      <c r="Y336" s="20"/>
      <c r="Z336" s="21"/>
      <c r="AA336" s="21"/>
      <c r="AB336" s="21"/>
      <c r="AC336" s="21"/>
      <c r="AD336" s="21"/>
      <c r="AE336" s="21"/>
      <c r="AF336" s="21"/>
      <c r="AG336" s="21"/>
      <c r="AH336" s="21"/>
      <c r="AI336" s="25"/>
      <c r="AJ336" s="20"/>
      <c r="AK336" s="21"/>
      <c r="AL336" s="20"/>
      <c r="AM336" s="20"/>
      <c r="AN336" s="20"/>
      <c r="AO336" s="20"/>
      <c r="AP336" s="446"/>
      <c r="AQ336" s="20"/>
      <c r="AR336" s="20"/>
      <c r="AS336" s="20"/>
      <c r="AT336" s="20"/>
      <c r="AU336" s="26"/>
      <c r="AV336" s="98"/>
      <c r="AW336" s="98"/>
      <c r="AX336" s="98"/>
      <c r="AY336" s="98"/>
      <c r="AZ336" s="98"/>
      <c r="BA336" s="217"/>
      <c r="BB336" s="98"/>
      <c r="BC336" s="98"/>
      <c r="BD336" s="98"/>
      <c r="BE336" s="98"/>
      <c r="BF336" s="98"/>
      <c r="BG336" s="219"/>
      <c r="BH336" s="219"/>
      <c r="BI336" s="219"/>
      <c r="BJ336" s="26"/>
      <c r="BK336" s="21"/>
      <c r="BL336" s="21"/>
      <c r="BM336" s="22"/>
      <c r="BN336" s="21"/>
      <c r="BO336" s="21"/>
      <c r="BP336" s="22"/>
      <c r="BQ336" s="21"/>
      <c r="BR336" s="21"/>
      <c r="BS336" s="22"/>
      <c r="BT33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36" s="109" t="str">
        <f>IF(ISNUMBER(tblParticipants[[#This Row],[SvcStartDate]]),IF(AND(tblParticipants[[#This Row],[EnrollQtr]]=1,tblParticipants[[#This Row],[SvcStartDate]]&lt;DATE(conProgYear,7,1)),1,""),"")</f>
        <v/>
      </c>
      <c r="BV33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36" s="232" t="str">
        <f t="shared" ca="1" si="5"/>
        <v/>
      </c>
      <c r="BX336" s="9">
        <f>IF(SUM(IF(tblParticipants[[#This Row],[AmIndOrAkNtv]]=1,1,0),IF(tblParticipants[[#This Row],[Asian]]=1,1,0),IF(tblParticipants[[#This Row],[BlkOrAfAmer]]=1,1,0),IF(tblParticipants[[#This Row],[NtvHawOrPacIsl]]=1,1,0),IF(tblParticipants[[#This Row],[White]]=1,1,0))&gt;1,1,0)</f>
        <v>0</v>
      </c>
      <c r="BY33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3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3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36" s="11">
        <f>IF(tblParticipants[[#This Row],[EarnWg2Qae]]=1,IFERROR(tblParticipants[[#This Row],[HoursPerWk2Qae]]*tblParticipants[[#This Row],[HrlyWg2Qae]]*13,0),0)</f>
        <v>0</v>
      </c>
      <c r="CC336" s="11">
        <f>IF(tblParticipants[[#This Row],[EarnWg3Qae]]=1,IFERROR(tblParticipants[[#This Row],[HoursPerWk3Qae]]*tblParticipants[[#This Row],[HrlyWg3Qae]]*13,0),0)</f>
        <v>0</v>
      </c>
      <c r="CD336" s="9">
        <f>IFERROR(IF(SUM(tblParticipants[[#This Row],[EarnWg1Qae]],tblParticipants[[#This Row],[EarnWg2Qae]],tblParticipants[[#This Row],[EarnWg3Qae]])=3,1,0),0)</f>
        <v>0</v>
      </c>
      <c r="CE336" s="12">
        <f>IF(tblParticipants[[#This Row],[EmplAll3Qae]]=1,tblParticipants[[#This Row],[Earnings2Qae]]+tblParticipants[[#This Row],[Earnings3Qae]],0)</f>
        <v>0</v>
      </c>
      <c r="CF336" s="407"/>
    </row>
    <row r="337" spans="1:84" x14ac:dyDescent="0.3">
      <c r="A337" s="19"/>
      <c r="B337" s="19"/>
      <c r="C337" s="20"/>
      <c r="D337" s="20"/>
      <c r="E337" s="26"/>
      <c r="F337" s="26"/>
      <c r="G337" s="26"/>
      <c r="H337" s="26"/>
      <c r="I337" s="26"/>
      <c r="J337" s="26"/>
      <c r="K337" s="26"/>
      <c r="L337" s="26"/>
      <c r="M337" s="20"/>
      <c r="N337" s="26"/>
      <c r="O337" s="22"/>
      <c r="P337" s="21"/>
      <c r="Q337" s="23"/>
      <c r="R337" s="21"/>
      <c r="S337" s="21"/>
      <c r="T337" s="21"/>
      <c r="U337" s="21"/>
      <c r="V337" s="21"/>
      <c r="W337" s="24"/>
      <c r="X337" s="20"/>
      <c r="Y337" s="20"/>
      <c r="Z337" s="21"/>
      <c r="AA337" s="21"/>
      <c r="AB337" s="21"/>
      <c r="AC337" s="21"/>
      <c r="AD337" s="21"/>
      <c r="AE337" s="21"/>
      <c r="AF337" s="21"/>
      <c r="AG337" s="21"/>
      <c r="AH337" s="21"/>
      <c r="AI337" s="25"/>
      <c r="AJ337" s="20"/>
      <c r="AK337" s="21"/>
      <c r="AL337" s="20"/>
      <c r="AM337" s="20"/>
      <c r="AN337" s="20"/>
      <c r="AO337" s="20"/>
      <c r="AP337" s="446"/>
      <c r="AQ337" s="20"/>
      <c r="AR337" s="20"/>
      <c r="AS337" s="20"/>
      <c r="AT337" s="20"/>
      <c r="AU337" s="26"/>
      <c r="AV337" s="98"/>
      <c r="AW337" s="98"/>
      <c r="AX337" s="98"/>
      <c r="AY337" s="98"/>
      <c r="AZ337" s="98"/>
      <c r="BA337" s="217"/>
      <c r="BB337" s="98"/>
      <c r="BC337" s="98"/>
      <c r="BD337" s="98"/>
      <c r="BE337" s="98"/>
      <c r="BF337" s="98"/>
      <c r="BG337" s="219"/>
      <c r="BH337" s="219"/>
      <c r="BI337" s="219"/>
      <c r="BJ337" s="26"/>
      <c r="BK337" s="21"/>
      <c r="BL337" s="21"/>
      <c r="BM337" s="22"/>
      <c r="BN337" s="21"/>
      <c r="BO337" s="21"/>
      <c r="BP337" s="22"/>
      <c r="BQ337" s="21"/>
      <c r="BR337" s="21"/>
      <c r="BS337" s="22"/>
      <c r="BT33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37" s="109" t="str">
        <f>IF(ISNUMBER(tblParticipants[[#This Row],[SvcStartDate]]),IF(AND(tblParticipants[[#This Row],[EnrollQtr]]=1,tblParticipants[[#This Row],[SvcStartDate]]&lt;DATE(conProgYear,7,1)),1,""),"")</f>
        <v/>
      </c>
      <c r="BV33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37" s="232" t="str">
        <f t="shared" ca="1" si="5"/>
        <v/>
      </c>
      <c r="BX337" s="9">
        <f>IF(SUM(IF(tblParticipants[[#This Row],[AmIndOrAkNtv]]=1,1,0),IF(tblParticipants[[#This Row],[Asian]]=1,1,0),IF(tblParticipants[[#This Row],[BlkOrAfAmer]]=1,1,0),IF(tblParticipants[[#This Row],[NtvHawOrPacIsl]]=1,1,0),IF(tblParticipants[[#This Row],[White]]=1,1,0))&gt;1,1,0)</f>
        <v>0</v>
      </c>
      <c r="BY33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3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3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37" s="11">
        <f>IF(tblParticipants[[#This Row],[EarnWg2Qae]]=1,IFERROR(tblParticipants[[#This Row],[HoursPerWk2Qae]]*tblParticipants[[#This Row],[HrlyWg2Qae]]*13,0),0)</f>
        <v>0</v>
      </c>
      <c r="CC337" s="11">
        <f>IF(tblParticipants[[#This Row],[EarnWg3Qae]]=1,IFERROR(tblParticipants[[#This Row],[HoursPerWk3Qae]]*tblParticipants[[#This Row],[HrlyWg3Qae]]*13,0),0)</f>
        <v>0</v>
      </c>
      <c r="CD337" s="9">
        <f>IFERROR(IF(SUM(tblParticipants[[#This Row],[EarnWg1Qae]],tblParticipants[[#This Row],[EarnWg2Qae]],tblParticipants[[#This Row],[EarnWg3Qae]])=3,1,0),0)</f>
        <v>0</v>
      </c>
      <c r="CE337" s="12">
        <f>IF(tblParticipants[[#This Row],[EmplAll3Qae]]=1,tblParticipants[[#This Row],[Earnings2Qae]]+tblParticipants[[#This Row],[Earnings3Qae]],0)</f>
        <v>0</v>
      </c>
      <c r="CF337" s="407"/>
    </row>
    <row r="338" spans="1:84" x14ac:dyDescent="0.3">
      <c r="A338" s="19"/>
      <c r="B338" s="19"/>
      <c r="C338" s="20"/>
      <c r="D338" s="20"/>
      <c r="E338" s="26"/>
      <c r="F338" s="26"/>
      <c r="G338" s="26"/>
      <c r="H338" s="26"/>
      <c r="I338" s="26"/>
      <c r="J338" s="26"/>
      <c r="K338" s="26"/>
      <c r="L338" s="26"/>
      <c r="M338" s="20"/>
      <c r="N338" s="26"/>
      <c r="O338" s="22"/>
      <c r="P338" s="21"/>
      <c r="Q338" s="23"/>
      <c r="R338" s="21"/>
      <c r="S338" s="21"/>
      <c r="T338" s="21"/>
      <c r="U338" s="21"/>
      <c r="V338" s="21"/>
      <c r="W338" s="24"/>
      <c r="X338" s="20"/>
      <c r="Y338" s="20"/>
      <c r="Z338" s="21"/>
      <c r="AA338" s="21"/>
      <c r="AB338" s="21"/>
      <c r="AC338" s="21"/>
      <c r="AD338" s="21"/>
      <c r="AE338" s="21"/>
      <c r="AF338" s="21"/>
      <c r="AG338" s="21"/>
      <c r="AH338" s="21"/>
      <c r="AI338" s="25"/>
      <c r="AJ338" s="20"/>
      <c r="AK338" s="21"/>
      <c r="AL338" s="20"/>
      <c r="AM338" s="20"/>
      <c r="AN338" s="20"/>
      <c r="AO338" s="20"/>
      <c r="AP338" s="446"/>
      <c r="AQ338" s="20"/>
      <c r="AR338" s="20"/>
      <c r="AS338" s="20"/>
      <c r="AT338" s="20"/>
      <c r="AU338" s="26"/>
      <c r="AV338" s="98"/>
      <c r="AW338" s="98"/>
      <c r="AX338" s="98"/>
      <c r="AY338" s="98"/>
      <c r="AZ338" s="98"/>
      <c r="BA338" s="217"/>
      <c r="BB338" s="98"/>
      <c r="BC338" s="98"/>
      <c r="BD338" s="98"/>
      <c r="BE338" s="98"/>
      <c r="BF338" s="98"/>
      <c r="BG338" s="219"/>
      <c r="BH338" s="219"/>
      <c r="BI338" s="219"/>
      <c r="BJ338" s="26"/>
      <c r="BK338" s="21"/>
      <c r="BL338" s="21"/>
      <c r="BM338" s="22"/>
      <c r="BN338" s="21"/>
      <c r="BO338" s="21"/>
      <c r="BP338" s="22"/>
      <c r="BQ338" s="21"/>
      <c r="BR338" s="21"/>
      <c r="BS338" s="22"/>
      <c r="BT33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38" s="109" t="str">
        <f>IF(ISNUMBER(tblParticipants[[#This Row],[SvcStartDate]]),IF(AND(tblParticipants[[#This Row],[EnrollQtr]]=1,tblParticipants[[#This Row],[SvcStartDate]]&lt;DATE(conProgYear,7,1)),1,""),"")</f>
        <v/>
      </c>
      <c r="BV33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38" s="232" t="str">
        <f t="shared" ca="1" si="5"/>
        <v/>
      </c>
      <c r="BX338" s="9">
        <f>IF(SUM(IF(tblParticipants[[#This Row],[AmIndOrAkNtv]]=1,1,0),IF(tblParticipants[[#This Row],[Asian]]=1,1,0),IF(tblParticipants[[#This Row],[BlkOrAfAmer]]=1,1,0),IF(tblParticipants[[#This Row],[NtvHawOrPacIsl]]=1,1,0),IF(tblParticipants[[#This Row],[White]]=1,1,0))&gt;1,1,0)</f>
        <v>0</v>
      </c>
      <c r="BY33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3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3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38" s="11">
        <f>IF(tblParticipants[[#This Row],[EarnWg2Qae]]=1,IFERROR(tblParticipants[[#This Row],[HoursPerWk2Qae]]*tblParticipants[[#This Row],[HrlyWg2Qae]]*13,0),0)</f>
        <v>0</v>
      </c>
      <c r="CC338" s="11">
        <f>IF(tblParticipants[[#This Row],[EarnWg3Qae]]=1,IFERROR(tblParticipants[[#This Row],[HoursPerWk3Qae]]*tblParticipants[[#This Row],[HrlyWg3Qae]]*13,0),0)</f>
        <v>0</v>
      </c>
      <c r="CD338" s="9">
        <f>IFERROR(IF(SUM(tblParticipants[[#This Row],[EarnWg1Qae]],tblParticipants[[#This Row],[EarnWg2Qae]],tblParticipants[[#This Row],[EarnWg3Qae]])=3,1,0),0)</f>
        <v>0</v>
      </c>
      <c r="CE338" s="12">
        <f>IF(tblParticipants[[#This Row],[EmplAll3Qae]]=1,tblParticipants[[#This Row],[Earnings2Qae]]+tblParticipants[[#This Row],[Earnings3Qae]],0)</f>
        <v>0</v>
      </c>
      <c r="CF338" s="407"/>
    </row>
    <row r="339" spans="1:84" x14ac:dyDescent="0.3">
      <c r="A339" s="19"/>
      <c r="B339" s="19"/>
      <c r="C339" s="20"/>
      <c r="D339" s="20"/>
      <c r="E339" s="26"/>
      <c r="F339" s="26"/>
      <c r="G339" s="26"/>
      <c r="H339" s="26"/>
      <c r="I339" s="26"/>
      <c r="J339" s="26"/>
      <c r="K339" s="26"/>
      <c r="L339" s="26"/>
      <c r="M339" s="20"/>
      <c r="N339" s="26"/>
      <c r="O339" s="22"/>
      <c r="P339" s="21"/>
      <c r="Q339" s="23"/>
      <c r="R339" s="21"/>
      <c r="S339" s="21"/>
      <c r="T339" s="21"/>
      <c r="U339" s="21"/>
      <c r="V339" s="21"/>
      <c r="W339" s="24"/>
      <c r="X339" s="20"/>
      <c r="Y339" s="20"/>
      <c r="Z339" s="21"/>
      <c r="AA339" s="21"/>
      <c r="AB339" s="21"/>
      <c r="AC339" s="21"/>
      <c r="AD339" s="21"/>
      <c r="AE339" s="21"/>
      <c r="AF339" s="21"/>
      <c r="AG339" s="21"/>
      <c r="AH339" s="21"/>
      <c r="AI339" s="25"/>
      <c r="AJ339" s="20"/>
      <c r="AK339" s="21"/>
      <c r="AL339" s="20"/>
      <c r="AM339" s="20"/>
      <c r="AN339" s="20"/>
      <c r="AO339" s="20"/>
      <c r="AP339" s="446"/>
      <c r="AQ339" s="20"/>
      <c r="AR339" s="20"/>
      <c r="AS339" s="20"/>
      <c r="AT339" s="20"/>
      <c r="AU339" s="26"/>
      <c r="AV339" s="98"/>
      <c r="AW339" s="98"/>
      <c r="AX339" s="98"/>
      <c r="AY339" s="98"/>
      <c r="AZ339" s="98"/>
      <c r="BA339" s="217"/>
      <c r="BB339" s="98"/>
      <c r="BC339" s="98"/>
      <c r="BD339" s="98"/>
      <c r="BE339" s="98"/>
      <c r="BF339" s="98"/>
      <c r="BG339" s="219"/>
      <c r="BH339" s="219"/>
      <c r="BI339" s="219"/>
      <c r="BJ339" s="26"/>
      <c r="BK339" s="21"/>
      <c r="BL339" s="21"/>
      <c r="BM339" s="22"/>
      <c r="BN339" s="21"/>
      <c r="BO339" s="21"/>
      <c r="BP339" s="22"/>
      <c r="BQ339" s="21"/>
      <c r="BR339" s="21"/>
      <c r="BS339" s="22"/>
      <c r="BT33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39" s="109" t="str">
        <f>IF(ISNUMBER(tblParticipants[[#This Row],[SvcStartDate]]),IF(AND(tblParticipants[[#This Row],[EnrollQtr]]=1,tblParticipants[[#This Row],[SvcStartDate]]&lt;DATE(conProgYear,7,1)),1,""),"")</f>
        <v/>
      </c>
      <c r="BV33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39" s="232" t="str">
        <f t="shared" ca="1" si="5"/>
        <v/>
      </c>
      <c r="BX339" s="9">
        <f>IF(SUM(IF(tblParticipants[[#This Row],[AmIndOrAkNtv]]=1,1,0),IF(tblParticipants[[#This Row],[Asian]]=1,1,0),IF(tblParticipants[[#This Row],[BlkOrAfAmer]]=1,1,0),IF(tblParticipants[[#This Row],[NtvHawOrPacIsl]]=1,1,0),IF(tblParticipants[[#This Row],[White]]=1,1,0))&gt;1,1,0)</f>
        <v>0</v>
      </c>
      <c r="BY33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3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3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39" s="11">
        <f>IF(tblParticipants[[#This Row],[EarnWg2Qae]]=1,IFERROR(tblParticipants[[#This Row],[HoursPerWk2Qae]]*tblParticipants[[#This Row],[HrlyWg2Qae]]*13,0),0)</f>
        <v>0</v>
      </c>
      <c r="CC339" s="11">
        <f>IF(tblParticipants[[#This Row],[EarnWg3Qae]]=1,IFERROR(tblParticipants[[#This Row],[HoursPerWk3Qae]]*tblParticipants[[#This Row],[HrlyWg3Qae]]*13,0),0)</f>
        <v>0</v>
      </c>
      <c r="CD339" s="9">
        <f>IFERROR(IF(SUM(tblParticipants[[#This Row],[EarnWg1Qae]],tblParticipants[[#This Row],[EarnWg2Qae]],tblParticipants[[#This Row],[EarnWg3Qae]])=3,1,0),0)</f>
        <v>0</v>
      </c>
      <c r="CE339" s="12">
        <f>IF(tblParticipants[[#This Row],[EmplAll3Qae]]=1,tblParticipants[[#This Row],[Earnings2Qae]]+tblParticipants[[#This Row],[Earnings3Qae]],0)</f>
        <v>0</v>
      </c>
      <c r="CF339" s="407"/>
    </row>
    <row r="340" spans="1:84" x14ac:dyDescent="0.3">
      <c r="A340" s="19"/>
      <c r="B340" s="19"/>
      <c r="C340" s="20"/>
      <c r="D340" s="20"/>
      <c r="E340" s="26"/>
      <c r="F340" s="26"/>
      <c r="G340" s="26"/>
      <c r="H340" s="26"/>
      <c r="I340" s="26"/>
      <c r="J340" s="26"/>
      <c r="K340" s="26"/>
      <c r="L340" s="26"/>
      <c r="M340" s="20"/>
      <c r="N340" s="26"/>
      <c r="O340" s="22"/>
      <c r="P340" s="21"/>
      <c r="Q340" s="23"/>
      <c r="R340" s="21"/>
      <c r="S340" s="21"/>
      <c r="T340" s="21"/>
      <c r="U340" s="21"/>
      <c r="V340" s="21"/>
      <c r="W340" s="24"/>
      <c r="X340" s="20"/>
      <c r="Y340" s="20"/>
      <c r="Z340" s="21"/>
      <c r="AA340" s="21"/>
      <c r="AB340" s="21"/>
      <c r="AC340" s="21"/>
      <c r="AD340" s="21"/>
      <c r="AE340" s="21"/>
      <c r="AF340" s="21"/>
      <c r="AG340" s="21"/>
      <c r="AH340" s="21"/>
      <c r="AI340" s="25"/>
      <c r="AJ340" s="20"/>
      <c r="AK340" s="21"/>
      <c r="AL340" s="20"/>
      <c r="AM340" s="20"/>
      <c r="AN340" s="20"/>
      <c r="AO340" s="20"/>
      <c r="AP340" s="446"/>
      <c r="AQ340" s="20"/>
      <c r="AR340" s="20"/>
      <c r="AS340" s="20"/>
      <c r="AT340" s="20"/>
      <c r="AU340" s="26"/>
      <c r="AV340" s="98"/>
      <c r="AW340" s="98"/>
      <c r="AX340" s="98"/>
      <c r="AY340" s="98"/>
      <c r="AZ340" s="98"/>
      <c r="BA340" s="217"/>
      <c r="BB340" s="98"/>
      <c r="BC340" s="98"/>
      <c r="BD340" s="98"/>
      <c r="BE340" s="98"/>
      <c r="BF340" s="98"/>
      <c r="BG340" s="219"/>
      <c r="BH340" s="219"/>
      <c r="BI340" s="219"/>
      <c r="BJ340" s="26"/>
      <c r="BK340" s="21"/>
      <c r="BL340" s="21"/>
      <c r="BM340" s="22"/>
      <c r="BN340" s="21"/>
      <c r="BO340" s="21"/>
      <c r="BP340" s="22"/>
      <c r="BQ340" s="21"/>
      <c r="BR340" s="21"/>
      <c r="BS340" s="22"/>
      <c r="BT34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40" s="109" t="str">
        <f>IF(ISNUMBER(tblParticipants[[#This Row],[SvcStartDate]]),IF(AND(tblParticipants[[#This Row],[EnrollQtr]]=1,tblParticipants[[#This Row],[SvcStartDate]]&lt;DATE(conProgYear,7,1)),1,""),"")</f>
        <v/>
      </c>
      <c r="BV34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40" s="232" t="str">
        <f t="shared" ca="1" si="5"/>
        <v/>
      </c>
      <c r="BX340" s="9">
        <f>IF(SUM(IF(tblParticipants[[#This Row],[AmIndOrAkNtv]]=1,1,0),IF(tblParticipants[[#This Row],[Asian]]=1,1,0),IF(tblParticipants[[#This Row],[BlkOrAfAmer]]=1,1,0),IF(tblParticipants[[#This Row],[NtvHawOrPacIsl]]=1,1,0),IF(tblParticipants[[#This Row],[White]]=1,1,0))&gt;1,1,0)</f>
        <v>0</v>
      </c>
      <c r="BY34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4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4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40" s="11">
        <f>IF(tblParticipants[[#This Row],[EarnWg2Qae]]=1,IFERROR(tblParticipants[[#This Row],[HoursPerWk2Qae]]*tblParticipants[[#This Row],[HrlyWg2Qae]]*13,0),0)</f>
        <v>0</v>
      </c>
      <c r="CC340" s="11">
        <f>IF(tblParticipants[[#This Row],[EarnWg3Qae]]=1,IFERROR(tblParticipants[[#This Row],[HoursPerWk3Qae]]*tblParticipants[[#This Row],[HrlyWg3Qae]]*13,0),0)</f>
        <v>0</v>
      </c>
      <c r="CD340" s="9">
        <f>IFERROR(IF(SUM(tblParticipants[[#This Row],[EarnWg1Qae]],tblParticipants[[#This Row],[EarnWg2Qae]],tblParticipants[[#This Row],[EarnWg3Qae]])=3,1,0),0)</f>
        <v>0</v>
      </c>
      <c r="CE340" s="12">
        <f>IF(tblParticipants[[#This Row],[EmplAll3Qae]]=1,tblParticipants[[#This Row],[Earnings2Qae]]+tblParticipants[[#This Row],[Earnings3Qae]],0)</f>
        <v>0</v>
      </c>
      <c r="CF340" s="407"/>
    </row>
    <row r="341" spans="1:84" x14ac:dyDescent="0.3">
      <c r="A341" s="19"/>
      <c r="B341" s="19"/>
      <c r="C341" s="20"/>
      <c r="D341" s="20"/>
      <c r="E341" s="26"/>
      <c r="F341" s="26"/>
      <c r="G341" s="26"/>
      <c r="H341" s="26"/>
      <c r="I341" s="26"/>
      <c r="J341" s="26"/>
      <c r="K341" s="26"/>
      <c r="L341" s="26"/>
      <c r="M341" s="20"/>
      <c r="N341" s="26"/>
      <c r="O341" s="22"/>
      <c r="P341" s="21"/>
      <c r="Q341" s="23"/>
      <c r="R341" s="21"/>
      <c r="S341" s="21"/>
      <c r="T341" s="21"/>
      <c r="U341" s="21"/>
      <c r="V341" s="21"/>
      <c r="W341" s="24"/>
      <c r="X341" s="20"/>
      <c r="Y341" s="20"/>
      <c r="Z341" s="21"/>
      <c r="AA341" s="21"/>
      <c r="AB341" s="21"/>
      <c r="AC341" s="21"/>
      <c r="AD341" s="21"/>
      <c r="AE341" s="21"/>
      <c r="AF341" s="21"/>
      <c r="AG341" s="21"/>
      <c r="AH341" s="21"/>
      <c r="AI341" s="25"/>
      <c r="AJ341" s="20"/>
      <c r="AK341" s="21"/>
      <c r="AL341" s="20"/>
      <c r="AM341" s="20"/>
      <c r="AN341" s="20"/>
      <c r="AO341" s="20"/>
      <c r="AP341" s="446"/>
      <c r="AQ341" s="20"/>
      <c r="AR341" s="20"/>
      <c r="AS341" s="20"/>
      <c r="AT341" s="20"/>
      <c r="AU341" s="26"/>
      <c r="AV341" s="98"/>
      <c r="AW341" s="98"/>
      <c r="AX341" s="98"/>
      <c r="AY341" s="98"/>
      <c r="AZ341" s="98"/>
      <c r="BA341" s="217"/>
      <c r="BB341" s="98"/>
      <c r="BC341" s="98"/>
      <c r="BD341" s="98"/>
      <c r="BE341" s="98"/>
      <c r="BF341" s="98"/>
      <c r="BG341" s="219"/>
      <c r="BH341" s="219"/>
      <c r="BI341" s="219"/>
      <c r="BJ341" s="26"/>
      <c r="BK341" s="21"/>
      <c r="BL341" s="21"/>
      <c r="BM341" s="22"/>
      <c r="BN341" s="21"/>
      <c r="BO341" s="21"/>
      <c r="BP341" s="22"/>
      <c r="BQ341" s="21"/>
      <c r="BR341" s="21"/>
      <c r="BS341" s="22"/>
      <c r="BT34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41" s="109" t="str">
        <f>IF(ISNUMBER(tblParticipants[[#This Row],[SvcStartDate]]),IF(AND(tblParticipants[[#This Row],[EnrollQtr]]=1,tblParticipants[[#This Row],[SvcStartDate]]&lt;DATE(conProgYear,7,1)),1,""),"")</f>
        <v/>
      </c>
      <c r="BV34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41" s="232" t="str">
        <f t="shared" ca="1" si="5"/>
        <v/>
      </c>
      <c r="BX341" s="9">
        <f>IF(SUM(IF(tblParticipants[[#This Row],[AmIndOrAkNtv]]=1,1,0),IF(tblParticipants[[#This Row],[Asian]]=1,1,0),IF(tblParticipants[[#This Row],[BlkOrAfAmer]]=1,1,0),IF(tblParticipants[[#This Row],[NtvHawOrPacIsl]]=1,1,0),IF(tblParticipants[[#This Row],[White]]=1,1,0))&gt;1,1,0)</f>
        <v>0</v>
      </c>
      <c r="BY34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4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4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41" s="11">
        <f>IF(tblParticipants[[#This Row],[EarnWg2Qae]]=1,IFERROR(tblParticipants[[#This Row],[HoursPerWk2Qae]]*tblParticipants[[#This Row],[HrlyWg2Qae]]*13,0),0)</f>
        <v>0</v>
      </c>
      <c r="CC341" s="11">
        <f>IF(tblParticipants[[#This Row],[EarnWg3Qae]]=1,IFERROR(tblParticipants[[#This Row],[HoursPerWk3Qae]]*tblParticipants[[#This Row],[HrlyWg3Qae]]*13,0),0)</f>
        <v>0</v>
      </c>
      <c r="CD341" s="9">
        <f>IFERROR(IF(SUM(tblParticipants[[#This Row],[EarnWg1Qae]],tblParticipants[[#This Row],[EarnWg2Qae]],tblParticipants[[#This Row],[EarnWg3Qae]])=3,1,0),0)</f>
        <v>0</v>
      </c>
      <c r="CE341" s="12">
        <f>IF(tblParticipants[[#This Row],[EmplAll3Qae]]=1,tblParticipants[[#This Row],[Earnings2Qae]]+tblParticipants[[#This Row],[Earnings3Qae]],0)</f>
        <v>0</v>
      </c>
      <c r="CF341" s="407"/>
    </row>
    <row r="342" spans="1:84" x14ac:dyDescent="0.3">
      <c r="A342" s="19"/>
      <c r="B342" s="19"/>
      <c r="C342" s="20"/>
      <c r="D342" s="20"/>
      <c r="E342" s="26"/>
      <c r="F342" s="26"/>
      <c r="G342" s="26"/>
      <c r="H342" s="26"/>
      <c r="I342" s="26"/>
      <c r="J342" s="26"/>
      <c r="K342" s="26"/>
      <c r="L342" s="26"/>
      <c r="M342" s="20"/>
      <c r="N342" s="26"/>
      <c r="O342" s="22"/>
      <c r="P342" s="21"/>
      <c r="Q342" s="23"/>
      <c r="R342" s="21"/>
      <c r="S342" s="21"/>
      <c r="T342" s="21"/>
      <c r="U342" s="21"/>
      <c r="V342" s="21"/>
      <c r="W342" s="24"/>
      <c r="X342" s="20"/>
      <c r="Y342" s="20"/>
      <c r="Z342" s="21"/>
      <c r="AA342" s="21"/>
      <c r="AB342" s="21"/>
      <c r="AC342" s="21"/>
      <c r="AD342" s="21"/>
      <c r="AE342" s="21"/>
      <c r="AF342" s="21"/>
      <c r="AG342" s="21"/>
      <c r="AH342" s="21"/>
      <c r="AI342" s="25"/>
      <c r="AJ342" s="20"/>
      <c r="AK342" s="21"/>
      <c r="AL342" s="20"/>
      <c r="AM342" s="20"/>
      <c r="AN342" s="20"/>
      <c r="AO342" s="20"/>
      <c r="AP342" s="446"/>
      <c r="AQ342" s="20"/>
      <c r="AR342" s="20"/>
      <c r="AS342" s="20"/>
      <c r="AT342" s="20"/>
      <c r="AU342" s="26"/>
      <c r="AV342" s="98"/>
      <c r="AW342" s="98"/>
      <c r="AX342" s="98"/>
      <c r="AY342" s="98"/>
      <c r="AZ342" s="98"/>
      <c r="BA342" s="217"/>
      <c r="BB342" s="98"/>
      <c r="BC342" s="98"/>
      <c r="BD342" s="98"/>
      <c r="BE342" s="98"/>
      <c r="BF342" s="98"/>
      <c r="BG342" s="219"/>
      <c r="BH342" s="219"/>
      <c r="BI342" s="219"/>
      <c r="BJ342" s="26"/>
      <c r="BK342" s="21"/>
      <c r="BL342" s="21"/>
      <c r="BM342" s="22"/>
      <c r="BN342" s="21"/>
      <c r="BO342" s="21"/>
      <c r="BP342" s="22"/>
      <c r="BQ342" s="21"/>
      <c r="BR342" s="21"/>
      <c r="BS342" s="22"/>
      <c r="BT34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42" s="109" t="str">
        <f>IF(ISNUMBER(tblParticipants[[#This Row],[SvcStartDate]]),IF(AND(tblParticipants[[#This Row],[EnrollQtr]]=1,tblParticipants[[#This Row],[SvcStartDate]]&lt;DATE(conProgYear,7,1)),1,""),"")</f>
        <v/>
      </c>
      <c r="BV34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42" s="232" t="str">
        <f t="shared" ca="1" si="5"/>
        <v/>
      </c>
      <c r="BX342" s="9">
        <f>IF(SUM(IF(tblParticipants[[#This Row],[AmIndOrAkNtv]]=1,1,0),IF(tblParticipants[[#This Row],[Asian]]=1,1,0),IF(tblParticipants[[#This Row],[BlkOrAfAmer]]=1,1,0),IF(tblParticipants[[#This Row],[NtvHawOrPacIsl]]=1,1,0),IF(tblParticipants[[#This Row],[White]]=1,1,0))&gt;1,1,0)</f>
        <v>0</v>
      </c>
      <c r="BY34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4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4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42" s="11">
        <f>IF(tblParticipants[[#This Row],[EarnWg2Qae]]=1,IFERROR(tblParticipants[[#This Row],[HoursPerWk2Qae]]*tblParticipants[[#This Row],[HrlyWg2Qae]]*13,0),0)</f>
        <v>0</v>
      </c>
      <c r="CC342" s="11">
        <f>IF(tblParticipants[[#This Row],[EarnWg3Qae]]=1,IFERROR(tblParticipants[[#This Row],[HoursPerWk3Qae]]*tblParticipants[[#This Row],[HrlyWg3Qae]]*13,0),0)</f>
        <v>0</v>
      </c>
      <c r="CD342" s="9">
        <f>IFERROR(IF(SUM(tblParticipants[[#This Row],[EarnWg1Qae]],tblParticipants[[#This Row],[EarnWg2Qae]],tblParticipants[[#This Row],[EarnWg3Qae]])=3,1,0),0)</f>
        <v>0</v>
      </c>
      <c r="CE342" s="12">
        <f>IF(tblParticipants[[#This Row],[EmplAll3Qae]]=1,tblParticipants[[#This Row],[Earnings2Qae]]+tblParticipants[[#This Row],[Earnings3Qae]],0)</f>
        <v>0</v>
      </c>
      <c r="CF342" s="407"/>
    </row>
    <row r="343" spans="1:84" x14ac:dyDescent="0.3">
      <c r="A343" s="19"/>
      <c r="B343" s="19"/>
      <c r="C343" s="20"/>
      <c r="D343" s="20"/>
      <c r="E343" s="26"/>
      <c r="F343" s="26"/>
      <c r="G343" s="26"/>
      <c r="H343" s="26"/>
      <c r="I343" s="26"/>
      <c r="J343" s="26"/>
      <c r="K343" s="26"/>
      <c r="L343" s="26"/>
      <c r="M343" s="20"/>
      <c r="N343" s="26"/>
      <c r="O343" s="22"/>
      <c r="P343" s="21"/>
      <c r="Q343" s="23"/>
      <c r="R343" s="21"/>
      <c r="S343" s="21"/>
      <c r="T343" s="21"/>
      <c r="U343" s="21"/>
      <c r="V343" s="21"/>
      <c r="W343" s="24"/>
      <c r="X343" s="20"/>
      <c r="Y343" s="20"/>
      <c r="Z343" s="21"/>
      <c r="AA343" s="21"/>
      <c r="AB343" s="21"/>
      <c r="AC343" s="21"/>
      <c r="AD343" s="21"/>
      <c r="AE343" s="21"/>
      <c r="AF343" s="21"/>
      <c r="AG343" s="21"/>
      <c r="AH343" s="21"/>
      <c r="AI343" s="25"/>
      <c r="AJ343" s="20"/>
      <c r="AK343" s="21"/>
      <c r="AL343" s="20"/>
      <c r="AM343" s="20"/>
      <c r="AN343" s="20"/>
      <c r="AO343" s="20"/>
      <c r="AP343" s="446"/>
      <c r="AQ343" s="20"/>
      <c r="AR343" s="20"/>
      <c r="AS343" s="20"/>
      <c r="AT343" s="20"/>
      <c r="AU343" s="26"/>
      <c r="AV343" s="98"/>
      <c r="AW343" s="98"/>
      <c r="AX343" s="98"/>
      <c r="AY343" s="98"/>
      <c r="AZ343" s="98"/>
      <c r="BA343" s="217"/>
      <c r="BB343" s="98"/>
      <c r="BC343" s="98"/>
      <c r="BD343" s="98"/>
      <c r="BE343" s="98"/>
      <c r="BF343" s="98"/>
      <c r="BG343" s="219"/>
      <c r="BH343" s="219"/>
      <c r="BI343" s="219"/>
      <c r="BJ343" s="26"/>
      <c r="BK343" s="21"/>
      <c r="BL343" s="21"/>
      <c r="BM343" s="22"/>
      <c r="BN343" s="21"/>
      <c r="BO343" s="21"/>
      <c r="BP343" s="22"/>
      <c r="BQ343" s="21"/>
      <c r="BR343" s="21"/>
      <c r="BS343" s="22"/>
      <c r="BT34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43" s="109" t="str">
        <f>IF(ISNUMBER(tblParticipants[[#This Row],[SvcStartDate]]),IF(AND(tblParticipants[[#This Row],[EnrollQtr]]=1,tblParticipants[[#This Row],[SvcStartDate]]&lt;DATE(conProgYear,7,1)),1,""),"")</f>
        <v/>
      </c>
      <c r="BV34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43" s="232" t="str">
        <f t="shared" ca="1" si="5"/>
        <v/>
      </c>
      <c r="BX343" s="9">
        <f>IF(SUM(IF(tblParticipants[[#This Row],[AmIndOrAkNtv]]=1,1,0),IF(tblParticipants[[#This Row],[Asian]]=1,1,0),IF(tblParticipants[[#This Row],[BlkOrAfAmer]]=1,1,0),IF(tblParticipants[[#This Row],[NtvHawOrPacIsl]]=1,1,0),IF(tblParticipants[[#This Row],[White]]=1,1,0))&gt;1,1,0)</f>
        <v>0</v>
      </c>
      <c r="BY34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4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4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43" s="11">
        <f>IF(tblParticipants[[#This Row],[EarnWg2Qae]]=1,IFERROR(tblParticipants[[#This Row],[HoursPerWk2Qae]]*tblParticipants[[#This Row],[HrlyWg2Qae]]*13,0),0)</f>
        <v>0</v>
      </c>
      <c r="CC343" s="11">
        <f>IF(tblParticipants[[#This Row],[EarnWg3Qae]]=1,IFERROR(tblParticipants[[#This Row],[HoursPerWk3Qae]]*tblParticipants[[#This Row],[HrlyWg3Qae]]*13,0),0)</f>
        <v>0</v>
      </c>
      <c r="CD343" s="9">
        <f>IFERROR(IF(SUM(tblParticipants[[#This Row],[EarnWg1Qae]],tblParticipants[[#This Row],[EarnWg2Qae]],tblParticipants[[#This Row],[EarnWg3Qae]])=3,1,0),0)</f>
        <v>0</v>
      </c>
      <c r="CE343" s="12">
        <f>IF(tblParticipants[[#This Row],[EmplAll3Qae]]=1,tblParticipants[[#This Row],[Earnings2Qae]]+tblParticipants[[#This Row],[Earnings3Qae]],0)</f>
        <v>0</v>
      </c>
      <c r="CF343" s="407"/>
    </row>
    <row r="344" spans="1:84" x14ac:dyDescent="0.3">
      <c r="A344" s="19"/>
      <c r="B344" s="19"/>
      <c r="C344" s="20"/>
      <c r="D344" s="20"/>
      <c r="E344" s="26"/>
      <c r="F344" s="26"/>
      <c r="G344" s="26"/>
      <c r="H344" s="26"/>
      <c r="I344" s="26"/>
      <c r="J344" s="26"/>
      <c r="K344" s="26"/>
      <c r="L344" s="26"/>
      <c r="M344" s="20"/>
      <c r="N344" s="26"/>
      <c r="O344" s="22"/>
      <c r="P344" s="21"/>
      <c r="Q344" s="23"/>
      <c r="R344" s="21"/>
      <c r="S344" s="21"/>
      <c r="T344" s="21"/>
      <c r="U344" s="21"/>
      <c r="V344" s="21"/>
      <c r="W344" s="24"/>
      <c r="X344" s="20"/>
      <c r="Y344" s="20"/>
      <c r="Z344" s="21"/>
      <c r="AA344" s="21"/>
      <c r="AB344" s="21"/>
      <c r="AC344" s="21"/>
      <c r="AD344" s="21"/>
      <c r="AE344" s="21"/>
      <c r="AF344" s="21"/>
      <c r="AG344" s="21"/>
      <c r="AH344" s="21"/>
      <c r="AI344" s="25"/>
      <c r="AJ344" s="20"/>
      <c r="AK344" s="21"/>
      <c r="AL344" s="20"/>
      <c r="AM344" s="20"/>
      <c r="AN344" s="20"/>
      <c r="AO344" s="20"/>
      <c r="AP344" s="446"/>
      <c r="AQ344" s="20"/>
      <c r="AR344" s="20"/>
      <c r="AS344" s="20"/>
      <c r="AT344" s="20"/>
      <c r="AU344" s="26"/>
      <c r="AV344" s="98"/>
      <c r="AW344" s="98"/>
      <c r="AX344" s="98"/>
      <c r="AY344" s="98"/>
      <c r="AZ344" s="98"/>
      <c r="BA344" s="217"/>
      <c r="BB344" s="98"/>
      <c r="BC344" s="98"/>
      <c r="BD344" s="98"/>
      <c r="BE344" s="98"/>
      <c r="BF344" s="98"/>
      <c r="BG344" s="219"/>
      <c r="BH344" s="219"/>
      <c r="BI344" s="219"/>
      <c r="BJ344" s="26"/>
      <c r="BK344" s="21"/>
      <c r="BL344" s="21"/>
      <c r="BM344" s="22"/>
      <c r="BN344" s="21"/>
      <c r="BO344" s="21"/>
      <c r="BP344" s="22"/>
      <c r="BQ344" s="21"/>
      <c r="BR344" s="21"/>
      <c r="BS344" s="22"/>
      <c r="BT34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44" s="109" t="str">
        <f>IF(ISNUMBER(tblParticipants[[#This Row],[SvcStartDate]]),IF(AND(tblParticipants[[#This Row],[EnrollQtr]]=1,tblParticipants[[#This Row],[SvcStartDate]]&lt;DATE(conProgYear,7,1)),1,""),"")</f>
        <v/>
      </c>
      <c r="BV34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44" s="232" t="str">
        <f t="shared" ca="1" si="5"/>
        <v/>
      </c>
      <c r="BX344" s="9">
        <f>IF(SUM(IF(tblParticipants[[#This Row],[AmIndOrAkNtv]]=1,1,0),IF(tblParticipants[[#This Row],[Asian]]=1,1,0),IF(tblParticipants[[#This Row],[BlkOrAfAmer]]=1,1,0),IF(tblParticipants[[#This Row],[NtvHawOrPacIsl]]=1,1,0),IF(tblParticipants[[#This Row],[White]]=1,1,0))&gt;1,1,0)</f>
        <v>0</v>
      </c>
      <c r="BY34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4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4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44" s="11">
        <f>IF(tblParticipants[[#This Row],[EarnWg2Qae]]=1,IFERROR(tblParticipants[[#This Row],[HoursPerWk2Qae]]*tblParticipants[[#This Row],[HrlyWg2Qae]]*13,0),0)</f>
        <v>0</v>
      </c>
      <c r="CC344" s="11">
        <f>IF(tblParticipants[[#This Row],[EarnWg3Qae]]=1,IFERROR(tblParticipants[[#This Row],[HoursPerWk3Qae]]*tblParticipants[[#This Row],[HrlyWg3Qae]]*13,0),0)</f>
        <v>0</v>
      </c>
      <c r="CD344" s="9">
        <f>IFERROR(IF(SUM(tblParticipants[[#This Row],[EarnWg1Qae]],tblParticipants[[#This Row],[EarnWg2Qae]],tblParticipants[[#This Row],[EarnWg3Qae]])=3,1,0),0)</f>
        <v>0</v>
      </c>
      <c r="CE344" s="12">
        <f>IF(tblParticipants[[#This Row],[EmplAll3Qae]]=1,tblParticipants[[#This Row],[Earnings2Qae]]+tblParticipants[[#This Row],[Earnings3Qae]],0)</f>
        <v>0</v>
      </c>
      <c r="CF344" s="407"/>
    </row>
    <row r="345" spans="1:84" x14ac:dyDescent="0.3">
      <c r="A345" s="19"/>
      <c r="B345" s="19"/>
      <c r="C345" s="20"/>
      <c r="D345" s="20"/>
      <c r="E345" s="26"/>
      <c r="F345" s="26"/>
      <c r="G345" s="26"/>
      <c r="H345" s="26"/>
      <c r="I345" s="26"/>
      <c r="J345" s="26"/>
      <c r="K345" s="26"/>
      <c r="L345" s="26"/>
      <c r="M345" s="20"/>
      <c r="N345" s="26"/>
      <c r="O345" s="22"/>
      <c r="P345" s="21"/>
      <c r="Q345" s="23"/>
      <c r="R345" s="21"/>
      <c r="S345" s="21"/>
      <c r="T345" s="21"/>
      <c r="U345" s="21"/>
      <c r="V345" s="21"/>
      <c r="W345" s="24"/>
      <c r="X345" s="20"/>
      <c r="Y345" s="20"/>
      <c r="Z345" s="21"/>
      <c r="AA345" s="21"/>
      <c r="AB345" s="21"/>
      <c r="AC345" s="21"/>
      <c r="AD345" s="21"/>
      <c r="AE345" s="21"/>
      <c r="AF345" s="21"/>
      <c r="AG345" s="21"/>
      <c r="AH345" s="21"/>
      <c r="AI345" s="25"/>
      <c r="AJ345" s="20"/>
      <c r="AK345" s="21"/>
      <c r="AL345" s="20"/>
      <c r="AM345" s="20"/>
      <c r="AN345" s="20"/>
      <c r="AO345" s="20"/>
      <c r="AP345" s="446"/>
      <c r="AQ345" s="20"/>
      <c r="AR345" s="20"/>
      <c r="AS345" s="20"/>
      <c r="AT345" s="20"/>
      <c r="AU345" s="26"/>
      <c r="AV345" s="98"/>
      <c r="AW345" s="98"/>
      <c r="AX345" s="98"/>
      <c r="AY345" s="98"/>
      <c r="AZ345" s="98"/>
      <c r="BA345" s="217"/>
      <c r="BB345" s="98"/>
      <c r="BC345" s="98"/>
      <c r="BD345" s="98"/>
      <c r="BE345" s="98"/>
      <c r="BF345" s="98"/>
      <c r="BG345" s="219"/>
      <c r="BH345" s="219"/>
      <c r="BI345" s="219"/>
      <c r="BJ345" s="26"/>
      <c r="BK345" s="21"/>
      <c r="BL345" s="21"/>
      <c r="BM345" s="22"/>
      <c r="BN345" s="21"/>
      <c r="BO345" s="21"/>
      <c r="BP345" s="22"/>
      <c r="BQ345" s="21"/>
      <c r="BR345" s="21"/>
      <c r="BS345" s="22"/>
      <c r="BT34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45" s="109" t="str">
        <f>IF(ISNUMBER(tblParticipants[[#This Row],[SvcStartDate]]),IF(AND(tblParticipants[[#This Row],[EnrollQtr]]=1,tblParticipants[[#This Row],[SvcStartDate]]&lt;DATE(conProgYear,7,1)),1,""),"")</f>
        <v/>
      </c>
      <c r="BV34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45" s="232" t="str">
        <f t="shared" ca="1" si="5"/>
        <v/>
      </c>
      <c r="BX345" s="9">
        <f>IF(SUM(IF(tblParticipants[[#This Row],[AmIndOrAkNtv]]=1,1,0),IF(tblParticipants[[#This Row],[Asian]]=1,1,0),IF(tblParticipants[[#This Row],[BlkOrAfAmer]]=1,1,0),IF(tblParticipants[[#This Row],[NtvHawOrPacIsl]]=1,1,0),IF(tblParticipants[[#This Row],[White]]=1,1,0))&gt;1,1,0)</f>
        <v>0</v>
      </c>
      <c r="BY34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4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4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45" s="11">
        <f>IF(tblParticipants[[#This Row],[EarnWg2Qae]]=1,IFERROR(tblParticipants[[#This Row],[HoursPerWk2Qae]]*tblParticipants[[#This Row],[HrlyWg2Qae]]*13,0),0)</f>
        <v>0</v>
      </c>
      <c r="CC345" s="11">
        <f>IF(tblParticipants[[#This Row],[EarnWg3Qae]]=1,IFERROR(tblParticipants[[#This Row],[HoursPerWk3Qae]]*tblParticipants[[#This Row],[HrlyWg3Qae]]*13,0),0)</f>
        <v>0</v>
      </c>
      <c r="CD345" s="9">
        <f>IFERROR(IF(SUM(tblParticipants[[#This Row],[EarnWg1Qae]],tblParticipants[[#This Row],[EarnWg2Qae]],tblParticipants[[#This Row],[EarnWg3Qae]])=3,1,0),0)</f>
        <v>0</v>
      </c>
      <c r="CE345" s="12">
        <f>IF(tblParticipants[[#This Row],[EmplAll3Qae]]=1,tblParticipants[[#This Row],[Earnings2Qae]]+tblParticipants[[#This Row],[Earnings3Qae]],0)</f>
        <v>0</v>
      </c>
      <c r="CF345" s="407"/>
    </row>
    <row r="346" spans="1:84" x14ac:dyDescent="0.3">
      <c r="A346" s="19"/>
      <c r="B346" s="19"/>
      <c r="C346" s="20"/>
      <c r="D346" s="20"/>
      <c r="E346" s="26"/>
      <c r="F346" s="26"/>
      <c r="G346" s="26"/>
      <c r="H346" s="26"/>
      <c r="I346" s="26"/>
      <c r="J346" s="26"/>
      <c r="K346" s="26"/>
      <c r="L346" s="26"/>
      <c r="M346" s="20"/>
      <c r="N346" s="26"/>
      <c r="O346" s="22"/>
      <c r="P346" s="21"/>
      <c r="Q346" s="23"/>
      <c r="R346" s="21"/>
      <c r="S346" s="21"/>
      <c r="T346" s="21"/>
      <c r="U346" s="21"/>
      <c r="V346" s="21"/>
      <c r="W346" s="24"/>
      <c r="X346" s="20"/>
      <c r="Y346" s="20"/>
      <c r="Z346" s="21"/>
      <c r="AA346" s="21"/>
      <c r="AB346" s="21"/>
      <c r="AC346" s="21"/>
      <c r="AD346" s="21"/>
      <c r="AE346" s="21"/>
      <c r="AF346" s="21"/>
      <c r="AG346" s="21"/>
      <c r="AH346" s="21"/>
      <c r="AI346" s="25"/>
      <c r="AJ346" s="20"/>
      <c r="AK346" s="21"/>
      <c r="AL346" s="20"/>
      <c r="AM346" s="20"/>
      <c r="AN346" s="20"/>
      <c r="AO346" s="20"/>
      <c r="AP346" s="446"/>
      <c r="AQ346" s="20"/>
      <c r="AR346" s="20"/>
      <c r="AS346" s="20"/>
      <c r="AT346" s="20"/>
      <c r="AU346" s="26"/>
      <c r="AV346" s="98"/>
      <c r="AW346" s="98"/>
      <c r="AX346" s="98"/>
      <c r="AY346" s="98"/>
      <c r="AZ346" s="98"/>
      <c r="BA346" s="217"/>
      <c r="BB346" s="98"/>
      <c r="BC346" s="98"/>
      <c r="BD346" s="98"/>
      <c r="BE346" s="98"/>
      <c r="BF346" s="98"/>
      <c r="BG346" s="219"/>
      <c r="BH346" s="219"/>
      <c r="BI346" s="219"/>
      <c r="BJ346" s="26"/>
      <c r="BK346" s="21"/>
      <c r="BL346" s="21"/>
      <c r="BM346" s="22"/>
      <c r="BN346" s="21"/>
      <c r="BO346" s="21"/>
      <c r="BP346" s="22"/>
      <c r="BQ346" s="21"/>
      <c r="BR346" s="21"/>
      <c r="BS346" s="22"/>
      <c r="BT34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46" s="109" t="str">
        <f>IF(ISNUMBER(tblParticipants[[#This Row],[SvcStartDate]]),IF(AND(tblParticipants[[#This Row],[EnrollQtr]]=1,tblParticipants[[#This Row],[SvcStartDate]]&lt;DATE(conProgYear,7,1)),1,""),"")</f>
        <v/>
      </c>
      <c r="BV34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46" s="232" t="str">
        <f t="shared" ca="1" si="5"/>
        <v/>
      </c>
      <c r="BX346" s="9">
        <f>IF(SUM(IF(tblParticipants[[#This Row],[AmIndOrAkNtv]]=1,1,0),IF(tblParticipants[[#This Row],[Asian]]=1,1,0),IF(tblParticipants[[#This Row],[BlkOrAfAmer]]=1,1,0),IF(tblParticipants[[#This Row],[NtvHawOrPacIsl]]=1,1,0),IF(tblParticipants[[#This Row],[White]]=1,1,0))&gt;1,1,0)</f>
        <v>0</v>
      </c>
      <c r="BY34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4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4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46" s="11">
        <f>IF(tblParticipants[[#This Row],[EarnWg2Qae]]=1,IFERROR(tblParticipants[[#This Row],[HoursPerWk2Qae]]*tblParticipants[[#This Row],[HrlyWg2Qae]]*13,0),0)</f>
        <v>0</v>
      </c>
      <c r="CC346" s="11">
        <f>IF(tblParticipants[[#This Row],[EarnWg3Qae]]=1,IFERROR(tblParticipants[[#This Row],[HoursPerWk3Qae]]*tblParticipants[[#This Row],[HrlyWg3Qae]]*13,0),0)</f>
        <v>0</v>
      </c>
      <c r="CD346" s="9">
        <f>IFERROR(IF(SUM(tblParticipants[[#This Row],[EarnWg1Qae]],tblParticipants[[#This Row],[EarnWg2Qae]],tblParticipants[[#This Row],[EarnWg3Qae]])=3,1,0),0)</f>
        <v>0</v>
      </c>
      <c r="CE346" s="12">
        <f>IF(tblParticipants[[#This Row],[EmplAll3Qae]]=1,tblParticipants[[#This Row],[Earnings2Qae]]+tblParticipants[[#This Row],[Earnings3Qae]],0)</f>
        <v>0</v>
      </c>
      <c r="CF346" s="407"/>
    </row>
    <row r="347" spans="1:84" x14ac:dyDescent="0.3">
      <c r="A347" s="19"/>
      <c r="B347" s="19"/>
      <c r="C347" s="20"/>
      <c r="D347" s="20"/>
      <c r="E347" s="26"/>
      <c r="F347" s="26"/>
      <c r="G347" s="26"/>
      <c r="H347" s="26"/>
      <c r="I347" s="26"/>
      <c r="J347" s="26"/>
      <c r="K347" s="26"/>
      <c r="L347" s="26"/>
      <c r="M347" s="20"/>
      <c r="N347" s="26"/>
      <c r="O347" s="22"/>
      <c r="P347" s="21"/>
      <c r="Q347" s="23"/>
      <c r="R347" s="21"/>
      <c r="S347" s="21"/>
      <c r="T347" s="21"/>
      <c r="U347" s="21"/>
      <c r="V347" s="21"/>
      <c r="W347" s="24"/>
      <c r="X347" s="20"/>
      <c r="Y347" s="20"/>
      <c r="Z347" s="21"/>
      <c r="AA347" s="21"/>
      <c r="AB347" s="21"/>
      <c r="AC347" s="21"/>
      <c r="AD347" s="21"/>
      <c r="AE347" s="21"/>
      <c r="AF347" s="21"/>
      <c r="AG347" s="21"/>
      <c r="AH347" s="21"/>
      <c r="AI347" s="25"/>
      <c r="AJ347" s="20"/>
      <c r="AK347" s="21"/>
      <c r="AL347" s="20"/>
      <c r="AM347" s="20"/>
      <c r="AN347" s="20"/>
      <c r="AO347" s="20"/>
      <c r="AP347" s="446"/>
      <c r="AQ347" s="20"/>
      <c r="AR347" s="20"/>
      <c r="AS347" s="20"/>
      <c r="AT347" s="20"/>
      <c r="AU347" s="26"/>
      <c r="AV347" s="98"/>
      <c r="AW347" s="98"/>
      <c r="AX347" s="98"/>
      <c r="AY347" s="98"/>
      <c r="AZ347" s="98"/>
      <c r="BA347" s="217"/>
      <c r="BB347" s="98"/>
      <c r="BC347" s="98"/>
      <c r="BD347" s="98"/>
      <c r="BE347" s="98"/>
      <c r="BF347" s="98"/>
      <c r="BG347" s="219"/>
      <c r="BH347" s="219"/>
      <c r="BI347" s="219"/>
      <c r="BJ347" s="26"/>
      <c r="BK347" s="21"/>
      <c r="BL347" s="21"/>
      <c r="BM347" s="22"/>
      <c r="BN347" s="21"/>
      <c r="BO347" s="21"/>
      <c r="BP347" s="22"/>
      <c r="BQ347" s="21"/>
      <c r="BR347" s="21"/>
      <c r="BS347" s="22"/>
      <c r="BT34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47" s="109" t="str">
        <f>IF(ISNUMBER(tblParticipants[[#This Row],[SvcStartDate]]),IF(AND(tblParticipants[[#This Row],[EnrollQtr]]=1,tblParticipants[[#This Row],[SvcStartDate]]&lt;DATE(conProgYear,7,1)),1,""),"")</f>
        <v/>
      </c>
      <c r="BV34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47" s="232" t="str">
        <f t="shared" ca="1" si="5"/>
        <v/>
      </c>
      <c r="BX347" s="9">
        <f>IF(SUM(IF(tblParticipants[[#This Row],[AmIndOrAkNtv]]=1,1,0),IF(tblParticipants[[#This Row],[Asian]]=1,1,0),IF(tblParticipants[[#This Row],[BlkOrAfAmer]]=1,1,0),IF(tblParticipants[[#This Row],[NtvHawOrPacIsl]]=1,1,0),IF(tblParticipants[[#This Row],[White]]=1,1,0))&gt;1,1,0)</f>
        <v>0</v>
      </c>
      <c r="BY34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4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4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47" s="11">
        <f>IF(tblParticipants[[#This Row],[EarnWg2Qae]]=1,IFERROR(tblParticipants[[#This Row],[HoursPerWk2Qae]]*tblParticipants[[#This Row],[HrlyWg2Qae]]*13,0),0)</f>
        <v>0</v>
      </c>
      <c r="CC347" s="11">
        <f>IF(tblParticipants[[#This Row],[EarnWg3Qae]]=1,IFERROR(tblParticipants[[#This Row],[HoursPerWk3Qae]]*tblParticipants[[#This Row],[HrlyWg3Qae]]*13,0),0)</f>
        <v>0</v>
      </c>
      <c r="CD347" s="9">
        <f>IFERROR(IF(SUM(tblParticipants[[#This Row],[EarnWg1Qae]],tblParticipants[[#This Row],[EarnWg2Qae]],tblParticipants[[#This Row],[EarnWg3Qae]])=3,1,0),0)</f>
        <v>0</v>
      </c>
      <c r="CE347" s="12">
        <f>IF(tblParticipants[[#This Row],[EmplAll3Qae]]=1,tblParticipants[[#This Row],[Earnings2Qae]]+tblParticipants[[#This Row],[Earnings3Qae]],0)</f>
        <v>0</v>
      </c>
      <c r="CF347" s="407"/>
    </row>
    <row r="348" spans="1:84" x14ac:dyDescent="0.3">
      <c r="A348" s="19"/>
      <c r="B348" s="19"/>
      <c r="C348" s="20"/>
      <c r="D348" s="20"/>
      <c r="E348" s="26"/>
      <c r="F348" s="26"/>
      <c r="G348" s="26"/>
      <c r="H348" s="26"/>
      <c r="I348" s="26"/>
      <c r="J348" s="26"/>
      <c r="K348" s="26"/>
      <c r="L348" s="26"/>
      <c r="M348" s="20"/>
      <c r="N348" s="26"/>
      <c r="O348" s="22"/>
      <c r="P348" s="21"/>
      <c r="Q348" s="23"/>
      <c r="R348" s="21"/>
      <c r="S348" s="21"/>
      <c r="T348" s="21"/>
      <c r="U348" s="21"/>
      <c r="V348" s="21"/>
      <c r="W348" s="24"/>
      <c r="X348" s="20"/>
      <c r="Y348" s="20"/>
      <c r="Z348" s="21"/>
      <c r="AA348" s="21"/>
      <c r="AB348" s="21"/>
      <c r="AC348" s="21"/>
      <c r="AD348" s="21"/>
      <c r="AE348" s="21"/>
      <c r="AF348" s="21"/>
      <c r="AG348" s="21"/>
      <c r="AH348" s="21"/>
      <c r="AI348" s="25"/>
      <c r="AJ348" s="20"/>
      <c r="AK348" s="21"/>
      <c r="AL348" s="20"/>
      <c r="AM348" s="20"/>
      <c r="AN348" s="20"/>
      <c r="AO348" s="20"/>
      <c r="AP348" s="446"/>
      <c r="AQ348" s="20"/>
      <c r="AR348" s="20"/>
      <c r="AS348" s="20"/>
      <c r="AT348" s="20"/>
      <c r="AU348" s="26"/>
      <c r="AV348" s="98"/>
      <c r="AW348" s="98"/>
      <c r="AX348" s="98"/>
      <c r="AY348" s="98"/>
      <c r="AZ348" s="98"/>
      <c r="BA348" s="217"/>
      <c r="BB348" s="98"/>
      <c r="BC348" s="98"/>
      <c r="BD348" s="98"/>
      <c r="BE348" s="98"/>
      <c r="BF348" s="98"/>
      <c r="BG348" s="219"/>
      <c r="BH348" s="219"/>
      <c r="BI348" s="219"/>
      <c r="BJ348" s="26"/>
      <c r="BK348" s="21"/>
      <c r="BL348" s="21"/>
      <c r="BM348" s="22"/>
      <c r="BN348" s="21"/>
      <c r="BO348" s="21"/>
      <c r="BP348" s="22"/>
      <c r="BQ348" s="21"/>
      <c r="BR348" s="21"/>
      <c r="BS348" s="22"/>
      <c r="BT34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48" s="109" t="str">
        <f>IF(ISNUMBER(tblParticipants[[#This Row],[SvcStartDate]]),IF(AND(tblParticipants[[#This Row],[EnrollQtr]]=1,tblParticipants[[#This Row],[SvcStartDate]]&lt;DATE(conProgYear,7,1)),1,""),"")</f>
        <v/>
      </c>
      <c r="BV34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48" s="232" t="str">
        <f t="shared" ca="1" si="5"/>
        <v/>
      </c>
      <c r="BX348" s="9">
        <f>IF(SUM(IF(tblParticipants[[#This Row],[AmIndOrAkNtv]]=1,1,0),IF(tblParticipants[[#This Row],[Asian]]=1,1,0),IF(tblParticipants[[#This Row],[BlkOrAfAmer]]=1,1,0),IF(tblParticipants[[#This Row],[NtvHawOrPacIsl]]=1,1,0),IF(tblParticipants[[#This Row],[White]]=1,1,0))&gt;1,1,0)</f>
        <v>0</v>
      </c>
      <c r="BY34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4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4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48" s="11">
        <f>IF(tblParticipants[[#This Row],[EarnWg2Qae]]=1,IFERROR(tblParticipants[[#This Row],[HoursPerWk2Qae]]*tblParticipants[[#This Row],[HrlyWg2Qae]]*13,0),0)</f>
        <v>0</v>
      </c>
      <c r="CC348" s="11">
        <f>IF(tblParticipants[[#This Row],[EarnWg3Qae]]=1,IFERROR(tblParticipants[[#This Row],[HoursPerWk3Qae]]*tblParticipants[[#This Row],[HrlyWg3Qae]]*13,0),0)</f>
        <v>0</v>
      </c>
      <c r="CD348" s="9">
        <f>IFERROR(IF(SUM(tblParticipants[[#This Row],[EarnWg1Qae]],tblParticipants[[#This Row],[EarnWg2Qae]],tblParticipants[[#This Row],[EarnWg3Qae]])=3,1,0),0)</f>
        <v>0</v>
      </c>
      <c r="CE348" s="12">
        <f>IF(tblParticipants[[#This Row],[EmplAll3Qae]]=1,tblParticipants[[#This Row],[Earnings2Qae]]+tblParticipants[[#This Row],[Earnings3Qae]],0)</f>
        <v>0</v>
      </c>
      <c r="CF348" s="407"/>
    </row>
    <row r="349" spans="1:84" x14ac:dyDescent="0.3">
      <c r="A349" s="19"/>
      <c r="B349" s="19"/>
      <c r="C349" s="20"/>
      <c r="D349" s="20"/>
      <c r="E349" s="26"/>
      <c r="F349" s="26"/>
      <c r="G349" s="26"/>
      <c r="H349" s="26"/>
      <c r="I349" s="26"/>
      <c r="J349" s="26"/>
      <c r="K349" s="26"/>
      <c r="L349" s="26"/>
      <c r="M349" s="20"/>
      <c r="N349" s="26"/>
      <c r="O349" s="22"/>
      <c r="P349" s="21"/>
      <c r="Q349" s="23"/>
      <c r="R349" s="21"/>
      <c r="S349" s="21"/>
      <c r="T349" s="21"/>
      <c r="U349" s="21"/>
      <c r="V349" s="21"/>
      <c r="W349" s="24"/>
      <c r="X349" s="20"/>
      <c r="Y349" s="20"/>
      <c r="Z349" s="21"/>
      <c r="AA349" s="21"/>
      <c r="AB349" s="21"/>
      <c r="AC349" s="21"/>
      <c r="AD349" s="21"/>
      <c r="AE349" s="21"/>
      <c r="AF349" s="21"/>
      <c r="AG349" s="21"/>
      <c r="AH349" s="21"/>
      <c r="AI349" s="25"/>
      <c r="AJ349" s="20"/>
      <c r="AK349" s="21"/>
      <c r="AL349" s="20"/>
      <c r="AM349" s="20"/>
      <c r="AN349" s="20"/>
      <c r="AO349" s="20"/>
      <c r="AP349" s="446"/>
      <c r="AQ349" s="20"/>
      <c r="AR349" s="20"/>
      <c r="AS349" s="20"/>
      <c r="AT349" s="20"/>
      <c r="AU349" s="26"/>
      <c r="AV349" s="98"/>
      <c r="AW349" s="98"/>
      <c r="AX349" s="98"/>
      <c r="AY349" s="98"/>
      <c r="AZ349" s="98"/>
      <c r="BA349" s="217"/>
      <c r="BB349" s="98"/>
      <c r="BC349" s="98"/>
      <c r="BD349" s="98"/>
      <c r="BE349" s="98"/>
      <c r="BF349" s="98"/>
      <c r="BG349" s="219"/>
      <c r="BH349" s="219"/>
      <c r="BI349" s="219"/>
      <c r="BJ349" s="26"/>
      <c r="BK349" s="21"/>
      <c r="BL349" s="21"/>
      <c r="BM349" s="22"/>
      <c r="BN349" s="21"/>
      <c r="BO349" s="21"/>
      <c r="BP349" s="22"/>
      <c r="BQ349" s="21"/>
      <c r="BR349" s="21"/>
      <c r="BS349" s="22"/>
      <c r="BT34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49" s="109" t="str">
        <f>IF(ISNUMBER(tblParticipants[[#This Row],[SvcStartDate]]),IF(AND(tblParticipants[[#This Row],[EnrollQtr]]=1,tblParticipants[[#This Row],[SvcStartDate]]&lt;DATE(conProgYear,7,1)),1,""),"")</f>
        <v/>
      </c>
      <c r="BV34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49" s="232" t="str">
        <f t="shared" ca="1" si="5"/>
        <v/>
      </c>
      <c r="BX349" s="9">
        <f>IF(SUM(IF(tblParticipants[[#This Row],[AmIndOrAkNtv]]=1,1,0),IF(tblParticipants[[#This Row],[Asian]]=1,1,0),IF(tblParticipants[[#This Row],[BlkOrAfAmer]]=1,1,0),IF(tblParticipants[[#This Row],[NtvHawOrPacIsl]]=1,1,0),IF(tblParticipants[[#This Row],[White]]=1,1,0))&gt;1,1,0)</f>
        <v>0</v>
      </c>
      <c r="BY34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4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4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49" s="11">
        <f>IF(tblParticipants[[#This Row],[EarnWg2Qae]]=1,IFERROR(tblParticipants[[#This Row],[HoursPerWk2Qae]]*tblParticipants[[#This Row],[HrlyWg2Qae]]*13,0),0)</f>
        <v>0</v>
      </c>
      <c r="CC349" s="11">
        <f>IF(tblParticipants[[#This Row],[EarnWg3Qae]]=1,IFERROR(tblParticipants[[#This Row],[HoursPerWk3Qae]]*tblParticipants[[#This Row],[HrlyWg3Qae]]*13,0),0)</f>
        <v>0</v>
      </c>
      <c r="CD349" s="9">
        <f>IFERROR(IF(SUM(tblParticipants[[#This Row],[EarnWg1Qae]],tblParticipants[[#This Row],[EarnWg2Qae]],tblParticipants[[#This Row],[EarnWg3Qae]])=3,1,0),0)</f>
        <v>0</v>
      </c>
      <c r="CE349" s="12">
        <f>IF(tblParticipants[[#This Row],[EmplAll3Qae]]=1,tblParticipants[[#This Row],[Earnings2Qae]]+tblParticipants[[#This Row],[Earnings3Qae]],0)</f>
        <v>0</v>
      </c>
      <c r="CF349" s="407"/>
    </row>
    <row r="350" spans="1:84" x14ac:dyDescent="0.3">
      <c r="A350" s="19"/>
      <c r="B350" s="19"/>
      <c r="C350" s="20"/>
      <c r="D350" s="20"/>
      <c r="E350" s="26"/>
      <c r="F350" s="26"/>
      <c r="G350" s="26"/>
      <c r="H350" s="26"/>
      <c r="I350" s="26"/>
      <c r="J350" s="26"/>
      <c r="K350" s="26"/>
      <c r="L350" s="26"/>
      <c r="M350" s="20"/>
      <c r="N350" s="26"/>
      <c r="O350" s="22"/>
      <c r="P350" s="21"/>
      <c r="Q350" s="23"/>
      <c r="R350" s="21"/>
      <c r="S350" s="21"/>
      <c r="T350" s="21"/>
      <c r="U350" s="21"/>
      <c r="V350" s="21"/>
      <c r="W350" s="24"/>
      <c r="X350" s="20"/>
      <c r="Y350" s="20"/>
      <c r="Z350" s="21"/>
      <c r="AA350" s="21"/>
      <c r="AB350" s="21"/>
      <c r="AC350" s="21"/>
      <c r="AD350" s="21"/>
      <c r="AE350" s="21"/>
      <c r="AF350" s="21"/>
      <c r="AG350" s="21"/>
      <c r="AH350" s="21"/>
      <c r="AI350" s="25"/>
      <c r="AJ350" s="20"/>
      <c r="AK350" s="21"/>
      <c r="AL350" s="20"/>
      <c r="AM350" s="20"/>
      <c r="AN350" s="20"/>
      <c r="AO350" s="20"/>
      <c r="AP350" s="446"/>
      <c r="AQ350" s="20"/>
      <c r="AR350" s="20"/>
      <c r="AS350" s="20"/>
      <c r="AT350" s="20"/>
      <c r="AU350" s="26"/>
      <c r="AV350" s="98"/>
      <c r="AW350" s="98"/>
      <c r="AX350" s="98"/>
      <c r="AY350" s="98"/>
      <c r="AZ350" s="98"/>
      <c r="BA350" s="217"/>
      <c r="BB350" s="98"/>
      <c r="BC350" s="98"/>
      <c r="BD350" s="98"/>
      <c r="BE350" s="98"/>
      <c r="BF350" s="98"/>
      <c r="BG350" s="219"/>
      <c r="BH350" s="219"/>
      <c r="BI350" s="219"/>
      <c r="BJ350" s="26"/>
      <c r="BK350" s="21"/>
      <c r="BL350" s="21"/>
      <c r="BM350" s="22"/>
      <c r="BN350" s="21"/>
      <c r="BO350" s="21"/>
      <c r="BP350" s="22"/>
      <c r="BQ350" s="21"/>
      <c r="BR350" s="21"/>
      <c r="BS350" s="22"/>
      <c r="BT35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50" s="109" t="str">
        <f>IF(ISNUMBER(tblParticipants[[#This Row],[SvcStartDate]]),IF(AND(tblParticipants[[#This Row],[EnrollQtr]]=1,tblParticipants[[#This Row],[SvcStartDate]]&lt;DATE(conProgYear,7,1)),1,""),"")</f>
        <v/>
      </c>
      <c r="BV35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50" s="232" t="str">
        <f t="shared" ca="1" si="5"/>
        <v/>
      </c>
      <c r="BX350" s="9">
        <f>IF(SUM(IF(tblParticipants[[#This Row],[AmIndOrAkNtv]]=1,1,0),IF(tblParticipants[[#This Row],[Asian]]=1,1,0),IF(tblParticipants[[#This Row],[BlkOrAfAmer]]=1,1,0),IF(tblParticipants[[#This Row],[NtvHawOrPacIsl]]=1,1,0),IF(tblParticipants[[#This Row],[White]]=1,1,0))&gt;1,1,0)</f>
        <v>0</v>
      </c>
      <c r="BY35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5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5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50" s="11">
        <f>IF(tblParticipants[[#This Row],[EarnWg2Qae]]=1,IFERROR(tblParticipants[[#This Row],[HoursPerWk2Qae]]*tblParticipants[[#This Row],[HrlyWg2Qae]]*13,0),0)</f>
        <v>0</v>
      </c>
      <c r="CC350" s="11">
        <f>IF(tblParticipants[[#This Row],[EarnWg3Qae]]=1,IFERROR(tblParticipants[[#This Row],[HoursPerWk3Qae]]*tblParticipants[[#This Row],[HrlyWg3Qae]]*13,0),0)</f>
        <v>0</v>
      </c>
      <c r="CD350" s="9">
        <f>IFERROR(IF(SUM(tblParticipants[[#This Row],[EarnWg1Qae]],tblParticipants[[#This Row],[EarnWg2Qae]],tblParticipants[[#This Row],[EarnWg3Qae]])=3,1,0),0)</f>
        <v>0</v>
      </c>
      <c r="CE350" s="12">
        <f>IF(tblParticipants[[#This Row],[EmplAll3Qae]]=1,tblParticipants[[#This Row],[Earnings2Qae]]+tblParticipants[[#This Row],[Earnings3Qae]],0)</f>
        <v>0</v>
      </c>
      <c r="CF350" s="407"/>
    </row>
    <row r="351" spans="1:84" x14ac:dyDescent="0.3">
      <c r="A351" s="19"/>
      <c r="B351" s="19"/>
      <c r="C351" s="20"/>
      <c r="D351" s="20"/>
      <c r="E351" s="26"/>
      <c r="F351" s="26"/>
      <c r="G351" s="26"/>
      <c r="H351" s="26"/>
      <c r="I351" s="26"/>
      <c r="J351" s="26"/>
      <c r="K351" s="26"/>
      <c r="L351" s="26"/>
      <c r="M351" s="20"/>
      <c r="N351" s="26"/>
      <c r="O351" s="22"/>
      <c r="P351" s="21"/>
      <c r="Q351" s="23"/>
      <c r="R351" s="21"/>
      <c r="S351" s="21"/>
      <c r="T351" s="21"/>
      <c r="U351" s="21"/>
      <c r="V351" s="21"/>
      <c r="W351" s="24"/>
      <c r="X351" s="20"/>
      <c r="Y351" s="20"/>
      <c r="Z351" s="21"/>
      <c r="AA351" s="21"/>
      <c r="AB351" s="21"/>
      <c r="AC351" s="21"/>
      <c r="AD351" s="21"/>
      <c r="AE351" s="21"/>
      <c r="AF351" s="21"/>
      <c r="AG351" s="21"/>
      <c r="AH351" s="21"/>
      <c r="AI351" s="25"/>
      <c r="AJ351" s="20"/>
      <c r="AK351" s="21"/>
      <c r="AL351" s="20"/>
      <c r="AM351" s="20"/>
      <c r="AN351" s="20"/>
      <c r="AO351" s="20"/>
      <c r="AP351" s="446"/>
      <c r="AQ351" s="20"/>
      <c r="AR351" s="20"/>
      <c r="AS351" s="20"/>
      <c r="AT351" s="20"/>
      <c r="AU351" s="26"/>
      <c r="AV351" s="98"/>
      <c r="AW351" s="98"/>
      <c r="AX351" s="98"/>
      <c r="AY351" s="98"/>
      <c r="AZ351" s="98"/>
      <c r="BA351" s="217"/>
      <c r="BB351" s="98"/>
      <c r="BC351" s="98"/>
      <c r="BD351" s="98"/>
      <c r="BE351" s="98"/>
      <c r="BF351" s="98"/>
      <c r="BG351" s="219"/>
      <c r="BH351" s="219"/>
      <c r="BI351" s="219"/>
      <c r="BJ351" s="26"/>
      <c r="BK351" s="21"/>
      <c r="BL351" s="21"/>
      <c r="BM351" s="22"/>
      <c r="BN351" s="21"/>
      <c r="BO351" s="21"/>
      <c r="BP351" s="22"/>
      <c r="BQ351" s="21"/>
      <c r="BR351" s="21"/>
      <c r="BS351" s="22"/>
      <c r="BT35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51" s="109" t="str">
        <f>IF(ISNUMBER(tblParticipants[[#This Row],[SvcStartDate]]),IF(AND(tblParticipants[[#This Row],[EnrollQtr]]=1,tblParticipants[[#This Row],[SvcStartDate]]&lt;DATE(conProgYear,7,1)),1,""),"")</f>
        <v/>
      </c>
      <c r="BV35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51" s="232" t="str">
        <f t="shared" ca="1" si="5"/>
        <v/>
      </c>
      <c r="BX351" s="9">
        <f>IF(SUM(IF(tblParticipants[[#This Row],[AmIndOrAkNtv]]=1,1,0),IF(tblParticipants[[#This Row],[Asian]]=1,1,0),IF(tblParticipants[[#This Row],[BlkOrAfAmer]]=1,1,0),IF(tblParticipants[[#This Row],[NtvHawOrPacIsl]]=1,1,0),IF(tblParticipants[[#This Row],[White]]=1,1,0))&gt;1,1,0)</f>
        <v>0</v>
      </c>
      <c r="BY35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5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5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51" s="11">
        <f>IF(tblParticipants[[#This Row],[EarnWg2Qae]]=1,IFERROR(tblParticipants[[#This Row],[HoursPerWk2Qae]]*tblParticipants[[#This Row],[HrlyWg2Qae]]*13,0),0)</f>
        <v>0</v>
      </c>
      <c r="CC351" s="11">
        <f>IF(tblParticipants[[#This Row],[EarnWg3Qae]]=1,IFERROR(tblParticipants[[#This Row],[HoursPerWk3Qae]]*tblParticipants[[#This Row],[HrlyWg3Qae]]*13,0),0)</f>
        <v>0</v>
      </c>
      <c r="CD351" s="9">
        <f>IFERROR(IF(SUM(tblParticipants[[#This Row],[EarnWg1Qae]],tblParticipants[[#This Row],[EarnWg2Qae]],tblParticipants[[#This Row],[EarnWg3Qae]])=3,1,0),0)</f>
        <v>0</v>
      </c>
      <c r="CE351" s="12">
        <f>IF(tblParticipants[[#This Row],[EmplAll3Qae]]=1,tblParticipants[[#This Row],[Earnings2Qae]]+tblParticipants[[#This Row],[Earnings3Qae]],0)</f>
        <v>0</v>
      </c>
      <c r="CF351" s="407"/>
    </row>
    <row r="352" spans="1:84" x14ac:dyDescent="0.3">
      <c r="A352" s="19"/>
      <c r="B352" s="19"/>
      <c r="C352" s="20"/>
      <c r="D352" s="20"/>
      <c r="E352" s="26"/>
      <c r="F352" s="26"/>
      <c r="G352" s="26"/>
      <c r="H352" s="26"/>
      <c r="I352" s="26"/>
      <c r="J352" s="26"/>
      <c r="K352" s="26"/>
      <c r="L352" s="26"/>
      <c r="M352" s="20"/>
      <c r="N352" s="26"/>
      <c r="O352" s="22"/>
      <c r="P352" s="21"/>
      <c r="Q352" s="23"/>
      <c r="R352" s="21"/>
      <c r="S352" s="21"/>
      <c r="T352" s="21"/>
      <c r="U352" s="21"/>
      <c r="V352" s="21"/>
      <c r="W352" s="24"/>
      <c r="X352" s="20"/>
      <c r="Y352" s="20"/>
      <c r="Z352" s="21"/>
      <c r="AA352" s="21"/>
      <c r="AB352" s="21"/>
      <c r="AC352" s="21"/>
      <c r="AD352" s="21"/>
      <c r="AE352" s="21"/>
      <c r="AF352" s="21"/>
      <c r="AG352" s="21"/>
      <c r="AH352" s="21"/>
      <c r="AI352" s="25"/>
      <c r="AJ352" s="20"/>
      <c r="AK352" s="21"/>
      <c r="AL352" s="20"/>
      <c r="AM352" s="20"/>
      <c r="AN352" s="20"/>
      <c r="AO352" s="20"/>
      <c r="AP352" s="446"/>
      <c r="AQ352" s="20"/>
      <c r="AR352" s="20"/>
      <c r="AS352" s="20"/>
      <c r="AT352" s="20"/>
      <c r="AU352" s="26"/>
      <c r="AV352" s="98"/>
      <c r="AW352" s="98"/>
      <c r="AX352" s="98"/>
      <c r="AY352" s="98"/>
      <c r="AZ352" s="98"/>
      <c r="BA352" s="217"/>
      <c r="BB352" s="98"/>
      <c r="BC352" s="98"/>
      <c r="BD352" s="98"/>
      <c r="BE352" s="98"/>
      <c r="BF352" s="98"/>
      <c r="BG352" s="219"/>
      <c r="BH352" s="219"/>
      <c r="BI352" s="219"/>
      <c r="BJ352" s="26"/>
      <c r="BK352" s="21"/>
      <c r="BL352" s="21"/>
      <c r="BM352" s="22"/>
      <c r="BN352" s="21"/>
      <c r="BO352" s="21"/>
      <c r="BP352" s="22"/>
      <c r="BQ352" s="21"/>
      <c r="BR352" s="21"/>
      <c r="BS352" s="22"/>
      <c r="BT35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52" s="109" t="str">
        <f>IF(ISNUMBER(tblParticipants[[#This Row],[SvcStartDate]]),IF(AND(tblParticipants[[#This Row],[EnrollQtr]]=1,tblParticipants[[#This Row],[SvcStartDate]]&lt;DATE(conProgYear,7,1)),1,""),"")</f>
        <v/>
      </c>
      <c r="BV35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52" s="232" t="str">
        <f t="shared" ca="1" si="5"/>
        <v/>
      </c>
      <c r="BX352" s="9">
        <f>IF(SUM(IF(tblParticipants[[#This Row],[AmIndOrAkNtv]]=1,1,0),IF(tblParticipants[[#This Row],[Asian]]=1,1,0),IF(tblParticipants[[#This Row],[BlkOrAfAmer]]=1,1,0),IF(tblParticipants[[#This Row],[NtvHawOrPacIsl]]=1,1,0),IF(tblParticipants[[#This Row],[White]]=1,1,0))&gt;1,1,0)</f>
        <v>0</v>
      </c>
      <c r="BY35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5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5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52" s="11">
        <f>IF(tblParticipants[[#This Row],[EarnWg2Qae]]=1,IFERROR(tblParticipants[[#This Row],[HoursPerWk2Qae]]*tblParticipants[[#This Row],[HrlyWg2Qae]]*13,0),0)</f>
        <v>0</v>
      </c>
      <c r="CC352" s="11">
        <f>IF(tblParticipants[[#This Row],[EarnWg3Qae]]=1,IFERROR(tblParticipants[[#This Row],[HoursPerWk3Qae]]*tblParticipants[[#This Row],[HrlyWg3Qae]]*13,0),0)</f>
        <v>0</v>
      </c>
      <c r="CD352" s="9">
        <f>IFERROR(IF(SUM(tblParticipants[[#This Row],[EarnWg1Qae]],tblParticipants[[#This Row],[EarnWg2Qae]],tblParticipants[[#This Row],[EarnWg3Qae]])=3,1,0),0)</f>
        <v>0</v>
      </c>
      <c r="CE352" s="12">
        <f>IF(tblParticipants[[#This Row],[EmplAll3Qae]]=1,tblParticipants[[#This Row],[Earnings2Qae]]+tblParticipants[[#This Row],[Earnings3Qae]],0)</f>
        <v>0</v>
      </c>
      <c r="CF352" s="407"/>
    </row>
    <row r="353" spans="1:84" x14ac:dyDescent="0.3">
      <c r="A353" s="19"/>
      <c r="B353" s="19"/>
      <c r="C353" s="20"/>
      <c r="D353" s="20"/>
      <c r="E353" s="26"/>
      <c r="F353" s="26"/>
      <c r="G353" s="26"/>
      <c r="H353" s="26"/>
      <c r="I353" s="26"/>
      <c r="J353" s="26"/>
      <c r="K353" s="26"/>
      <c r="L353" s="26"/>
      <c r="M353" s="20"/>
      <c r="N353" s="26"/>
      <c r="O353" s="22"/>
      <c r="P353" s="21"/>
      <c r="Q353" s="23"/>
      <c r="R353" s="21"/>
      <c r="S353" s="21"/>
      <c r="T353" s="21"/>
      <c r="U353" s="21"/>
      <c r="V353" s="21"/>
      <c r="W353" s="24"/>
      <c r="X353" s="20"/>
      <c r="Y353" s="20"/>
      <c r="Z353" s="21"/>
      <c r="AA353" s="21"/>
      <c r="AB353" s="21"/>
      <c r="AC353" s="21"/>
      <c r="AD353" s="21"/>
      <c r="AE353" s="21"/>
      <c r="AF353" s="21"/>
      <c r="AG353" s="21"/>
      <c r="AH353" s="21"/>
      <c r="AI353" s="25"/>
      <c r="AJ353" s="20"/>
      <c r="AK353" s="21"/>
      <c r="AL353" s="20"/>
      <c r="AM353" s="20"/>
      <c r="AN353" s="20"/>
      <c r="AO353" s="20"/>
      <c r="AP353" s="446"/>
      <c r="AQ353" s="20"/>
      <c r="AR353" s="20"/>
      <c r="AS353" s="20"/>
      <c r="AT353" s="20"/>
      <c r="AU353" s="26"/>
      <c r="AV353" s="98"/>
      <c r="AW353" s="98"/>
      <c r="AX353" s="98"/>
      <c r="AY353" s="98"/>
      <c r="AZ353" s="98"/>
      <c r="BA353" s="217"/>
      <c r="BB353" s="98"/>
      <c r="BC353" s="98"/>
      <c r="BD353" s="98"/>
      <c r="BE353" s="98"/>
      <c r="BF353" s="98"/>
      <c r="BG353" s="219"/>
      <c r="BH353" s="219"/>
      <c r="BI353" s="219"/>
      <c r="BJ353" s="26"/>
      <c r="BK353" s="21"/>
      <c r="BL353" s="21"/>
      <c r="BM353" s="22"/>
      <c r="BN353" s="21"/>
      <c r="BO353" s="21"/>
      <c r="BP353" s="22"/>
      <c r="BQ353" s="21"/>
      <c r="BR353" s="21"/>
      <c r="BS353" s="22"/>
      <c r="BT35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53" s="109" t="str">
        <f>IF(ISNUMBER(tblParticipants[[#This Row],[SvcStartDate]]),IF(AND(tblParticipants[[#This Row],[EnrollQtr]]=1,tblParticipants[[#This Row],[SvcStartDate]]&lt;DATE(conProgYear,7,1)),1,""),"")</f>
        <v/>
      </c>
      <c r="BV35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53" s="232" t="str">
        <f t="shared" ca="1" si="5"/>
        <v/>
      </c>
      <c r="BX353" s="9">
        <f>IF(SUM(IF(tblParticipants[[#This Row],[AmIndOrAkNtv]]=1,1,0),IF(tblParticipants[[#This Row],[Asian]]=1,1,0),IF(tblParticipants[[#This Row],[BlkOrAfAmer]]=1,1,0),IF(tblParticipants[[#This Row],[NtvHawOrPacIsl]]=1,1,0),IF(tblParticipants[[#This Row],[White]]=1,1,0))&gt;1,1,0)</f>
        <v>0</v>
      </c>
      <c r="BY35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5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5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53" s="11">
        <f>IF(tblParticipants[[#This Row],[EarnWg2Qae]]=1,IFERROR(tblParticipants[[#This Row],[HoursPerWk2Qae]]*tblParticipants[[#This Row],[HrlyWg2Qae]]*13,0),0)</f>
        <v>0</v>
      </c>
      <c r="CC353" s="11">
        <f>IF(tblParticipants[[#This Row],[EarnWg3Qae]]=1,IFERROR(tblParticipants[[#This Row],[HoursPerWk3Qae]]*tblParticipants[[#This Row],[HrlyWg3Qae]]*13,0),0)</f>
        <v>0</v>
      </c>
      <c r="CD353" s="9">
        <f>IFERROR(IF(SUM(tblParticipants[[#This Row],[EarnWg1Qae]],tblParticipants[[#This Row],[EarnWg2Qae]],tblParticipants[[#This Row],[EarnWg3Qae]])=3,1,0),0)</f>
        <v>0</v>
      </c>
      <c r="CE353" s="12">
        <f>IF(tblParticipants[[#This Row],[EmplAll3Qae]]=1,tblParticipants[[#This Row],[Earnings2Qae]]+tblParticipants[[#This Row],[Earnings3Qae]],0)</f>
        <v>0</v>
      </c>
      <c r="CF353" s="407"/>
    </row>
    <row r="354" spans="1:84" x14ac:dyDescent="0.3">
      <c r="A354" s="19"/>
      <c r="B354" s="19"/>
      <c r="C354" s="20"/>
      <c r="D354" s="20"/>
      <c r="E354" s="26"/>
      <c r="F354" s="26"/>
      <c r="G354" s="26"/>
      <c r="H354" s="26"/>
      <c r="I354" s="26"/>
      <c r="J354" s="26"/>
      <c r="K354" s="26"/>
      <c r="L354" s="26"/>
      <c r="M354" s="20"/>
      <c r="N354" s="26"/>
      <c r="O354" s="22"/>
      <c r="P354" s="21"/>
      <c r="Q354" s="23"/>
      <c r="R354" s="21"/>
      <c r="S354" s="21"/>
      <c r="T354" s="21"/>
      <c r="U354" s="21"/>
      <c r="V354" s="21"/>
      <c r="W354" s="24"/>
      <c r="X354" s="20"/>
      <c r="Y354" s="20"/>
      <c r="Z354" s="21"/>
      <c r="AA354" s="21"/>
      <c r="AB354" s="21"/>
      <c r="AC354" s="21"/>
      <c r="AD354" s="21"/>
      <c r="AE354" s="21"/>
      <c r="AF354" s="21"/>
      <c r="AG354" s="21"/>
      <c r="AH354" s="21"/>
      <c r="AI354" s="25"/>
      <c r="AJ354" s="20"/>
      <c r="AK354" s="21"/>
      <c r="AL354" s="20"/>
      <c r="AM354" s="20"/>
      <c r="AN354" s="20"/>
      <c r="AO354" s="20"/>
      <c r="AP354" s="446"/>
      <c r="AQ354" s="20"/>
      <c r="AR354" s="20"/>
      <c r="AS354" s="20"/>
      <c r="AT354" s="20"/>
      <c r="AU354" s="26"/>
      <c r="AV354" s="98"/>
      <c r="AW354" s="98"/>
      <c r="AX354" s="98"/>
      <c r="AY354" s="98"/>
      <c r="AZ354" s="98"/>
      <c r="BA354" s="217"/>
      <c r="BB354" s="98"/>
      <c r="BC354" s="98"/>
      <c r="BD354" s="98"/>
      <c r="BE354" s="98"/>
      <c r="BF354" s="98"/>
      <c r="BG354" s="219"/>
      <c r="BH354" s="219"/>
      <c r="BI354" s="219"/>
      <c r="BJ354" s="26"/>
      <c r="BK354" s="21"/>
      <c r="BL354" s="21"/>
      <c r="BM354" s="22"/>
      <c r="BN354" s="21"/>
      <c r="BO354" s="21"/>
      <c r="BP354" s="22"/>
      <c r="BQ354" s="21"/>
      <c r="BR354" s="21"/>
      <c r="BS354" s="22"/>
      <c r="BT35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54" s="109" t="str">
        <f>IF(ISNUMBER(tblParticipants[[#This Row],[SvcStartDate]]),IF(AND(tblParticipants[[#This Row],[EnrollQtr]]=1,tblParticipants[[#This Row],[SvcStartDate]]&lt;DATE(conProgYear,7,1)),1,""),"")</f>
        <v/>
      </c>
      <c r="BV35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54" s="232" t="str">
        <f t="shared" ca="1" si="5"/>
        <v/>
      </c>
      <c r="BX354" s="9">
        <f>IF(SUM(IF(tblParticipants[[#This Row],[AmIndOrAkNtv]]=1,1,0),IF(tblParticipants[[#This Row],[Asian]]=1,1,0),IF(tblParticipants[[#This Row],[BlkOrAfAmer]]=1,1,0),IF(tblParticipants[[#This Row],[NtvHawOrPacIsl]]=1,1,0),IF(tblParticipants[[#This Row],[White]]=1,1,0))&gt;1,1,0)</f>
        <v>0</v>
      </c>
      <c r="BY35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5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5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54" s="11">
        <f>IF(tblParticipants[[#This Row],[EarnWg2Qae]]=1,IFERROR(tblParticipants[[#This Row],[HoursPerWk2Qae]]*tblParticipants[[#This Row],[HrlyWg2Qae]]*13,0),0)</f>
        <v>0</v>
      </c>
      <c r="CC354" s="11">
        <f>IF(tblParticipants[[#This Row],[EarnWg3Qae]]=1,IFERROR(tblParticipants[[#This Row],[HoursPerWk3Qae]]*tblParticipants[[#This Row],[HrlyWg3Qae]]*13,0),0)</f>
        <v>0</v>
      </c>
      <c r="CD354" s="9">
        <f>IFERROR(IF(SUM(tblParticipants[[#This Row],[EarnWg1Qae]],tblParticipants[[#This Row],[EarnWg2Qae]],tblParticipants[[#This Row],[EarnWg3Qae]])=3,1,0),0)</f>
        <v>0</v>
      </c>
      <c r="CE354" s="12">
        <f>IF(tblParticipants[[#This Row],[EmplAll3Qae]]=1,tblParticipants[[#This Row],[Earnings2Qae]]+tblParticipants[[#This Row],[Earnings3Qae]],0)</f>
        <v>0</v>
      </c>
      <c r="CF354" s="407"/>
    </row>
    <row r="355" spans="1:84" x14ac:dyDescent="0.3">
      <c r="A355" s="19"/>
      <c r="B355" s="19"/>
      <c r="C355" s="20"/>
      <c r="D355" s="20"/>
      <c r="E355" s="26"/>
      <c r="F355" s="26"/>
      <c r="G355" s="26"/>
      <c r="H355" s="26"/>
      <c r="I355" s="26"/>
      <c r="J355" s="26"/>
      <c r="K355" s="26"/>
      <c r="L355" s="26"/>
      <c r="M355" s="20"/>
      <c r="N355" s="26"/>
      <c r="O355" s="22"/>
      <c r="P355" s="21"/>
      <c r="Q355" s="23"/>
      <c r="R355" s="21"/>
      <c r="S355" s="21"/>
      <c r="T355" s="21"/>
      <c r="U355" s="21"/>
      <c r="V355" s="21"/>
      <c r="W355" s="24"/>
      <c r="X355" s="20"/>
      <c r="Y355" s="20"/>
      <c r="Z355" s="21"/>
      <c r="AA355" s="21"/>
      <c r="AB355" s="21"/>
      <c r="AC355" s="21"/>
      <c r="AD355" s="21"/>
      <c r="AE355" s="21"/>
      <c r="AF355" s="21"/>
      <c r="AG355" s="21"/>
      <c r="AH355" s="21"/>
      <c r="AI355" s="25"/>
      <c r="AJ355" s="20"/>
      <c r="AK355" s="21"/>
      <c r="AL355" s="20"/>
      <c r="AM355" s="20"/>
      <c r="AN355" s="20"/>
      <c r="AO355" s="20"/>
      <c r="AP355" s="446"/>
      <c r="AQ355" s="20"/>
      <c r="AR355" s="20"/>
      <c r="AS355" s="20"/>
      <c r="AT355" s="20"/>
      <c r="AU355" s="26"/>
      <c r="AV355" s="98"/>
      <c r="AW355" s="98"/>
      <c r="AX355" s="98"/>
      <c r="AY355" s="98"/>
      <c r="AZ355" s="98"/>
      <c r="BA355" s="217"/>
      <c r="BB355" s="98"/>
      <c r="BC355" s="98"/>
      <c r="BD355" s="98"/>
      <c r="BE355" s="98"/>
      <c r="BF355" s="98"/>
      <c r="BG355" s="219"/>
      <c r="BH355" s="219"/>
      <c r="BI355" s="219"/>
      <c r="BJ355" s="26"/>
      <c r="BK355" s="21"/>
      <c r="BL355" s="21"/>
      <c r="BM355" s="22"/>
      <c r="BN355" s="21"/>
      <c r="BO355" s="21"/>
      <c r="BP355" s="22"/>
      <c r="BQ355" s="21"/>
      <c r="BR355" s="21"/>
      <c r="BS355" s="22"/>
      <c r="BT35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55" s="109" t="str">
        <f>IF(ISNUMBER(tblParticipants[[#This Row],[SvcStartDate]]),IF(AND(tblParticipants[[#This Row],[EnrollQtr]]=1,tblParticipants[[#This Row],[SvcStartDate]]&lt;DATE(conProgYear,7,1)),1,""),"")</f>
        <v/>
      </c>
      <c r="BV35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55" s="232" t="str">
        <f t="shared" ca="1" si="5"/>
        <v/>
      </c>
      <c r="BX355" s="9">
        <f>IF(SUM(IF(tblParticipants[[#This Row],[AmIndOrAkNtv]]=1,1,0),IF(tblParticipants[[#This Row],[Asian]]=1,1,0),IF(tblParticipants[[#This Row],[BlkOrAfAmer]]=1,1,0),IF(tblParticipants[[#This Row],[NtvHawOrPacIsl]]=1,1,0),IF(tblParticipants[[#This Row],[White]]=1,1,0))&gt;1,1,0)</f>
        <v>0</v>
      </c>
      <c r="BY35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5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5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55" s="11">
        <f>IF(tblParticipants[[#This Row],[EarnWg2Qae]]=1,IFERROR(tblParticipants[[#This Row],[HoursPerWk2Qae]]*tblParticipants[[#This Row],[HrlyWg2Qae]]*13,0),0)</f>
        <v>0</v>
      </c>
      <c r="CC355" s="11">
        <f>IF(tblParticipants[[#This Row],[EarnWg3Qae]]=1,IFERROR(tblParticipants[[#This Row],[HoursPerWk3Qae]]*tblParticipants[[#This Row],[HrlyWg3Qae]]*13,0),0)</f>
        <v>0</v>
      </c>
      <c r="CD355" s="9">
        <f>IFERROR(IF(SUM(tblParticipants[[#This Row],[EarnWg1Qae]],tblParticipants[[#This Row],[EarnWg2Qae]],tblParticipants[[#This Row],[EarnWg3Qae]])=3,1,0),0)</f>
        <v>0</v>
      </c>
      <c r="CE355" s="12">
        <f>IF(tblParticipants[[#This Row],[EmplAll3Qae]]=1,tblParticipants[[#This Row],[Earnings2Qae]]+tblParticipants[[#This Row],[Earnings3Qae]],0)</f>
        <v>0</v>
      </c>
      <c r="CF355" s="407"/>
    </row>
    <row r="356" spans="1:84" x14ac:dyDescent="0.3">
      <c r="A356" s="19"/>
      <c r="B356" s="19"/>
      <c r="C356" s="20"/>
      <c r="D356" s="20"/>
      <c r="E356" s="26"/>
      <c r="F356" s="26"/>
      <c r="G356" s="26"/>
      <c r="H356" s="26"/>
      <c r="I356" s="26"/>
      <c r="J356" s="26"/>
      <c r="K356" s="26"/>
      <c r="L356" s="26"/>
      <c r="M356" s="20"/>
      <c r="N356" s="26"/>
      <c r="O356" s="22"/>
      <c r="P356" s="21"/>
      <c r="Q356" s="23"/>
      <c r="R356" s="21"/>
      <c r="S356" s="21"/>
      <c r="T356" s="21"/>
      <c r="U356" s="21"/>
      <c r="V356" s="21"/>
      <c r="W356" s="24"/>
      <c r="X356" s="20"/>
      <c r="Y356" s="20"/>
      <c r="Z356" s="21"/>
      <c r="AA356" s="21"/>
      <c r="AB356" s="21"/>
      <c r="AC356" s="21"/>
      <c r="AD356" s="21"/>
      <c r="AE356" s="21"/>
      <c r="AF356" s="21"/>
      <c r="AG356" s="21"/>
      <c r="AH356" s="21"/>
      <c r="AI356" s="25"/>
      <c r="AJ356" s="20"/>
      <c r="AK356" s="21"/>
      <c r="AL356" s="20"/>
      <c r="AM356" s="20"/>
      <c r="AN356" s="20"/>
      <c r="AO356" s="20"/>
      <c r="AP356" s="446"/>
      <c r="AQ356" s="20"/>
      <c r="AR356" s="20"/>
      <c r="AS356" s="20"/>
      <c r="AT356" s="20"/>
      <c r="AU356" s="26"/>
      <c r="AV356" s="98"/>
      <c r="AW356" s="98"/>
      <c r="AX356" s="98"/>
      <c r="AY356" s="98"/>
      <c r="AZ356" s="98"/>
      <c r="BA356" s="217"/>
      <c r="BB356" s="98"/>
      <c r="BC356" s="98"/>
      <c r="BD356" s="98"/>
      <c r="BE356" s="98"/>
      <c r="BF356" s="98"/>
      <c r="BG356" s="219"/>
      <c r="BH356" s="219"/>
      <c r="BI356" s="219"/>
      <c r="BJ356" s="26"/>
      <c r="BK356" s="21"/>
      <c r="BL356" s="21"/>
      <c r="BM356" s="22"/>
      <c r="BN356" s="21"/>
      <c r="BO356" s="21"/>
      <c r="BP356" s="22"/>
      <c r="BQ356" s="21"/>
      <c r="BR356" s="21"/>
      <c r="BS356" s="22"/>
      <c r="BT35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56" s="109" t="str">
        <f>IF(ISNUMBER(tblParticipants[[#This Row],[SvcStartDate]]),IF(AND(tblParticipants[[#This Row],[EnrollQtr]]=1,tblParticipants[[#This Row],[SvcStartDate]]&lt;DATE(conProgYear,7,1)),1,""),"")</f>
        <v/>
      </c>
      <c r="BV35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56" s="232" t="str">
        <f t="shared" ca="1" si="5"/>
        <v/>
      </c>
      <c r="BX356" s="9">
        <f>IF(SUM(IF(tblParticipants[[#This Row],[AmIndOrAkNtv]]=1,1,0),IF(tblParticipants[[#This Row],[Asian]]=1,1,0),IF(tblParticipants[[#This Row],[BlkOrAfAmer]]=1,1,0),IF(tblParticipants[[#This Row],[NtvHawOrPacIsl]]=1,1,0),IF(tblParticipants[[#This Row],[White]]=1,1,0))&gt;1,1,0)</f>
        <v>0</v>
      </c>
      <c r="BY35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5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5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56" s="11">
        <f>IF(tblParticipants[[#This Row],[EarnWg2Qae]]=1,IFERROR(tblParticipants[[#This Row],[HoursPerWk2Qae]]*tblParticipants[[#This Row],[HrlyWg2Qae]]*13,0),0)</f>
        <v>0</v>
      </c>
      <c r="CC356" s="11">
        <f>IF(tblParticipants[[#This Row],[EarnWg3Qae]]=1,IFERROR(tblParticipants[[#This Row],[HoursPerWk3Qae]]*tblParticipants[[#This Row],[HrlyWg3Qae]]*13,0),0)</f>
        <v>0</v>
      </c>
      <c r="CD356" s="9">
        <f>IFERROR(IF(SUM(tblParticipants[[#This Row],[EarnWg1Qae]],tblParticipants[[#This Row],[EarnWg2Qae]],tblParticipants[[#This Row],[EarnWg3Qae]])=3,1,0),0)</f>
        <v>0</v>
      </c>
      <c r="CE356" s="12">
        <f>IF(tblParticipants[[#This Row],[EmplAll3Qae]]=1,tblParticipants[[#This Row],[Earnings2Qae]]+tblParticipants[[#This Row],[Earnings3Qae]],0)</f>
        <v>0</v>
      </c>
      <c r="CF356" s="407"/>
    </row>
    <row r="357" spans="1:84" x14ac:dyDescent="0.3">
      <c r="A357" s="19"/>
      <c r="B357" s="19"/>
      <c r="C357" s="20"/>
      <c r="D357" s="20"/>
      <c r="E357" s="26"/>
      <c r="F357" s="26"/>
      <c r="G357" s="26"/>
      <c r="H357" s="26"/>
      <c r="I357" s="26"/>
      <c r="J357" s="26"/>
      <c r="K357" s="26"/>
      <c r="L357" s="26"/>
      <c r="M357" s="20"/>
      <c r="N357" s="26"/>
      <c r="O357" s="22"/>
      <c r="P357" s="21"/>
      <c r="Q357" s="23"/>
      <c r="R357" s="21"/>
      <c r="S357" s="21"/>
      <c r="T357" s="21"/>
      <c r="U357" s="21"/>
      <c r="V357" s="21"/>
      <c r="W357" s="24"/>
      <c r="X357" s="20"/>
      <c r="Y357" s="20"/>
      <c r="Z357" s="21"/>
      <c r="AA357" s="21"/>
      <c r="AB357" s="21"/>
      <c r="AC357" s="21"/>
      <c r="AD357" s="21"/>
      <c r="AE357" s="21"/>
      <c r="AF357" s="21"/>
      <c r="AG357" s="21"/>
      <c r="AH357" s="21"/>
      <c r="AI357" s="25"/>
      <c r="AJ357" s="20"/>
      <c r="AK357" s="21"/>
      <c r="AL357" s="20"/>
      <c r="AM357" s="20"/>
      <c r="AN357" s="20"/>
      <c r="AO357" s="20"/>
      <c r="AP357" s="446"/>
      <c r="AQ357" s="20"/>
      <c r="AR357" s="20"/>
      <c r="AS357" s="20"/>
      <c r="AT357" s="20"/>
      <c r="AU357" s="26"/>
      <c r="AV357" s="98"/>
      <c r="AW357" s="98"/>
      <c r="AX357" s="98"/>
      <c r="AY357" s="98"/>
      <c r="AZ357" s="98"/>
      <c r="BA357" s="217"/>
      <c r="BB357" s="98"/>
      <c r="BC357" s="98"/>
      <c r="BD357" s="98"/>
      <c r="BE357" s="98"/>
      <c r="BF357" s="98"/>
      <c r="BG357" s="219"/>
      <c r="BH357" s="219"/>
      <c r="BI357" s="219"/>
      <c r="BJ357" s="26"/>
      <c r="BK357" s="21"/>
      <c r="BL357" s="21"/>
      <c r="BM357" s="22"/>
      <c r="BN357" s="21"/>
      <c r="BO357" s="21"/>
      <c r="BP357" s="22"/>
      <c r="BQ357" s="21"/>
      <c r="BR357" s="21"/>
      <c r="BS357" s="22"/>
      <c r="BT35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57" s="109" t="str">
        <f>IF(ISNUMBER(tblParticipants[[#This Row],[SvcStartDate]]),IF(AND(tblParticipants[[#This Row],[EnrollQtr]]=1,tblParticipants[[#This Row],[SvcStartDate]]&lt;DATE(conProgYear,7,1)),1,""),"")</f>
        <v/>
      </c>
      <c r="BV35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57" s="232" t="str">
        <f t="shared" ca="1" si="5"/>
        <v/>
      </c>
      <c r="BX357" s="9">
        <f>IF(SUM(IF(tblParticipants[[#This Row],[AmIndOrAkNtv]]=1,1,0),IF(tblParticipants[[#This Row],[Asian]]=1,1,0),IF(tblParticipants[[#This Row],[BlkOrAfAmer]]=1,1,0),IF(tblParticipants[[#This Row],[NtvHawOrPacIsl]]=1,1,0),IF(tblParticipants[[#This Row],[White]]=1,1,0))&gt;1,1,0)</f>
        <v>0</v>
      </c>
      <c r="BY35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5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5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57" s="11">
        <f>IF(tblParticipants[[#This Row],[EarnWg2Qae]]=1,IFERROR(tblParticipants[[#This Row],[HoursPerWk2Qae]]*tblParticipants[[#This Row],[HrlyWg2Qae]]*13,0),0)</f>
        <v>0</v>
      </c>
      <c r="CC357" s="11">
        <f>IF(tblParticipants[[#This Row],[EarnWg3Qae]]=1,IFERROR(tblParticipants[[#This Row],[HoursPerWk3Qae]]*tblParticipants[[#This Row],[HrlyWg3Qae]]*13,0),0)</f>
        <v>0</v>
      </c>
      <c r="CD357" s="9">
        <f>IFERROR(IF(SUM(tblParticipants[[#This Row],[EarnWg1Qae]],tblParticipants[[#This Row],[EarnWg2Qae]],tblParticipants[[#This Row],[EarnWg3Qae]])=3,1,0),0)</f>
        <v>0</v>
      </c>
      <c r="CE357" s="12">
        <f>IF(tblParticipants[[#This Row],[EmplAll3Qae]]=1,tblParticipants[[#This Row],[Earnings2Qae]]+tblParticipants[[#This Row],[Earnings3Qae]],0)</f>
        <v>0</v>
      </c>
      <c r="CF357" s="407"/>
    </row>
    <row r="358" spans="1:84" x14ac:dyDescent="0.3">
      <c r="A358" s="19"/>
      <c r="B358" s="19"/>
      <c r="C358" s="20"/>
      <c r="D358" s="20"/>
      <c r="E358" s="26"/>
      <c r="F358" s="26"/>
      <c r="G358" s="26"/>
      <c r="H358" s="26"/>
      <c r="I358" s="26"/>
      <c r="J358" s="26"/>
      <c r="K358" s="26"/>
      <c r="L358" s="26"/>
      <c r="M358" s="20"/>
      <c r="N358" s="26"/>
      <c r="O358" s="22"/>
      <c r="P358" s="21"/>
      <c r="Q358" s="23"/>
      <c r="R358" s="21"/>
      <c r="S358" s="21"/>
      <c r="T358" s="21"/>
      <c r="U358" s="21"/>
      <c r="V358" s="21"/>
      <c r="W358" s="24"/>
      <c r="X358" s="20"/>
      <c r="Y358" s="20"/>
      <c r="Z358" s="21"/>
      <c r="AA358" s="21"/>
      <c r="AB358" s="21"/>
      <c r="AC358" s="21"/>
      <c r="AD358" s="21"/>
      <c r="AE358" s="21"/>
      <c r="AF358" s="21"/>
      <c r="AG358" s="21"/>
      <c r="AH358" s="21"/>
      <c r="AI358" s="25"/>
      <c r="AJ358" s="20"/>
      <c r="AK358" s="21"/>
      <c r="AL358" s="20"/>
      <c r="AM358" s="20"/>
      <c r="AN358" s="20"/>
      <c r="AO358" s="20"/>
      <c r="AP358" s="446"/>
      <c r="AQ358" s="20"/>
      <c r="AR358" s="20"/>
      <c r="AS358" s="20"/>
      <c r="AT358" s="20"/>
      <c r="AU358" s="26"/>
      <c r="AV358" s="98"/>
      <c r="AW358" s="98"/>
      <c r="AX358" s="98"/>
      <c r="AY358" s="98"/>
      <c r="AZ358" s="98"/>
      <c r="BA358" s="217"/>
      <c r="BB358" s="98"/>
      <c r="BC358" s="98"/>
      <c r="BD358" s="98"/>
      <c r="BE358" s="98"/>
      <c r="BF358" s="98"/>
      <c r="BG358" s="219"/>
      <c r="BH358" s="219"/>
      <c r="BI358" s="219"/>
      <c r="BJ358" s="26"/>
      <c r="BK358" s="21"/>
      <c r="BL358" s="21"/>
      <c r="BM358" s="22"/>
      <c r="BN358" s="21"/>
      <c r="BO358" s="21"/>
      <c r="BP358" s="22"/>
      <c r="BQ358" s="21"/>
      <c r="BR358" s="21"/>
      <c r="BS358" s="22"/>
      <c r="BT35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58" s="109" t="str">
        <f>IF(ISNUMBER(tblParticipants[[#This Row],[SvcStartDate]]),IF(AND(tblParticipants[[#This Row],[EnrollQtr]]=1,tblParticipants[[#This Row],[SvcStartDate]]&lt;DATE(conProgYear,7,1)),1,""),"")</f>
        <v/>
      </c>
      <c r="BV35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58" s="232" t="str">
        <f t="shared" ca="1" si="5"/>
        <v/>
      </c>
      <c r="BX358" s="9">
        <f>IF(SUM(IF(tblParticipants[[#This Row],[AmIndOrAkNtv]]=1,1,0),IF(tblParticipants[[#This Row],[Asian]]=1,1,0),IF(tblParticipants[[#This Row],[BlkOrAfAmer]]=1,1,0),IF(tblParticipants[[#This Row],[NtvHawOrPacIsl]]=1,1,0),IF(tblParticipants[[#This Row],[White]]=1,1,0))&gt;1,1,0)</f>
        <v>0</v>
      </c>
      <c r="BY35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5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5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58" s="11">
        <f>IF(tblParticipants[[#This Row],[EarnWg2Qae]]=1,IFERROR(tblParticipants[[#This Row],[HoursPerWk2Qae]]*tblParticipants[[#This Row],[HrlyWg2Qae]]*13,0),0)</f>
        <v>0</v>
      </c>
      <c r="CC358" s="11">
        <f>IF(tblParticipants[[#This Row],[EarnWg3Qae]]=1,IFERROR(tblParticipants[[#This Row],[HoursPerWk3Qae]]*tblParticipants[[#This Row],[HrlyWg3Qae]]*13,0),0)</f>
        <v>0</v>
      </c>
      <c r="CD358" s="9">
        <f>IFERROR(IF(SUM(tblParticipants[[#This Row],[EarnWg1Qae]],tblParticipants[[#This Row],[EarnWg2Qae]],tblParticipants[[#This Row],[EarnWg3Qae]])=3,1,0),0)</f>
        <v>0</v>
      </c>
      <c r="CE358" s="12">
        <f>IF(tblParticipants[[#This Row],[EmplAll3Qae]]=1,tblParticipants[[#This Row],[Earnings2Qae]]+tblParticipants[[#This Row],[Earnings3Qae]],0)</f>
        <v>0</v>
      </c>
      <c r="CF358" s="407"/>
    </row>
    <row r="359" spans="1:84" x14ac:dyDescent="0.3">
      <c r="A359" s="19"/>
      <c r="B359" s="19"/>
      <c r="C359" s="20"/>
      <c r="D359" s="20"/>
      <c r="E359" s="26"/>
      <c r="F359" s="26"/>
      <c r="G359" s="26"/>
      <c r="H359" s="26"/>
      <c r="I359" s="26"/>
      <c r="J359" s="26"/>
      <c r="K359" s="26"/>
      <c r="L359" s="26"/>
      <c r="M359" s="20"/>
      <c r="N359" s="26"/>
      <c r="O359" s="22"/>
      <c r="P359" s="21"/>
      <c r="Q359" s="23"/>
      <c r="R359" s="21"/>
      <c r="S359" s="21"/>
      <c r="T359" s="21"/>
      <c r="U359" s="21"/>
      <c r="V359" s="21"/>
      <c r="W359" s="24"/>
      <c r="X359" s="20"/>
      <c r="Y359" s="20"/>
      <c r="Z359" s="21"/>
      <c r="AA359" s="21"/>
      <c r="AB359" s="21"/>
      <c r="AC359" s="21"/>
      <c r="AD359" s="21"/>
      <c r="AE359" s="21"/>
      <c r="AF359" s="21"/>
      <c r="AG359" s="21"/>
      <c r="AH359" s="21"/>
      <c r="AI359" s="25"/>
      <c r="AJ359" s="20"/>
      <c r="AK359" s="21"/>
      <c r="AL359" s="20"/>
      <c r="AM359" s="20"/>
      <c r="AN359" s="20"/>
      <c r="AO359" s="20"/>
      <c r="AP359" s="446"/>
      <c r="AQ359" s="20"/>
      <c r="AR359" s="20"/>
      <c r="AS359" s="20"/>
      <c r="AT359" s="20"/>
      <c r="AU359" s="26"/>
      <c r="AV359" s="98"/>
      <c r="AW359" s="98"/>
      <c r="AX359" s="98"/>
      <c r="AY359" s="98"/>
      <c r="AZ359" s="98"/>
      <c r="BA359" s="217"/>
      <c r="BB359" s="98"/>
      <c r="BC359" s="98"/>
      <c r="BD359" s="98"/>
      <c r="BE359" s="98"/>
      <c r="BF359" s="98"/>
      <c r="BG359" s="219"/>
      <c r="BH359" s="219"/>
      <c r="BI359" s="219"/>
      <c r="BJ359" s="26"/>
      <c r="BK359" s="21"/>
      <c r="BL359" s="21"/>
      <c r="BM359" s="22"/>
      <c r="BN359" s="21"/>
      <c r="BO359" s="21"/>
      <c r="BP359" s="22"/>
      <c r="BQ359" s="21"/>
      <c r="BR359" s="21"/>
      <c r="BS359" s="22"/>
      <c r="BT35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59" s="109" t="str">
        <f>IF(ISNUMBER(tblParticipants[[#This Row],[SvcStartDate]]),IF(AND(tblParticipants[[#This Row],[EnrollQtr]]=1,tblParticipants[[#This Row],[SvcStartDate]]&lt;DATE(conProgYear,7,1)),1,""),"")</f>
        <v/>
      </c>
      <c r="BV35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59" s="232" t="str">
        <f t="shared" ca="1" si="5"/>
        <v/>
      </c>
      <c r="BX359" s="9">
        <f>IF(SUM(IF(tblParticipants[[#This Row],[AmIndOrAkNtv]]=1,1,0),IF(tblParticipants[[#This Row],[Asian]]=1,1,0),IF(tblParticipants[[#This Row],[BlkOrAfAmer]]=1,1,0),IF(tblParticipants[[#This Row],[NtvHawOrPacIsl]]=1,1,0),IF(tblParticipants[[#This Row],[White]]=1,1,0))&gt;1,1,0)</f>
        <v>0</v>
      </c>
      <c r="BY35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5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5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59" s="11">
        <f>IF(tblParticipants[[#This Row],[EarnWg2Qae]]=1,IFERROR(tblParticipants[[#This Row],[HoursPerWk2Qae]]*tblParticipants[[#This Row],[HrlyWg2Qae]]*13,0),0)</f>
        <v>0</v>
      </c>
      <c r="CC359" s="11">
        <f>IF(tblParticipants[[#This Row],[EarnWg3Qae]]=1,IFERROR(tblParticipants[[#This Row],[HoursPerWk3Qae]]*tblParticipants[[#This Row],[HrlyWg3Qae]]*13,0),0)</f>
        <v>0</v>
      </c>
      <c r="CD359" s="9">
        <f>IFERROR(IF(SUM(tblParticipants[[#This Row],[EarnWg1Qae]],tblParticipants[[#This Row],[EarnWg2Qae]],tblParticipants[[#This Row],[EarnWg3Qae]])=3,1,0),0)</f>
        <v>0</v>
      </c>
      <c r="CE359" s="12">
        <f>IF(tblParticipants[[#This Row],[EmplAll3Qae]]=1,tblParticipants[[#This Row],[Earnings2Qae]]+tblParticipants[[#This Row],[Earnings3Qae]],0)</f>
        <v>0</v>
      </c>
      <c r="CF359" s="407"/>
    </row>
    <row r="360" spans="1:84" x14ac:dyDescent="0.3">
      <c r="A360" s="19"/>
      <c r="B360" s="19"/>
      <c r="C360" s="20"/>
      <c r="D360" s="20"/>
      <c r="E360" s="26"/>
      <c r="F360" s="26"/>
      <c r="G360" s="26"/>
      <c r="H360" s="26"/>
      <c r="I360" s="26"/>
      <c r="J360" s="26"/>
      <c r="K360" s="26"/>
      <c r="L360" s="26"/>
      <c r="M360" s="20"/>
      <c r="N360" s="26"/>
      <c r="O360" s="22"/>
      <c r="P360" s="21"/>
      <c r="Q360" s="23"/>
      <c r="R360" s="21"/>
      <c r="S360" s="21"/>
      <c r="T360" s="21"/>
      <c r="U360" s="21"/>
      <c r="V360" s="21"/>
      <c r="W360" s="24"/>
      <c r="X360" s="20"/>
      <c r="Y360" s="20"/>
      <c r="Z360" s="21"/>
      <c r="AA360" s="21"/>
      <c r="AB360" s="21"/>
      <c r="AC360" s="21"/>
      <c r="AD360" s="21"/>
      <c r="AE360" s="21"/>
      <c r="AF360" s="21"/>
      <c r="AG360" s="21"/>
      <c r="AH360" s="21"/>
      <c r="AI360" s="25"/>
      <c r="AJ360" s="20"/>
      <c r="AK360" s="21"/>
      <c r="AL360" s="20"/>
      <c r="AM360" s="20"/>
      <c r="AN360" s="20"/>
      <c r="AO360" s="20"/>
      <c r="AP360" s="446"/>
      <c r="AQ360" s="20"/>
      <c r="AR360" s="20"/>
      <c r="AS360" s="20"/>
      <c r="AT360" s="20"/>
      <c r="AU360" s="26"/>
      <c r="AV360" s="98"/>
      <c r="AW360" s="98"/>
      <c r="AX360" s="98"/>
      <c r="AY360" s="98"/>
      <c r="AZ360" s="98"/>
      <c r="BA360" s="217"/>
      <c r="BB360" s="98"/>
      <c r="BC360" s="98"/>
      <c r="BD360" s="98"/>
      <c r="BE360" s="98"/>
      <c r="BF360" s="98"/>
      <c r="BG360" s="219"/>
      <c r="BH360" s="219"/>
      <c r="BI360" s="219"/>
      <c r="BJ360" s="26"/>
      <c r="BK360" s="21"/>
      <c r="BL360" s="21"/>
      <c r="BM360" s="22"/>
      <c r="BN360" s="21"/>
      <c r="BO360" s="21"/>
      <c r="BP360" s="22"/>
      <c r="BQ360" s="21"/>
      <c r="BR360" s="21"/>
      <c r="BS360" s="22"/>
      <c r="BT36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60" s="109" t="str">
        <f>IF(ISNUMBER(tblParticipants[[#This Row],[SvcStartDate]]),IF(AND(tblParticipants[[#This Row],[EnrollQtr]]=1,tblParticipants[[#This Row],[SvcStartDate]]&lt;DATE(conProgYear,7,1)),1,""),"")</f>
        <v/>
      </c>
      <c r="BV36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60" s="232" t="str">
        <f t="shared" ca="1" si="5"/>
        <v/>
      </c>
      <c r="BX360" s="9">
        <f>IF(SUM(IF(tblParticipants[[#This Row],[AmIndOrAkNtv]]=1,1,0),IF(tblParticipants[[#This Row],[Asian]]=1,1,0),IF(tblParticipants[[#This Row],[BlkOrAfAmer]]=1,1,0),IF(tblParticipants[[#This Row],[NtvHawOrPacIsl]]=1,1,0),IF(tblParticipants[[#This Row],[White]]=1,1,0))&gt;1,1,0)</f>
        <v>0</v>
      </c>
      <c r="BY36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6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6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60" s="11">
        <f>IF(tblParticipants[[#This Row],[EarnWg2Qae]]=1,IFERROR(tblParticipants[[#This Row],[HoursPerWk2Qae]]*tblParticipants[[#This Row],[HrlyWg2Qae]]*13,0),0)</f>
        <v>0</v>
      </c>
      <c r="CC360" s="11">
        <f>IF(tblParticipants[[#This Row],[EarnWg3Qae]]=1,IFERROR(tblParticipants[[#This Row],[HoursPerWk3Qae]]*tblParticipants[[#This Row],[HrlyWg3Qae]]*13,0),0)</f>
        <v>0</v>
      </c>
      <c r="CD360" s="9">
        <f>IFERROR(IF(SUM(tblParticipants[[#This Row],[EarnWg1Qae]],tblParticipants[[#This Row],[EarnWg2Qae]],tblParticipants[[#This Row],[EarnWg3Qae]])=3,1,0),0)</f>
        <v>0</v>
      </c>
      <c r="CE360" s="12">
        <f>IF(tblParticipants[[#This Row],[EmplAll3Qae]]=1,tblParticipants[[#This Row],[Earnings2Qae]]+tblParticipants[[#This Row],[Earnings3Qae]],0)</f>
        <v>0</v>
      </c>
      <c r="CF360" s="407"/>
    </row>
    <row r="361" spans="1:84" x14ac:dyDescent="0.3">
      <c r="A361" s="19"/>
      <c r="B361" s="19"/>
      <c r="C361" s="20"/>
      <c r="D361" s="20"/>
      <c r="E361" s="26"/>
      <c r="F361" s="26"/>
      <c r="G361" s="26"/>
      <c r="H361" s="26"/>
      <c r="I361" s="26"/>
      <c r="J361" s="26"/>
      <c r="K361" s="26"/>
      <c r="L361" s="26"/>
      <c r="M361" s="20"/>
      <c r="N361" s="26"/>
      <c r="O361" s="22"/>
      <c r="P361" s="21"/>
      <c r="Q361" s="23"/>
      <c r="R361" s="21"/>
      <c r="S361" s="21"/>
      <c r="T361" s="21"/>
      <c r="U361" s="21"/>
      <c r="V361" s="21"/>
      <c r="W361" s="24"/>
      <c r="X361" s="20"/>
      <c r="Y361" s="20"/>
      <c r="Z361" s="21"/>
      <c r="AA361" s="21"/>
      <c r="AB361" s="21"/>
      <c r="AC361" s="21"/>
      <c r="AD361" s="21"/>
      <c r="AE361" s="21"/>
      <c r="AF361" s="21"/>
      <c r="AG361" s="21"/>
      <c r="AH361" s="21"/>
      <c r="AI361" s="25"/>
      <c r="AJ361" s="20"/>
      <c r="AK361" s="21"/>
      <c r="AL361" s="20"/>
      <c r="AM361" s="20"/>
      <c r="AN361" s="20"/>
      <c r="AO361" s="20"/>
      <c r="AP361" s="446"/>
      <c r="AQ361" s="20"/>
      <c r="AR361" s="20"/>
      <c r="AS361" s="20"/>
      <c r="AT361" s="20"/>
      <c r="AU361" s="26"/>
      <c r="AV361" s="98"/>
      <c r="AW361" s="98"/>
      <c r="AX361" s="98"/>
      <c r="AY361" s="98"/>
      <c r="AZ361" s="98"/>
      <c r="BA361" s="217"/>
      <c r="BB361" s="98"/>
      <c r="BC361" s="98"/>
      <c r="BD361" s="98"/>
      <c r="BE361" s="98"/>
      <c r="BF361" s="98"/>
      <c r="BG361" s="219"/>
      <c r="BH361" s="219"/>
      <c r="BI361" s="219"/>
      <c r="BJ361" s="26"/>
      <c r="BK361" s="21"/>
      <c r="BL361" s="21"/>
      <c r="BM361" s="22"/>
      <c r="BN361" s="21"/>
      <c r="BO361" s="21"/>
      <c r="BP361" s="22"/>
      <c r="BQ361" s="21"/>
      <c r="BR361" s="21"/>
      <c r="BS361" s="22"/>
      <c r="BT36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61" s="109" t="str">
        <f>IF(ISNUMBER(tblParticipants[[#This Row],[SvcStartDate]]),IF(AND(tblParticipants[[#This Row],[EnrollQtr]]=1,tblParticipants[[#This Row],[SvcStartDate]]&lt;DATE(conProgYear,7,1)),1,""),"")</f>
        <v/>
      </c>
      <c r="BV36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61" s="232" t="str">
        <f t="shared" ca="1" si="5"/>
        <v/>
      </c>
      <c r="BX361" s="9">
        <f>IF(SUM(IF(tblParticipants[[#This Row],[AmIndOrAkNtv]]=1,1,0),IF(tblParticipants[[#This Row],[Asian]]=1,1,0),IF(tblParticipants[[#This Row],[BlkOrAfAmer]]=1,1,0),IF(tblParticipants[[#This Row],[NtvHawOrPacIsl]]=1,1,0),IF(tblParticipants[[#This Row],[White]]=1,1,0))&gt;1,1,0)</f>
        <v>0</v>
      </c>
      <c r="BY36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6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6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61" s="11">
        <f>IF(tblParticipants[[#This Row],[EarnWg2Qae]]=1,IFERROR(tblParticipants[[#This Row],[HoursPerWk2Qae]]*tblParticipants[[#This Row],[HrlyWg2Qae]]*13,0),0)</f>
        <v>0</v>
      </c>
      <c r="CC361" s="11">
        <f>IF(tblParticipants[[#This Row],[EarnWg3Qae]]=1,IFERROR(tblParticipants[[#This Row],[HoursPerWk3Qae]]*tblParticipants[[#This Row],[HrlyWg3Qae]]*13,0),0)</f>
        <v>0</v>
      </c>
      <c r="CD361" s="9">
        <f>IFERROR(IF(SUM(tblParticipants[[#This Row],[EarnWg1Qae]],tblParticipants[[#This Row],[EarnWg2Qae]],tblParticipants[[#This Row],[EarnWg3Qae]])=3,1,0),0)</f>
        <v>0</v>
      </c>
      <c r="CE361" s="12">
        <f>IF(tblParticipants[[#This Row],[EmplAll3Qae]]=1,tblParticipants[[#This Row],[Earnings2Qae]]+tblParticipants[[#This Row],[Earnings3Qae]],0)</f>
        <v>0</v>
      </c>
      <c r="CF361" s="407"/>
    </row>
    <row r="362" spans="1:84" x14ac:dyDescent="0.3">
      <c r="A362" s="19"/>
      <c r="B362" s="19"/>
      <c r="C362" s="20"/>
      <c r="D362" s="20"/>
      <c r="E362" s="26"/>
      <c r="F362" s="26"/>
      <c r="G362" s="26"/>
      <c r="H362" s="26"/>
      <c r="I362" s="26"/>
      <c r="J362" s="26"/>
      <c r="K362" s="26"/>
      <c r="L362" s="26"/>
      <c r="M362" s="20"/>
      <c r="N362" s="26"/>
      <c r="O362" s="22"/>
      <c r="P362" s="21"/>
      <c r="Q362" s="23"/>
      <c r="R362" s="21"/>
      <c r="S362" s="21"/>
      <c r="T362" s="21"/>
      <c r="U362" s="21"/>
      <c r="V362" s="21"/>
      <c r="W362" s="24"/>
      <c r="X362" s="20"/>
      <c r="Y362" s="20"/>
      <c r="Z362" s="21"/>
      <c r="AA362" s="21"/>
      <c r="AB362" s="21"/>
      <c r="AC362" s="21"/>
      <c r="AD362" s="21"/>
      <c r="AE362" s="21"/>
      <c r="AF362" s="21"/>
      <c r="AG362" s="21"/>
      <c r="AH362" s="21"/>
      <c r="AI362" s="25"/>
      <c r="AJ362" s="20"/>
      <c r="AK362" s="21"/>
      <c r="AL362" s="20"/>
      <c r="AM362" s="20"/>
      <c r="AN362" s="20"/>
      <c r="AO362" s="20"/>
      <c r="AP362" s="446"/>
      <c r="AQ362" s="20"/>
      <c r="AR362" s="20"/>
      <c r="AS362" s="20"/>
      <c r="AT362" s="20"/>
      <c r="AU362" s="26"/>
      <c r="AV362" s="98"/>
      <c r="AW362" s="98"/>
      <c r="AX362" s="98"/>
      <c r="AY362" s="98"/>
      <c r="AZ362" s="98"/>
      <c r="BA362" s="217"/>
      <c r="BB362" s="98"/>
      <c r="BC362" s="98"/>
      <c r="BD362" s="98"/>
      <c r="BE362" s="98"/>
      <c r="BF362" s="98"/>
      <c r="BG362" s="219"/>
      <c r="BH362" s="219"/>
      <c r="BI362" s="219"/>
      <c r="BJ362" s="26"/>
      <c r="BK362" s="21"/>
      <c r="BL362" s="21"/>
      <c r="BM362" s="22"/>
      <c r="BN362" s="21"/>
      <c r="BO362" s="21"/>
      <c r="BP362" s="22"/>
      <c r="BQ362" s="21"/>
      <c r="BR362" s="21"/>
      <c r="BS362" s="22"/>
      <c r="BT36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62" s="109" t="str">
        <f>IF(ISNUMBER(tblParticipants[[#This Row],[SvcStartDate]]),IF(AND(tblParticipants[[#This Row],[EnrollQtr]]=1,tblParticipants[[#This Row],[SvcStartDate]]&lt;DATE(conProgYear,7,1)),1,""),"")</f>
        <v/>
      </c>
      <c r="BV36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62" s="232" t="str">
        <f t="shared" ca="1" si="5"/>
        <v/>
      </c>
      <c r="BX362" s="9">
        <f>IF(SUM(IF(tblParticipants[[#This Row],[AmIndOrAkNtv]]=1,1,0),IF(tblParticipants[[#This Row],[Asian]]=1,1,0),IF(tblParticipants[[#This Row],[BlkOrAfAmer]]=1,1,0),IF(tblParticipants[[#This Row],[NtvHawOrPacIsl]]=1,1,0),IF(tblParticipants[[#This Row],[White]]=1,1,0))&gt;1,1,0)</f>
        <v>0</v>
      </c>
      <c r="BY36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6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6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62" s="11">
        <f>IF(tblParticipants[[#This Row],[EarnWg2Qae]]=1,IFERROR(tblParticipants[[#This Row],[HoursPerWk2Qae]]*tblParticipants[[#This Row],[HrlyWg2Qae]]*13,0),0)</f>
        <v>0</v>
      </c>
      <c r="CC362" s="11">
        <f>IF(tblParticipants[[#This Row],[EarnWg3Qae]]=1,IFERROR(tblParticipants[[#This Row],[HoursPerWk3Qae]]*tblParticipants[[#This Row],[HrlyWg3Qae]]*13,0),0)</f>
        <v>0</v>
      </c>
      <c r="CD362" s="9">
        <f>IFERROR(IF(SUM(tblParticipants[[#This Row],[EarnWg1Qae]],tblParticipants[[#This Row],[EarnWg2Qae]],tblParticipants[[#This Row],[EarnWg3Qae]])=3,1,0),0)</f>
        <v>0</v>
      </c>
      <c r="CE362" s="12">
        <f>IF(tblParticipants[[#This Row],[EmplAll3Qae]]=1,tblParticipants[[#This Row],[Earnings2Qae]]+tblParticipants[[#This Row],[Earnings3Qae]],0)</f>
        <v>0</v>
      </c>
      <c r="CF362" s="407"/>
    </row>
    <row r="363" spans="1:84" x14ac:dyDescent="0.3">
      <c r="A363" s="19"/>
      <c r="B363" s="19"/>
      <c r="C363" s="20"/>
      <c r="D363" s="20"/>
      <c r="E363" s="26"/>
      <c r="F363" s="26"/>
      <c r="G363" s="26"/>
      <c r="H363" s="26"/>
      <c r="I363" s="26"/>
      <c r="J363" s="26"/>
      <c r="K363" s="26"/>
      <c r="L363" s="26"/>
      <c r="M363" s="20"/>
      <c r="N363" s="26"/>
      <c r="O363" s="22"/>
      <c r="P363" s="21"/>
      <c r="Q363" s="23"/>
      <c r="R363" s="21"/>
      <c r="S363" s="21"/>
      <c r="T363" s="21"/>
      <c r="U363" s="21"/>
      <c r="V363" s="21"/>
      <c r="W363" s="24"/>
      <c r="X363" s="20"/>
      <c r="Y363" s="20"/>
      <c r="Z363" s="21"/>
      <c r="AA363" s="21"/>
      <c r="AB363" s="21"/>
      <c r="AC363" s="21"/>
      <c r="AD363" s="21"/>
      <c r="AE363" s="21"/>
      <c r="AF363" s="21"/>
      <c r="AG363" s="21"/>
      <c r="AH363" s="21"/>
      <c r="AI363" s="25"/>
      <c r="AJ363" s="20"/>
      <c r="AK363" s="21"/>
      <c r="AL363" s="20"/>
      <c r="AM363" s="20"/>
      <c r="AN363" s="20"/>
      <c r="AO363" s="20"/>
      <c r="AP363" s="446"/>
      <c r="AQ363" s="20"/>
      <c r="AR363" s="20"/>
      <c r="AS363" s="20"/>
      <c r="AT363" s="20"/>
      <c r="AU363" s="26"/>
      <c r="AV363" s="98"/>
      <c r="AW363" s="98"/>
      <c r="AX363" s="98"/>
      <c r="AY363" s="98"/>
      <c r="AZ363" s="98"/>
      <c r="BA363" s="217"/>
      <c r="BB363" s="98"/>
      <c r="BC363" s="98"/>
      <c r="BD363" s="98"/>
      <c r="BE363" s="98"/>
      <c r="BF363" s="98"/>
      <c r="BG363" s="219"/>
      <c r="BH363" s="219"/>
      <c r="BI363" s="219"/>
      <c r="BJ363" s="26"/>
      <c r="BK363" s="21"/>
      <c r="BL363" s="21"/>
      <c r="BM363" s="22"/>
      <c r="BN363" s="21"/>
      <c r="BO363" s="21"/>
      <c r="BP363" s="22"/>
      <c r="BQ363" s="21"/>
      <c r="BR363" s="21"/>
      <c r="BS363" s="22"/>
      <c r="BT36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63" s="109" t="str">
        <f>IF(ISNUMBER(tblParticipants[[#This Row],[SvcStartDate]]),IF(AND(tblParticipants[[#This Row],[EnrollQtr]]=1,tblParticipants[[#This Row],[SvcStartDate]]&lt;DATE(conProgYear,7,1)),1,""),"")</f>
        <v/>
      </c>
      <c r="BV36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63" s="232" t="str">
        <f t="shared" ca="1" si="5"/>
        <v/>
      </c>
      <c r="BX363" s="9">
        <f>IF(SUM(IF(tblParticipants[[#This Row],[AmIndOrAkNtv]]=1,1,0),IF(tblParticipants[[#This Row],[Asian]]=1,1,0),IF(tblParticipants[[#This Row],[BlkOrAfAmer]]=1,1,0),IF(tblParticipants[[#This Row],[NtvHawOrPacIsl]]=1,1,0),IF(tblParticipants[[#This Row],[White]]=1,1,0))&gt;1,1,0)</f>
        <v>0</v>
      </c>
      <c r="BY36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6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6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63" s="11">
        <f>IF(tblParticipants[[#This Row],[EarnWg2Qae]]=1,IFERROR(tblParticipants[[#This Row],[HoursPerWk2Qae]]*tblParticipants[[#This Row],[HrlyWg2Qae]]*13,0),0)</f>
        <v>0</v>
      </c>
      <c r="CC363" s="11">
        <f>IF(tblParticipants[[#This Row],[EarnWg3Qae]]=1,IFERROR(tblParticipants[[#This Row],[HoursPerWk3Qae]]*tblParticipants[[#This Row],[HrlyWg3Qae]]*13,0),0)</f>
        <v>0</v>
      </c>
      <c r="CD363" s="9">
        <f>IFERROR(IF(SUM(tblParticipants[[#This Row],[EarnWg1Qae]],tblParticipants[[#This Row],[EarnWg2Qae]],tblParticipants[[#This Row],[EarnWg3Qae]])=3,1,0),0)</f>
        <v>0</v>
      </c>
      <c r="CE363" s="12">
        <f>IF(tblParticipants[[#This Row],[EmplAll3Qae]]=1,tblParticipants[[#This Row],[Earnings2Qae]]+tblParticipants[[#This Row],[Earnings3Qae]],0)</f>
        <v>0</v>
      </c>
      <c r="CF363" s="407"/>
    </row>
    <row r="364" spans="1:84" x14ac:dyDescent="0.3">
      <c r="A364" s="19"/>
      <c r="B364" s="19"/>
      <c r="C364" s="20"/>
      <c r="D364" s="20"/>
      <c r="E364" s="26"/>
      <c r="F364" s="26"/>
      <c r="G364" s="26"/>
      <c r="H364" s="26"/>
      <c r="I364" s="26"/>
      <c r="J364" s="26"/>
      <c r="K364" s="26"/>
      <c r="L364" s="26"/>
      <c r="M364" s="20"/>
      <c r="N364" s="26"/>
      <c r="O364" s="22"/>
      <c r="P364" s="21"/>
      <c r="Q364" s="23"/>
      <c r="R364" s="21"/>
      <c r="S364" s="21"/>
      <c r="T364" s="21"/>
      <c r="U364" s="21"/>
      <c r="V364" s="21"/>
      <c r="W364" s="24"/>
      <c r="X364" s="20"/>
      <c r="Y364" s="20"/>
      <c r="Z364" s="21"/>
      <c r="AA364" s="21"/>
      <c r="AB364" s="21"/>
      <c r="AC364" s="21"/>
      <c r="AD364" s="21"/>
      <c r="AE364" s="21"/>
      <c r="AF364" s="21"/>
      <c r="AG364" s="21"/>
      <c r="AH364" s="21"/>
      <c r="AI364" s="25"/>
      <c r="AJ364" s="20"/>
      <c r="AK364" s="21"/>
      <c r="AL364" s="20"/>
      <c r="AM364" s="20"/>
      <c r="AN364" s="20"/>
      <c r="AO364" s="20"/>
      <c r="AP364" s="446"/>
      <c r="AQ364" s="20"/>
      <c r="AR364" s="20"/>
      <c r="AS364" s="20"/>
      <c r="AT364" s="20"/>
      <c r="AU364" s="26"/>
      <c r="AV364" s="98"/>
      <c r="AW364" s="98"/>
      <c r="AX364" s="98"/>
      <c r="AY364" s="98"/>
      <c r="AZ364" s="98"/>
      <c r="BA364" s="217"/>
      <c r="BB364" s="98"/>
      <c r="BC364" s="98"/>
      <c r="BD364" s="98"/>
      <c r="BE364" s="98"/>
      <c r="BF364" s="98"/>
      <c r="BG364" s="219"/>
      <c r="BH364" s="219"/>
      <c r="BI364" s="219"/>
      <c r="BJ364" s="26"/>
      <c r="BK364" s="21"/>
      <c r="BL364" s="21"/>
      <c r="BM364" s="22"/>
      <c r="BN364" s="21"/>
      <c r="BO364" s="21"/>
      <c r="BP364" s="22"/>
      <c r="BQ364" s="21"/>
      <c r="BR364" s="21"/>
      <c r="BS364" s="22"/>
      <c r="BT36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64" s="109" t="str">
        <f>IF(ISNUMBER(tblParticipants[[#This Row],[SvcStartDate]]),IF(AND(tblParticipants[[#This Row],[EnrollQtr]]=1,tblParticipants[[#This Row],[SvcStartDate]]&lt;DATE(conProgYear,7,1)),1,""),"")</f>
        <v/>
      </c>
      <c r="BV36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64" s="232" t="str">
        <f t="shared" ca="1" si="5"/>
        <v/>
      </c>
      <c r="BX364" s="9">
        <f>IF(SUM(IF(tblParticipants[[#This Row],[AmIndOrAkNtv]]=1,1,0),IF(tblParticipants[[#This Row],[Asian]]=1,1,0),IF(tblParticipants[[#This Row],[BlkOrAfAmer]]=1,1,0),IF(tblParticipants[[#This Row],[NtvHawOrPacIsl]]=1,1,0),IF(tblParticipants[[#This Row],[White]]=1,1,0))&gt;1,1,0)</f>
        <v>0</v>
      </c>
      <c r="BY36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6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6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64" s="11">
        <f>IF(tblParticipants[[#This Row],[EarnWg2Qae]]=1,IFERROR(tblParticipants[[#This Row],[HoursPerWk2Qae]]*tblParticipants[[#This Row],[HrlyWg2Qae]]*13,0),0)</f>
        <v>0</v>
      </c>
      <c r="CC364" s="11">
        <f>IF(tblParticipants[[#This Row],[EarnWg3Qae]]=1,IFERROR(tblParticipants[[#This Row],[HoursPerWk3Qae]]*tblParticipants[[#This Row],[HrlyWg3Qae]]*13,0),0)</f>
        <v>0</v>
      </c>
      <c r="CD364" s="9">
        <f>IFERROR(IF(SUM(tblParticipants[[#This Row],[EarnWg1Qae]],tblParticipants[[#This Row],[EarnWg2Qae]],tblParticipants[[#This Row],[EarnWg3Qae]])=3,1,0),0)</f>
        <v>0</v>
      </c>
      <c r="CE364" s="12">
        <f>IF(tblParticipants[[#This Row],[EmplAll3Qae]]=1,tblParticipants[[#This Row],[Earnings2Qae]]+tblParticipants[[#This Row],[Earnings3Qae]],0)</f>
        <v>0</v>
      </c>
      <c r="CF364" s="407"/>
    </row>
    <row r="365" spans="1:84" x14ac:dyDescent="0.3">
      <c r="A365" s="19"/>
      <c r="B365" s="19"/>
      <c r="C365" s="20"/>
      <c r="D365" s="20"/>
      <c r="E365" s="26"/>
      <c r="F365" s="26"/>
      <c r="G365" s="26"/>
      <c r="H365" s="26"/>
      <c r="I365" s="26"/>
      <c r="J365" s="26"/>
      <c r="K365" s="26"/>
      <c r="L365" s="26"/>
      <c r="M365" s="20"/>
      <c r="N365" s="26"/>
      <c r="O365" s="22"/>
      <c r="P365" s="21"/>
      <c r="Q365" s="23"/>
      <c r="R365" s="21"/>
      <c r="S365" s="21"/>
      <c r="T365" s="21"/>
      <c r="U365" s="21"/>
      <c r="V365" s="21"/>
      <c r="W365" s="24"/>
      <c r="X365" s="20"/>
      <c r="Y365" s="20"/>
      <c r="Z365" s="21"/>
      <c r="AA365" s="21"/>
      <c r="AB365" s="21"/>
      <c r="AC365" s="21"/>
      <c r="AD365" s="21"/>
      <c r="AE365" s="21"/>
      <c r="AF365" s="21"/>
      <c r="AG365" s="21"/>
      <c r="AH365" s="21"/>
      <c r="AI365" s="25"/>
      <c r="AJ365" s="20"/>
      <c r="AK365" s="21"/>
      <c r="AL365" s="20"/>
      <c r="AM365" s="20"/>
      <c r="AN365" s="20"/>
      <c r="AO365" s="20"/>
      <c r="AP365" s="446"/>
      <c r="AQ365" s="20"/>
      <c r="AR365" s="20"/>
      <c r="AS365" s="20"/>
      <c r="AT365" s="20"/>
      <c r="AU365" s="26"/>
      <c r="AV365" s="98"/>
      <c r="AW365" s="98"/>
      <c r="AX365" s="98"/>
      <c r="AY365" s="98"/>
      <c r="AZ365" s="98"/>
      <c r="BA365" s="217"/>
      <c r="BB365" s="98"/>
      <c r="BC365" s="98"/>
      <c r="BD365" s="98"/>
      <c r="BE365" s="98"/>
      <c r="BF365" s="98"/>
      <c r="BG365" s="219"/>
      <c r="BH365" s="219"/>
      <c r="BI365" s="219"/>
      <c r="BJ365" s="26"/>
      <c r="BK365" s="21"/>
      <c r="BL365" s="21"/>
      <c r="BM365" s="22"/>
      <c r="BN365" s="21"/>
      <c r="BO365" s="21"/>
      <c r="BP365" s="22"/>
      <c r="BQ365" s="21"/>
      <c r="BR365" s="21"/>
      <c r="BS365" s="22"/>
      <c r="BT36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65" s="109" t="str">
        <f>IF(ISNUMBER(tblParticipants[[#This Row],[SvcStartDate]]),IF(AND(tblParticipants[[#This Row],[EnrollQtr]]=1,tblParticipants[[#This Row],[SvcStartDate]]&lt;DATE(conProgYear,7,1)),1,""),"")</f>
        <v/>
      </c>
      <c r="BV36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65" s="232" t="str">
        <f t="shared" ca="1" si="5"/>
        <v/>
      </c>
      <c r="BX365" s="9">
        <f>IF(SUM(IF(tblParticipants[[#This Row],[AmIndOrAkNtv]]=1,1,0),IF(tblParticipants[[#This Row],[Asian]]=1,1,0),IF(tblParticipants[[#This Row],[BlkOrAfAmer]]=1,1,0),IF(tblParticipants[[#This Row],[NtvHawOrPacIsl]]=1,1,0),IF(tblParticipants[[#This Row],[White]]=1,1,0))&gt;1,1,0)</f>
        <v>0</v>
      </c>
      <c r="BY36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6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6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65" s="11">
        <f>IF(tblParticipants[[#This Row],[EarnWg2Qae]]=1,IFERROR(tblParticipants[[#This Row],[HoursPerWk2Qae]]*tblParticipants[[#This Row],[HrlyWg2Qae]]*13,0),0)</f>
        <v>0</v>
      </c>
      <c r="CC365" s="11">
        <f>IF(tblParticipants[[#This Row],[EarnWg3Qae]]=1,IFERROR(tblParticipants[[#This Row],[HoursPerWk3Qae]]*tblParticipants[[#This Row],[HrlyWg3Qae]]*13,0),0)</f>
        <v>0</v>
      </c>
      <c r="CD365" s="9">
        <f>IFERROR(IF(SUM(tblParticipants[[#This Row],[EarnWg1Qae]],tblParticipants[[#This Row],[EarnWg2Qae]],tblParticipants[[#This Row],[EarnWg3Qae]])=3,1,0),0)</f>
        <v>0</v>
      </c>
      <c r="CE365" s="12">
        <f>IF(tblParticipants[[#This Row],[EmplAll3Qae]]=1,tblParticipants[[#This Row],[Earnings2Qae]]+tblParticipants[[#This Row],[Earnings3Qae]],0)</f>
        <v>0</v>
      </c>
      <c r="CF365" s="407"/>
    </row>
    <row r="366" spans="1:84" x14ac:dyDescent="0.3">
      <c r="A366" s="19"/>
      <c r="B366" s="19"/>
      <c r="C366" s="20"/>
      <c r="D366" s="20"/>
      <c r="E366" s="26"/>
      <c r="F366" s="26"/>
      <c r="G366" s="26"/>
      <c r="H366" s="26"/>
      <c r="I366" s="26"/>
      <c r="J366" s="26"/>
      <c r="K366" s="26"/>
      <c r="L366" s="26"/>
      <c r="M366" s="20"/>
      <c r="N366" s="26"/>
      <c r="O366" s="22"/>
      <c r="P366" s="21"/>
      <c r="Q366" s="23"/>
      <c r="R366" s="21"/>
      <c r="S366" s="21"/>
      <c r="T366" s="21"/>
      <c r="U366" s="21"/>
      <c r="V366" s="21"/>
      <c r="W366" s="24"/>
      <c r="X366" s="20"/>
      <c r="Y366" s="20"/>
      <c r="Z366" s="21"/>
      <c r="AA366" s="21"/>
      <c r="AB366" s="21"/>
      <c r="AC366" s="21"/>
      <c r="AD366" s="21"/>
      <c r="AE366" s="21"/>
      <c r="AF366" s="21"/>
      <c r="AG366" s="21"/>
      <c r="AH366" s="21"/>
      <c r="AI366" s="25"/>
      <c r="AJ366" s="20"/>
      <c r="AK366" s="21"/>
      <c r="AL366" s="20"/>
      <c r="AM366" s="20"/>
      <c r="AN366" s="20"/>
      <c r="AO366" s="20"/>
      <c r="AP366" s="446"/>
      <c r="AQ366" s="20"/>
      <c r="AR366" s="20"/>
      <c r="AS366" s="20"/>
      <c r="AT366" s="20"/>
      <c r="AU366" s="26"/>
      <c r="AV366" s="98"/>
      <c r="AW366" s="98"/>
      <c r="AX366" s="98"/>
      <c r="AY366" s="98"/>
      <c r="AZ366" s="98"/>
      <c r="BA366" s="217"/>
      <c r="BB366" s="98"/>
      <c r="BC366" s="98"/>
      <c r="BD366" s="98"/>
      <c r="BE366" s="98"/>
      <c r="BF366" s="98"/>
      <c r="BG366" s="219"/>
      <c r="BH366" s="219"/>
      <c r="BI366" s="219"/>
      <c r="BJ366" s="26"/>
      <c r="BK366" s="21"/>
      <c r="BL366" s="21"/>
      <c r="BM366" s="22"/>
      <c r="BN366" s="21"/>
      <c r="BO366" s="21"/>
      <c r="BP366" s="22"/>
      <c r="BQ366" s="21"/>
      <c r="BR366" s="21"/>
      <c r="BS366" s="22"/>
      <c r="BT36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66" s="109" t="str">
        <f>IF(ISNUMBER(tblParticipants[[#This Row],[SvcStartDate]]),IF(AND(tblParticipants[[#This Row],[EnrollQtr]]=1,tblParticipants[[#This Row],[SvcStartDate]]&lt;DATE(conProgYear,7,1)),1,""),"")</f>
        <v/>
      </c>
      <c r="BV36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66" s="232" t="str">
        <f t="shared" ca="1" si="5"/>
        <v/>
      </c>
      <c r="BX366" s="9">
        <f>IF(SUM(IF(tblParticipants[[#This Row],[AmIndOrAkNtv]]=1,1,0),IF(tblParticipants[[#This Row],[Asian]]=1,1,0),IF(tblParticipants[[#This Row],[BlkOrAfAmer]]=1,1,0),IF(tblParticipants[[#This Row],[NtvHawOrPacIsl]]=1,1,0),IF(tblParticipants[[#This Row],[White]]=1,1,0))&gt;1,1,0)</f>
        <v>0</v>
      </c>
      <c r="BY36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6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6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66" s="11">
        <f>IF(tblParticipants[[#This Row],[EarnWg2Qae]]=1,IFERROR(tblParticipants[[#This Row],[HoursPerWk2Qae]]*tblParticipants[[#This Row],[HrlyWg2Qae]]*13,0),0)</f>
        <v>0</v>
      </c>
      <c r="CC366" s="11">
        <f>IF(tblParticipants[[#This Row],[EarnWg3Qae]]=1,IFERROR(tblParticipants[[#This Row],[HoursPerWk3Qae]]*tblParticipants[[#This Row],[HrlyWg3Qae]]*13,0),0)</f>
        <v>0</v>
      </c>
      <c r="CD366" s="9">
        <f>IFERROR(IF(SUM(tblParticipants[[#This Row],[EarnWg1Qae]],tblParticipants[[#This Row],[EarnWg2Qae]],tblParticipants[[#This Row],[EarnWg3Qae]])=3,1,0),0)</f>
        <v>0</v>
      </c>
      <c r="CE366" s="12">
        <f>IF(tblParticipants[[#This Row],[EmplAll3Qae]]=1,tblParticipants[[#This Row],[Earnings2Qae]]+tblParticipants[[#This Row],[Earnings3Qae]],0)</f>
        <v>0</v>
      </c>
      <c r="CF366" s="407"/>
    </row>
    <row r="367" spans="1:84" x14ac:dyDescent="0.3">
      <c r="A367" s="19"/>
      <c r="B367" s="19"/>
      <c r="C367" s="20"/>
      <c r="D367" s="20"/>
      <c r="E367" s="26"/>
      <c r="F367" s="26"/>
      <c r="G367" s="26"/>
      <c r="H367" s="26"/>
      <c r="I367" s="26"/>
      <c r="J367" s="26"/>
      <c r="K367" s="26"/>
      <c r="L367" s="26"/>
      <c r="M367" s="20"/>
      <c r="N367" s="26"/>
      <c r="O367" s="22"/>
      <c r="P367" s="21"/>
      <c r="Q367" s="23"/>
      <c r="R367" s="21"/>
      <c r="S367" s="21"/>
      <c r="T367" s="21"/>
      <c r="U367" s="21"/>
      <c r="V367" s="21"/>
      <c r="W367" s="24"/>
      <c r="X367" s="20"/>
      <c r="Y367" s="20"/>
      <c r="Z367" s="21"/>
      <c r="AA367" s="21"/>
      <c r="AB367" s="21"/>
      <c r="AC367" s="21"/>
      <c r="AD367" s="21"/>
      <c r="AE367" s="21"/>
      <c r="AF367" s="21"/>
      <c r="AG367" s="21"/>
      <c r="AH367" s="21"/>
      <c r="AI367" s="25"/>
      <c r="AJ367" s="20"/>
      <c r="AK367" s="21"/>
      <c r="AL367" s="20"/>
      <c r="AM367" s="20"/>
      <c r="AN367" s="20"/>
      <c r="AO367" s="20"/>
      <c r="AP367" s="446"/>
      <c r="AQ367" s="20"/>
      <c r="AR367" s="20"/>
      <c r="AS367" s="20"/>
      <c r="AT367" s="20"/>
      <c r="AU367" s="26"/>
      <c r="AV367" s="98"/>
      <c r="AW367" s="98"/>
      <c r="AX367" s="98"/>
      <c r="AY367" s="98"/>
      <c r="AZ367" s="98"/>
      <c r="BA367" s="217"/>
      <c r="BB367" s="98"/>
      <c r="BC367" s="98"/>
      <c r="BD367" s="98"/>
      <c r="BE367" s="98"/>
      <c r="BF367" s="98"/>
      <c r="BG367" s="219"/>
      <c r="BH367" s="219"/>
      <c r="BI367" s="219"/>
      <c r="BJ367" s="26"/>
      <c r="BK367" s="21"/>
      <c r="BL367" s="21"/>
      <c r="BM367" s="22"/>
      <c r="BN367" s="21"/>
      <c r="BO367" s="21"/>
      <c r="BP367" s="22"/>
      <c r="BQ367" s="21"/>
      <c r="BR367" s="21"/>
      <c r="BS367" s="22"/>
      <c r="BT36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67" s="109" t="str">
        <f>IF(ISNUMBER(tblParticipants[[#This Row],[SvcStartDate]]),IF(AND(tblParticipants[[#This Row],[EnrollQtr]]=1,tblParticipants[[#This Row],[SvcStartDate]]&lt;DATE(conProgYear,7,1)),1,""),"")</f>
        <v/>
      </c>
      <c r="BV36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67" s="232" t="str">
        <f t="shared" ca="1" si="5"/>
        <v/>
      </c>
      <c r="BX367" s="9">
        <f>IF(SUM(IF(tblParticipants[[#This Row],[AmIndOrAkNtv]]=1,1,0),IF(tblParticipants[[#This Row],[Asian]]=1,1,0),IF(tblParticipants[[#This Row],[BlkOrAfAmer]]=1,1,0),IF(tblParticipants[[#This Row],[NtvHawOrPacIsl]]=1,1,0),IF(tblParticipants[[#This Row],[White]]=1,1,0))&gt;1,1,0)</f>
        <v>0</v>
      </c>
      <c r="BY36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6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6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67" s="11">
        <f>IF(tblParticipants[[#This Row],[EarnWg2Qae]]=1,IFERROR(tblParticipants[[#This Row],[HoursPerWk2Qae]]*tblParticipants[[#This Row],[HrlyWg2Qae]]*13,0),0)</f>
        <v>0</v>
      </c>
      <c r="CC367" s="11">
        <f>IF(tblParticipants[[#This Row],[EarnWg3Qae]]=1,IFERROR(tblParticipants[[#This Row],[HoursPerWk3Qae]]*tblParticipants[[#This Row],[HrlyWg3Qae]]*13,0),0)</f>
        <v>0</v>
      </c>
      <c r="CD367" s="9">
        <f>IFERROR(IF(SUM(tblParticipants[[#This Row],[EarnWg1Qae]],tblParticipants[[#This Row],[EarnWg2Qae]],tblParticipants[[#This Row],[EarnWg3Qae]])=3,1,0),0)</f>
        <v>0</v>
      </c>
      <c r="CE367" s="12">
        <f>IF(tblParticipants[[#This Row],[EmplAll3Qae]]=1,tblParticipants[[#This Row],[Earnings2Qae]]+tblParticipants[[#This Row],[Earnings3Qae]],0)</f>
        <v>0</v>
      </c>
      <c r="CF367" s="407"/>
    </row>
    <row r="368" spans="1:84" x14ac:dyDescent="0.3">
      <c r="A368" s="19"/>
      <c r="B368" s="19"/>
      <c r="C368" s="20"/>
      <c r="D368" s="20"/>
      <c r="E368" s="26"/>
      <c r="F368" s="26"/>
      <c r="G368" s="26"/>
      <c r="H368" s="26"/>
      <c r="I368" s="26"/>
      <c r="J368" s="26"/>
      <c r="K368" s="26"/>
      <c r="L368" s="26"/>
      <c r="M368" s="20"/>
      <c r="N368" s="26"/>
      <c r="O368" s="22"/>
      <c r="P368" s="21"/>
      <c r="Q368" s="23"/>
      <c r="R368" s="21"/>
      <c r="S368" s="21"/>
      <c r="T368" s="21"/>
      <c r="U368" s="21"/>
      <c r="V368" s="21"/>
      <c r="W368" s="24"/>
      <c r="X368" s="20"/>
      <c r="Y368" s="20"/>
      <c r="Z368" s="21"/>
      <c r="AA368" s="21"/>
      <c r="AB368" s="21"/>
      <c r="AC368" s="21"/>
      <c r="AD368" s="21"/>
      <c r="AE368" s="21"/>
      <c r="AF368" s="21"/>
      <c r="AG368" s="21"/>
      <c r="AH368" s="21"/>
      <c r="AI368" s="25"/>
      <c r="AJ368" s="20"/>
      <c r="AK368" s="21"/>
      <c r="AL368" s="20"/>
      <c r="AM368" s="20"/>
      <c r="AN368" s="20"/>
      <c r="AO368" s="20"/>
      <c r="AP368" s="446"/>
      <c r="AQ368" s="20"/>
      <c r="AR368" s="20"/>
      <c r="AS368" s="20"/>
      <c r="AT368" s="20"/>
      <c r="AU368" s="26"/>
      <c r="AV368" s="98"/>
      <c r="AW368" s="98"/>
      <c r="AX368" s="98"/>
      <c r="AY368" s="98"/>
      <c r="AZ368" s="98"/>
      <c r="BA368" s="217"/>
      <c r="BB368" s="98"/>
      <c r="BC368" s="98"/>
      <c r="BD368" s="98"/>
      <c r="BE368" s="98"/>
      <c r="BF368" s="98"/>
      <c r="BG368" s="219"/>
      <c r="BH368" s="219"/>
      <c r="BI368" s="219"/>
      <c r="BJ368" s="26"/>
      <c r="BK368" s="21"/>
      <c r="BL368" s="21"/>
      <c r="BM368" s="22"/>
      <c r="BN368" s="21"/>
      <c r="BO368" s="21"/>
      <c r="BP368" s="22"/>
      <c r="BQ368" s="21"/>
      <c r="BR368" s="21"/>
      <c r="BS368" s="22"/>
      <c r="BT36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68" s="109" t="str">
        <f>IF(ISNUMBER(tblParticipants[[#This Row],[SvcStartDate]]),IF(AND(tblParticipants[[#This Row],[EnrollQtr]]=1,tblParticipants[[#This Row],[SvcStartDate]]&lt;DATE(conProgYear,7,1)),1,""),"")</f>
        <v/>
      </c>
      <c r="BV36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68" s="232" t="str">
        <f t="shared" ca="1" si="5"/>
        <v/>
      </c>
      <c r="BX368" s="9">
        <f>IF(SUM(IF(tblParticipants[[#This Row],[AmIndOrAkNtv]]=1,1,0),IF(tblParticipants[[#This Row],[Asian]]=1,1,0),IF(tblParticipants[[#This Row],[BlkOrAfAmer]]=1,1,0),IF(tblParticipants[[#This Row],[NtvHawOrPacIsl]]=1,1,0),IF(tblParticipants[[#This Row],[White]]=1,1,0))&gt;1,1,0)</f>
        <v>0</v>
      </c>
      <c r="BY36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6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6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68" s="11">
        <f>IF(tblParticipants[[#This Row],[EarnWg2Qae]]=1,IFERROR(tblParticipants[[#This Row],[HoursPerWk2Qae]]*tblParticipants[[#This Row],[HrlyWg2Qae]]*13,0),0)</f>
        <v>0</v>
      </c>
      <c r="CC368" s="11">
        <f>IF(tblParticipants[[#This Row],[EarnWg3Qae]]=1,IFERROR(tblParticipants[[#This Row],[HoursPerWk3Qae]]*tblParticipants[[#This Row],[HrlyWg3Qae]]*13,0),0)</f>
        <v>0</v>
      </c>
      <c r="CD368" s="9">
        <f>IFERROR(IF(SUM(tblParticipants[[#This Row],[EarnWg1Qae]],tblParticipants[[#This Row],[EarnWg2Qae]],tblParticipants[[#This Row],[EarnWg3Qae]])=3,1,0),0)</f>
        <v>0</v>
      </c>
      <c r="CE368" s="12">
        <f>IF(tblParticipants[[#This Row],[EmplAll3Qae]]=1,tblParticipants[[#This Row],[Earnings2Qae]]+tblParticipants[[#This Row],[Earnings3Qae]],0)</f>
        <v>0</v>
      </c>
      <c r="CF368" s="407"/>
    </row>
    <row r="369" spans="1:84" x14ac:dyDescent="0.3">
      <c r="A369" s="19"/>
      <c r="B369" s="19"/>
      <c r="C369" s="20"/>
      <c r="D369" s="20"/>
      <c r="E369" s="26"/>
      <c r="F369" s="26"/>
      <c r="G369" s="26"/>
      <c r="H369" s="26"/>
      <c r="I369" s="26"/>
      <c r="J369" s="26"/>
      <c r="K369" s="26"/>
      <c r="L369" s="26"/>
      <c r="M369" s="20"/>
      <c r="N369" s="26"/>
      <c r="O369" s="22"/>
      <c r="P369" s="21"/>
      <c r="Q369" s="23"/>
      <c r="R369" s="21"/>
      <c r="S369" s="21"/>
      <c r="T369" s="21"/>
      <c r="U369" s="21"/>
      <c r="V369" s="21"/>
      <c r="W369" s="24"/>
      <c r="X369" s="20"/>
      <c r="Y369" s="20"/>
      <c r="Z369" s="21"/>
      <c r="AA369" s="21"/>
      <c r="AB369" s="21"/>
      <c r="AC369" s="21"/>
      <c r="AD369" s="21"/>
      <c r="AE369" s="21"/>
      <c r="AF369" s="21"/>
      <c r="AG369" s="21"/>
      <c r="AH369" s="21"/>
      <c r="AI369" s="25"/>
      <c r="AJ369" s="20"/>
      <c r="AK369" s="21"/>
      <c r="AL369" s="20"/>
      <c r="AM369" s="20"/>
      <c r="AN369" s="20"/>
      <c r="AO369" s="20"/>
      <c r="AP369" s="446"/>
      <c r="AQ369" s="20"/>
      <c r="AR369" s="20"/>
      <c r="AS369" s="20"/>
      <c r="AT369" s="20"/>
      <c r="AU369" s="26"/>
      <c r="AV369" s="98"/>
      <c r="AW369" s="98"/>
      <c r="AX369" s="98"/>
      <c r="AY369" s="98"/>
      <c r="AZ369" s="98"/>
      <c r="BA369" s="217"/>
      <c r="BB369" s="98"/>
      <c r="BC369" s="98"/>
      <c r="BD369" s="98"/>
      <c r="BE369" s="98"/>
      <c r="BF369" s="98"/>
      <c r="BG369" s="219"/>
      <c r="BH369" s="219"/>
      <c r="BI369" s="219"/>
      <c r="BJ369" s="26"/>
      <c r="BK369" s="21"/>
      <c r="BL369" s="21"/>
      <c r="BM369" s="22"/>
      <c r="BN369" s="21"/>
      <c r="BO369" s="21"/>
      <c r="BP369" s="22"/>
      <c r="BQ369" s="21"/>
      <c r="BR369" s="21"/>
      <c r="BS369" s="22"/>
      <c r="BT36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69" s="109" t="str">
        <f>IF(ISNUMBER(tblParticipants[[#This Row],[SvcStartDate]]),IF(AND(tblParticipants[[#This Row],[EnrollQtr]]=1,tblParticipants[[#This Row],[SvcStartDate]]&lt;DATE(conProgYear,7,1)),1,""),"")</f>
        <v/>
      </c>
      <c r="BV36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69" s="232" t="str">
        <f t="shared" ca="1" si="5"/>
        <v/>
      </c>
      <c r="BX369" s="9">
        <f>IF(SUM(IF(tblParticipants[[#This Row],[AmIndOrAkNtv]]=1,1,0),IF(tblParticipants[[#This Row],[Asian]]=1,1,0),IF(tblParticipants[[#This Row],[BlkOrAfAmer]]=1,1,0),IF(tblParticipants[[#This Row],[NtvHawOrPacIsl]]=1,1,0),IF(tblParticipants[[#This Row],[White]]=1,1,0))&gt;1,1,0)</f>
        <v>0</v>
      </c>
      <c r="BY36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6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6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69" s="11">
        <f>IF(tblParticipants[[#This Row],[EarnWg2Qae]]=1,IFERROR(tblParticipants[[#This Row],[HoursPerWk2Qae]]*tblParticipants[[#This Row],[HrlyWg2Qae]]*13,0),0)</f>
        <v>0</v>
      </c>
      <c r="CC369" s="11">
        <f>IF(tblParticipants[[#This Row],[EarnWg3Qae]]=1,IFERROR(tblParticipants[[#This Row],[HoursPerWk3Qae]]*tblParticipants[[#This Row],[HrlyWg3Qae]]*13,0),0)</f>
        <v>0</v>
      </c>
      <c r="CD369" s="9">
        <f>IFERROR(IF(SUM(tblParticipants[[#This Row],[EarnWg1Qae]],tblParticipants[[#This Row],[EarnWg2Qae]],tblParticipants[[#This Row],[EarnWg3Qae]])=3,1,0),0)</f>
        <v>0</v>
      </c>
      <c r="CE369" s="12">
        <f>IF(tblParticipants[[#This Row],[EmplAll3Qae]]=1,tblParticipants[[#This Row],[Earnings2Qae]]+tblParticipants[[#This Row],[Earnings3Qae]],0)</f>
        <v>0</v>
      </c>
      <c r="CF369" s="407"/>
    </row>
    <row r="370" spans="1:84" x14ac:dyDescent="0.3">
      <c r="A370" s="19"/>
      <c r="B370" s="19"/>
      <c r="C370" s="20"/>
      <c r="D370" s="20"/>
      <c r="E370" s="26"/>
      <c r="F370" s="26"/>
      <c r="G370" s="26"/>
      <c r="H370" s="26"/>
      <c r="I370" s="26"/>
      <c r="J370" s="26"/>
      <c r="K370" s="26"/>
      <c r="L370" s="26"/>
      <c r="M370" s="20"/>
      <c r="N370" s="26"/>
      <c r="O370" s="22"/>
      <c r="P370" s="21"/>
      <c r="Q370" s="23"/>
      <c r="R370" s="21"/>
      <c r="S370" s="21"/>
      <c r="T370" s="21"/>
      <c r="U370" s="21"/>
      <c r="V370" s="21"/>
      <c r="W370" s="24"/>
      <c r="X370" s="20"/>
      <c r="Y370" s="20"/>
      <c r="Z370" s="21"/>
      <c r="AA370" s="21"/>
      <c r="AB370" s="21"/>
      <c r="AC370" s="21"/>
      <c r="AD370" s="21"/>
      <c r="AE370" s="21"/>
      <c r="AF370" s="21"/>
      <c r="AG370" s="21"/>
      <c r="AH370" s="21"/>
      <c r="AI370" s="25"/>
      <c r="AJ370" s="20"/>
      <c r="AK370" s="21"/>
      <c r="AL370" s="20"/>
      <c r="AM370" s="20"/>
      <c r="AN370" s="20"/>
      <c r="AO370" s="20"/>
      <c r="AP370" s="446"/>
      <c r="AQ370" s="20"/>
      <c r="AR370" s="20"/>
      <c r="AS370" s="20"/>
      <c r="AT370" s="20"/>
      <c r="AU370" s="26"/>
      <c r="AV370" s="98"/>
      <c r="AW370" s="98"/>
      <c r="AX370" s="98"/>
      <c r="AY370" s="98"/>
      <c r="AZ370" s="98"/>
      <c r="BA370" s="217"/>
      <c r="BB370" s="98"/>
      <c r="BC370" s="98"/>
      <c r="BD370" s="98"/>
      <c r="BE370" s="98"/>
      <c r="BF370" s="98"/>
      <c r="BG370" s="219"/>
      <c r="BH370" s="219"/>
      <c r="BI370" s="219"/>
      <c r="BJ370" s="26"/>
      <c r="BK370" s="21"/>
      <c r="BL370" s="21"/>
      <c r="BM370" s="22"/>
      <c r="BN370" s="21"/>
      <c r="BO370" s="21"/>
      <c r="BP370" s="22"/>
      <c r="BQ370" s="21"/>
      <c r="BR370" s="21"/>
      <c r="BS370" s="22"/>
      <c r="BT37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70" s="109" t="str">
        <f>IF(ISNUMBER(tblParticipants[[#This Row],[SvcStartDate]]),IF(AND(tblParticipants[[#This Row],[EnrollQtr]]=1,tblParticipants[[#This Row],[SvcStartDate]]&lt;DATE(conProgYear,7,1)),1,""),"")</f>
        <v/>
      </c>
      <c r="BV37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70" s="232" t="str">
        <f t="shared" ca="1" si="5"/>
        <v/>
      </c>
      <c r="BX370" s="9">
        <f>IF(SUM(IF(tblParticipants[[#This Row],[AmIndOrAkNtv]]=1,1,0),IF(tblParticipants[[#This Row],[Asian]]=1,1,0),IF(tblParticipants[[#This Row],[BlkOrAfAmer]]=1,1,0),IF(tblParticipants[[#This Row],[NtvHawOrPacIsl]]=1,1,0),IF(tblParticipants[[#This Row],[White]]=1,1,0))&gt;1,1,0)</f>
        <v>0</v>
      </c>
      <c r="BY37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7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7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70" s="11">
        <f>IF(tblParticipants[[#This Row],[EarnWg2Qae]]=1,IFERROR(tblParticipants[[#This Row],[HoursPerWk2Qae]]*tblParticipants[[#This Row],[HrlyWg2Qae]]*13,0),0)</f>
        <v>0</v>
      </c>
      <c r="CC370" s="11">
        <f>IF(tblParticipants[[#This Row],[EarnWg3Qae]]=1,IFERROR(tblParticipants[[#This Row],[HoursPerWk3Qae]]*tblParticipants[[#This Row],[HrlyWg3Qae]]*13,0),0)</f>
        <v>0</v>
      </c>
      <c r="CD370" s="9">
        <f>IFERROR(IF(SUM(tblParticipants[[#This Row],[EarnWg1Qae]],tblParticipants[[#This Row],[EarnWg2Qae]],tblParticipants[[#This Row],[EarnWg3Qae]])=3,1,0),0)</f>
        <v>0</v>
      </c>
      <c r="CE370" s="12">
        <f>IF(tblParticipants[[#This Row],[EmplAll3Qae]]=1,tblParticipants[[#This Row],[Earnings2Qae]]+tblParticipants[[#This Row],[Earnings3Qae]],0)</f>
        <v>0</v>
      </c>
      <c r="CF370" s="407"/>
    </row>
    <row r="371" spans="1:84" x14ac:dyDescent="0.3">
      <c r="A371" s="19"/>
      <c r="B371" s="19"/>
      <c r="C371" s="20"/>
      <c r="D371" s="20"/>
      <c r="E371" s="26"/>
      <c r="F371" s="26"/>
      <c r="G371" s="26"/>
      <c r="H371" s="26"/>
      <c r="I371" s="26"/>
      <c r="J371" s="26"/>
      <c r="K371" s="26"/>
      <c r="L371" s="26"/>
      <c r="M371" s="20"/>
      <c r="N371" s="26"/>
      <c r="O371" s="22"/>
      <c r="P371" s="21"/>
      <c r="Q371" s="23"/>
      <c r="R371" s="21"/>
      <c r="S371" s="21"/>
      <c r="T371" s="21"/>
      <c r="U371" s="21"/>
      <c r="V371" s="21"/>
      <c r="W371" s="24"/>
      <c r="X371" s="20"/>
      <c r="Y371" s="20"/>
      <c r="Z371" s="21"/>
      <c r="AA371" s="21"/>
      <c r="AB371" s="21"/>
      <c r="AC371" s="21"/>
      <c r="AD371" s="21"/>
      <c r="AE371" s="21"/>
      <c r="AF371" s="21"/>
      <c r="AG371" s="21"/>
      <c r="AH371" s="21"/>
      <c r="AI371" s="25"/>
      <c r="AJ371" s="20"/>
      <c r="AK371" s="21"/>
      <c r="AL371" s="20"/>
      <c r="AM371" s="20"/>
      <c r="AN371" s="20"/>
      <c r="AO371" s="20"/>
      <c r="AP371" s="446"/>
      <c r="AQ371" s="20"/>
      <c r="AR371" s="20"/>
      <c r="AS371" s="20"/>
      <c r="AT371" s="20"/>
      <c r="AU371" s="26"/>
      <c r="AV371" s="98"/>
      <c r="AW371" s="98"/>
      <c r="AX371" s="98"/>
      <c r="AY371" s="98"/>
      <c r="AZ371" s="98"/>
      <c r="BA371" s="217"/>
      <c r="BB371" s="98"/>
      <c r="BC371" s="98"/>
      <c r="BD371" s="98"/>
      <c r="BE371" s="98"/>
      <c r="BF371" s="98"/>
      <c r="BG371" s="219"/>
      <c r="BH371" s="219"/>
      <c r="BI371" s="219"/>
      <c r="BJ371" s="26"/>
      <c r="BK371" s="21"/>
      <c r="BL371" s="21"/>
      <c r="BM371" s="22"/>
      <c r="BN371" s="21"/>
      <c r="BO371" s="21"/>
      <c r="BP371" s="22"/>
      <c r="BQ371" s="21"/>
      <c r="BR371" s="21"/>
      <c r="BS371" s="22"/>
      <c r="BT37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71" s="109" t="str">
        <f>IF(ISNUMBER(tblParticipants[[#This Row],[SvcStartDate]]),IF(AND(tblParticipants[[#This Row],[EnrollQtr]]=1,tblParticipants[[#This Row],[SvcStartDate]]&lt;DATE(conProgYear,7,1)),1,""),"")</f>
        <v/>
      </c>
      <c r="BV37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71" s="232" t="str">
        <f t="shared" ca="1" si="5"/>
        <v/>
      </c>
      <c r="BX371" s="9">
        <f>IF(SUM(IF(tblParticipants[[#This Row],[AmIndOrAkNtv]]=1,1,0),IF(tblParticipants[[#This Row],[Asian]]=1,1,0),IF(tblParticipants[[#This Row],[BlkOrAfAmer]]=1,1,0),IF(tblParticipants[[#This Row],[NtvHawOrPacIsl]]=1,1,0),IF(tblParticipants[[#This Row],[White]]=1,1,0))&gt;1,1,0)</f>
        <v>0</v>
      </c>
      <c r="BY37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7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7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71" s="11">
        <f>IF(tblParticipants[[#This Row],[EarnWg2Qae]]=1,IFERROR(tblParticipants[[#This Row],[HoursPerWk2Qae]]*tblParticipants[[#This Row],[HrlyWg2Qae]]*13,0),0)</f>
        <v>0</v>
      </c>
      <c r="CC371" s="11">
        <f>IF(tblParticipants[[#This Row],[EarnWg3Qae]]=1,IFERROR(tblParticipants[[#This Row],[HoursPerWk3Qae]]*tblParticipants[[#This Row],[HrlyWg3Qae]]*13,0),0)</f>
        <v>0</v>
      </c>
      <c r="CD371" s="9">
        <f>IFERROR(IF(SUM(tblParticipants[[#This Row],[EarnWg1Qae]],tblParticipants[[#This Row],[EarnWg2Qae]],tblParticipants[[#This Row],[EarnWg3Qae]])=3,1,0),0)</f>
        <v>0</v>
      </c>
      <c r="CE371" s="12">
        <f>IF(tblParticipants[[#This Row],[EmplAll3Qae]]=1,tblParticipants[[#This Row],[Earnings2Qae]]+tblParticipants[[#This Row],[Earnings3Qae]],0)</f>
        <v>0</v>
      </c>
      <c r="CF371" s="407"/>
    </row>
    <row r="372" spans="1:84" x14ac:dyDescent="0.3">
      <c r="A372" s="19"/>
      <c r="B372" s="19"/>
      <c r="C372" s="20"/>
      <c r="D372" s="20"/>
      <c r="E372" s="26"/>
      <c r="F372" s="26"/>
      <c r="G372" s="26"/>
      <c r="H372" s="26"/>
      <c r="I372" s="26"/>
      <c r="J372" s="26"/>
      <c r="K372" s="26"/>
      <c r="L372" s="26"/>
      <c r="M372" s="20"/>
      <c r="N372" s="26"/>
      <c r="O372" s="22"/>
      <c r="P372" s="21"/>
      <c r="Q372" s="23"/>
      <c r="R372" s="21"/>
      <c r="S372" s="21"/>
      <c r="T372" s="21"/>
      <c r="U372" s="21"/>
      <c r="V372" s="21"/>
      <c r="W372" s="24"/>
      <c r="X372" s="20"/>
      <c r="Y372" s="20"/>
      <c r="Z372" s="21"/>
      <c r="AA372" s="21"/>
      <c r="AB372" s="21"/>
      <c r="AC372" s="21"/>
      <c r="AD372" s="21"/>
      <c r="AE372" s="21"/>
      <c r="AF372" s="21"/>
      <c r="AG372" s="21"/>
      <c r="AH372" s="21"/>
      <c r="AI372" s="25"/>
      <c r="AJ372" s="20"/>
      <c r="AK372" s="21"/>
      <c r="AL372" s="20"/>
      <c r="AM372" s="20"/>
      <c r="AN372" s="20"/>
      <c r="AO372" s="20"/>
      <c r="AP372" s="446"/>
      <c r="AQ372" s="20"/>
      <c r="AR372" s="20"/>
      <c r="AS372" s="20"/>
      <c r="AT372" s="20"/>
      <c r="AU372" s="26"/>
      <c r="AV372" s="98"/>
      <c r="AW372" s="98"/>
      <c r="AX372" s="98"/>
      <c r="AY372" s="98"/>
      <c r="AZ372" s="98"/>
      <c r="BA372" s="217"/>
      <c r="BB372" s="98"/>
      <c r="BC372" s="98"/>
      <c r="BD372" s="98"/>
      <c r="BE372" s="98"/>
      <c r="BF372" s="98"/>
      <c r="BG372" s="219"/>
      <c r="BH372" s="219"/>
      <c r="BI372" s="219"/>
      <c r="BJ372" s="26"/>
      <c r="BK372" s="21"/>
      <c r="BL372" s="21"/>
      <c r="BM372" s="22"/>
      <c r="BN372" s="21"/>
      <c r="BO372" s="21"/>
      <c r="BP372" s="22"/>
      <c r="BQ372" s="21"/>
      <c r="BR372" s="21"/>
      <c r="BS372" s="22"/>
      <c r="BT37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72" s="109" t="str">
        <f>IF(ISNUMBER(tblParticipants[[#This Row],[SvcStartDate]]),IF(AND(tblParticipants[[#This Row],[EnrollQtr]]=1,tblParticipants[[#This Row],[SvcStartDate]]&lt;DATE(conProgYear,7,1)),1,""),"")</f>
        <v/>
      </c>
      <c r="BV37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72" s="232" t="str">
        <f t="shared" ca="1" si="5"/>
        <v/>
      </c>
      <c r="BX372" s="9">
        <f>IF(SUM(IF(tblParticipants[[#This Row],[AmIndOrAkNtv]]=1,1,0),IF(tblParticipants[[#This Row],[Asian]]=1,1,0),IF(tblParticipants[[#This Row],[BlkOrAfAmer]]=1,1,0),IF(tblParticipants[[#This Row],[NtvHawOrPacIsl]]=1,1,0),IF(tblParticipants[[#This Row],[White]]=1,1,0))&gt;1,1,0)</f>
        <v>0</v>
      </c>
      <c r="BY37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7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7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72" s="11">
        <f>IF(tblParticipants[[#This Row],[EarnWg2Qae]]=1,IFERROR(tblParticipants[[#This Row],[HoursPerWk2Qae]]*tblParticipants[[#This Row],[HrlyWg2Qae]]*13,0),0)</f>
        <v>0</v>
      </c>
      <c r="CC372" s="11">
        <f>IF(tblParticipants[[#This Row],[EarnWg3Qae]]=1,IFERROR(tblParticipants[[#This Row],[HoursPerWk3Qae]]*tblParticipants[[#This Row],[HrlyWg3Qae]]*13,0),0)</f>
        <v>0</v>
      </c>
      <c r="CD372" s="9">
        <f>IFERROR(IF(SUM(tblParticipants[[#This Row],[EarnWg1Qae]],tblParticipants[[#This Row],[EarnWg2Qae]],tblParticipants[[#This Row],[EarnWg3Qae]])=3,1,0),0)</f>
        <v>0</v>
      </c>
      <c r="CE372" s="12">
        <f>IF(tblParticipants[[#This Row],[EmplAll3Qae]]=1,tblParticipants[[#This Row],[Earnings2Qae]]+tblParticipants[[#This Row],[Earnings3Qae]],0)</f>
        <v>0</v>
      </c>
      <c r="CF372" s="407"/>
    </row>
    <row r="373" spans="1:84" x14ac:dyDescent="0.3">
      <c r="A373" s="19"/>
      <c r="B373" s="19"/>
      <c r="C373" s="20"/>
      <c r="D373" s="20"/>
      <c r="E373" s="26"/>
      <c r="F373" s="26"/>
      <c r="G373" s="26"/>
      <c r="H373" s="26"/>
      <c r="I373" s="26"/>
      <c r="J373" s="26"/>
      <c r="K373" s="26"/>
      <c r="L373" s="26"/>
      <c r="M373" s="20"/>
      <c r="N373" s="26"/>
      <c r="O373" s="22"/>
      <c r="P373" s="21"/>
      <c r="Q373" s="23"/>
      <c r="R373" s="21"/>
      <c r="S373" s="21"/>
      <c r="T373" s="21"/>
      <c r="U373" s="21"/>
      <c r="V373" s="21"/>
      <c r="W373" s="24"/>
      <c r="X373" s="20"/>
      <c r="Y373" s="20"/>
      <c r="Z373" s="21"/>
      <c r="AA373" s="21"/>
      <c r="AB373" s="21"/>
      <c r="AC373" s="21"/>
      <c r="AD373" s="21"/>
      <c r="AE373" s="21"/>
      <c r="AF373" s="21"/>
      <c r="AG373" s="21"/>
      <c r="AH373" s="21"/>
      <c r="AI373" s="25"/>
      <c r="AJ373" s="20"/>
      <c r="AK373" s="21"/>
      <c r="AL373" s="20"/>
      <c r="AM373" s="20"/>
      <c r="AN373" s="20"/>
      <c r="AO373" s="20"/>
      <c r="AP373" s="446"/>
      <c r="AQ373" s="20"/>
      <c r="AR373" s="20"/>
      <c r="AS373" s="20"/>
      <c r="AT373" s="20"/>
      <c r="AU373" s="26"/>
      <c r="AV373" s="98"/>
      <c r="AW373" s="98"/>
      <c r="AX373" s="98"/>
      <c r="AY373" s="98"/>
      <c r="AZ373" s="98"/>
      <c r="BA373" s="217"/>
      <c r="BB373" s="98"/>
      <c r="BC373" s="98"/>
      <c r="BD373" s="98"/>
      <c r="BE373" s="98"/>
      <c r="BF373" s="98"/>
      <c r="BG373" s="219"/>
      <c r="BH373" s="219"/>
      <c r="BI373" s="219"/>
      <c r="BJ373" s="26"/>
      <c r="BK373" s="21"/>
      <c r="BL373" s="21"/>
      <c r="BM373" s="22"/>
      <c r="BN373" s="21"/>
      <c r="BO373" s="21"/>
      <c r="BP373" s="22"/>
      <c r="BQ373" s="21"/>
      <c r="BR373" s="21"/>
      <c r="BS373" s="22"/>
      <c r="BT37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73" s="109" t="str">
        <f>IF(ISNUMBER(tblParticipants[[#This Row],[SvcStartDate]]),IF(AND(tblParticipants[[#This Row],[EnrollQtr]]=1,tblParticipants[[#This Row],[SvcStartDate]]&lt;DATE(conProgYear,7,1)),1,""),"")</f>
        <v/>
      </c>
      <c r="BV37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73" s="232" t="str">
        <f t="shared" ca="1" si="5"/>
        <v/>
      </c>
      <c r="BX373" s="9">
        <f>IF(SUM(IF(tblParticipants[[#This Row],[AmIndOrAkNtv]]=1,1,0),IF(tblParticipants[[#This Row],[Asian]]=1,1,0),IF(tblParticipants[[#This Row],[BlkOrAfAmer]]=1,1,0),IF(tblParticipants[[#This Row],[NtvHawOrPacIsl]]=1,1,0),IF(tblParticipants[[#This Row],[White]]=1,1,0))&gt;1,1,0)</f>
        <v>0</v>
      </c>
      <c r="BY37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7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7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73" s="11">
        <f>IF(tblParticipants[[#This Row],[EarnWg2Qae]]=1,IFERROR(tblParticipants[[#This Row],[HoursPerWk2Qae]]*tblParticipants[[#This Row],[HrlyWg2Qae]]*13,0),0)</f>
        <v>0</v>
      </c>
      <c r="CC373" s="11">
        <f>IF(tblParticipants[[#This Row],[EarnWg3Qae]]=1,IFERROR(tblParticipants[[#This Row],[HoursPerWk3Qae]]*tblParticipants[[#This Row],[HrlyWg3Qae]]*13,0),0)</f>
        <v>0</v>
      </c>
      <c r="CD373" s="9">
        <f>IFERROR(IF(SUM(tblParticipants[[#This Row],[EarnWg1Qae]],tblParticipants[[#This Row],[EarnWg2Qae]],tblParticipants[[#This Row],[EarnWg3Qae]])=3,1,0),0)</f>
        <v>0</v>
      </c>
      <c r="CE373" s="12">
        <f>IF(tblParticipants[[#This Row],[EmplAll3Qae]]=1,tblParticipants[[#This Row],[Earnings2Qae]]+tblParticipants[[#This Row],[Earnings3Qae]],0)</f>
        <v>0</v>
      </c>
      <c r="CF373" s="407"/>
    </row>
    <row r="374" spans="1:84" x14ac:dyDescent="0.3">
      <c r="A374" s="19"/>
      <c r="B374" s="19"/>
      <c r="C374" s="20"/>
      <c r="D374" s="20"/>
      <c r="E374" s="26"/>
      <c r="F374" s="26"/>
      <c r="G374" s="26"/>
      <c r="H374" s="26"/>
      <c r="I374" s="26"/>
      <c r="J374" s="26"/>
      <c r="K374" s="26"/>
      <c r="L374" s="26"/>
      <c r="M374" s="20"/>
      <c r="N374" s="26"/>
      <c r="O374" s="22"/>
      <c r="P374" s="21"/>
      <c r="Q374" s="23"/>
      <c r="R374" s="21"/>
      <c r="S374" s="21"/>
      <c r="T374" s="21"/>
      <c r="U374" s="21"/>
      <c r="V374" s="21"/>
      <c r="W374" s="24"/>
      <c r="X374" s="20"/>
      <c r="Y374" s="20"/>
      <c r="Z374" s="21"/>
      <c r="AA374" s="21"/>
      <c r="AB374" s="21"/>
      <c r="AC374" s="21"/>
      <c r="AD374" s="21"/>
      <c r="AE374" s="21"/>
      <c r="AF374" s="21"/>
      <c r="AG374" s="21"/>
      <c r="AH374" s="21"/>
      <c r="AI374" s="25"/>
      <c r="AJ374" s="20"/>
      <c r="AK374" s="21"/>
      <c r="AL374" s="20"/>
      <c r="AM374" s="20"/>
      <c r="AN374" s="20"/>
      <c r="AO374" s="20"/>
      <c r="AP374" s="446"/>
      <c r="AQ374" s="20"/>
      <c r="AR374" s="20"/>
      <c r="AS374" s="20"/>
      <c r="AT374" s="20"/>
      <c r="AU374" s="26"/>
      <c r="AV374" s="98"/>
      <c r="AW374" s="98"/>
      <c r="AX374" s="98"/>
      <c r="AY374" s="98"/>
      <c r="AZ374" s="98"/>
      <c r="BA374" s="217"/>
      <c r="BB374" s="98"/>
      <c r="BC374" s="98"/>
      <c r="BD374" s="98"/>
      <c r="BE374" s="98"/>
      <c r="BF374" s="98"/>
      <c r="BG374" s="219"/>
      <c r="BH374" s="219"/>
      <c r="BI374" s="219"/>
      <c r="BJ374" s="26"/>
      <c r="BK374" s="21"/>
      <c r="BL374" s="21"/>
      <c r="BM374" s="22"/>
      <c r="BN374" s="21"/>
      <c r="BO374" s="21"/>
      <c r="BP374" s="22"/>
      <c r="BQ374" s="21"/>
      <c r="BR374" s="21"/>
      <c r="BS374" s="22"/>
      <c r="BT37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74" s="109" t="str">
        <f>IF(ISNUMBER(tblParticipants[[#This Row],[SvcStartDate]]),IF(AND(tblParticipants[[#This Row],[EnrollQtr]]=1,tblParticipants[[#This Row],[SvcStartDate]]&lt;DATE(conProgYear,7,1)),1,""),"")</f>
        <v/>
      </c>
      <c r="BV37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74" s="232" t="str">
        <f t="shared" ca="1" si="5"/>
        <v/>
      </c>
      <c r="BX374" s="9">
        <f>IF(SUM(IF(tblParticipants[[#This Row],[AmIndOrAkNtv]]=1,1,0),IF(tblParticipants[[#This Row],[Asian]]=1,1,0),IF(tblParticipants[[#This Row],[BlkOrAfAmer]]=1,1,0),IF(tblParticipants[[#This Row],[NtvHawOrPacIsl]]=1,1,0),IF(tblParticipants[[#This Row],[White]]=1,1,0))&gt;1,1,0)</f>
        <v>0</v>
      </c>
      <c r="BY37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7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7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74" s="11">
        <f>IF(tblParticipants[[#This Row],[EarnWg2Qae]]=1,IFERROR(tblParticipants[[#This Row],[HoursPerWk2Qae]]*tblParticipants[[#This Row],[HrlyWg2Qae]]*13,0),0)</f>
        <v>0</v>
      </c>
      <c r="CC374" s="11">
        <f>IF(tblParticipants[[#This Row],[EarnWg3Qae]]=1,IFERROR(tblParticipants[[#This Row],[HoursPerWk3Qae]]*tblParticipants[[#This Row],[HrlyWg3Qae]]*13,0),0)</f>
        <v>0</v>
      </c>
      <c r="CD374" s="9">
        <f>IFERROR(IF(SUM(tblParticipants[[#This Row],[EarnWg1Qae]],tblParticipants[[#This Row],[EarnWg2Qae]],tblParticipants[[#This Row],[EarnWg3Qae]])=3,1,0),0)</f>
        <v>0</v>
      </c>
      <c r="CE374" s="12">
        <f>IF(tblParticipants[[#This Row],[EmplAll3Qae]]=1,tblParticipants[[#This Row],[Earnings2Qae]]+tblParticipants[[#This Row],[Earnings3Qae]],0)</f>
        <v>0</v>
      </c>
      <c r="CF374" s="407"/>
    </row>
    <row r="375" spans="1:84" x14ac:dyDescent="0.3">
      <c r="A375" s="19"/>
      <c r="B375" s="19"/>
      <c r="C375" s="20"/>
      <c r="D375" s="20"/>
      <c r="E375" s="26"/>
      <c r="F375" s="26"/>
      <c r="G375" s="26"/>
      <c r="H375" s="26"/>
      <c r="I375" s="26"/>
      <c r="J375" s="26"/>
      <c r="K375" s="26"/>
      <c r="L375" s="26"/>
      <c r="M375" s="20"/>
      <c r="N375" s="26"/>
      <c r="O375" s="22"/>
      <c r="P375" s="21"/>
      <c r="Q375" s="23"/>
      <c r="R375" s="21"/>
      <c r="S375" s="21"/>
      <c r="T375" s="21"/>
      <c r="U375" s="21"/>
      <c r="V375" s="21"/>
      <c r="W375" s="24"/>
      <c r="X375" s="20"/>
      <c r="Y375" s="20"/>
      <c r="Z375" s="21"/>
      <c r="AA375" s="21"/>
      <c r="AB375" s="21"/>
      <c r="AC375" s="21"/>
      <c r="AD375" s="21"/>
      <c r="AE375" s="21"/>
      <c r="AF375" s="21"/>
      <c r="AG375" s="21"/>
      <c r="AH375" s="21"/>
      <c r="AI375" s="25"/>
      <c r="AJ375" s="20"/>
      <c r="AK375" s="21"/>
      <c r="AL375" s="20"/>
      <c r="AM375" s="20"/>
      <c r="AN375" s="20"/>
      <c r="AO375" s="20"/>
      <c r="AP375" s="446"/>
      <c r="AQ375" s="20"/>
      <c r="AR375" s="20"/>
      <c r="AS375" s="20"/>
      <c r="AT375" s="20"/>
      <c r="AU375" s="26"/>
      <c r="AV375" s="98"/>
      <c r="AW375" s="98"/>
      <c r="AX375" s="98"/>
      <c r="AY375" s="98"/>
      <c r="AZ375" s="98"/>
      <c r="BA375" s="217"/>
      <c r="BB375" s="98"/>
      <c r="BC375" s="98"/>
      <c r="BD375" s="98"/>
      <c r="BE375" s="98"/>
      <c r="BF375" s="98"/>
      <c r="BG375" s="219"/>
      <c r="BH375" s="219"/>
      <c r="BI375" s="219"/>
      <c r="BJ375" s="26"/>
      <c r="BK375" s="21"/>
      <c r="BL375" s="21"/>
      <c r="BM375" s="22"/>
      <c r="BN375" s="21"/>
      <c r="BO375" s="21"/>
      <c r="BP375" s="22"/>
      <c r="BQ375" s="21"/>
      <c r="BR375" s="21"/>
      <c r="BS375" s="22"/>
      <c r="BT37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75" s="109" t="str">
        <f>IF(ISNUMBER(tblParticipants[[#This Row],[SvcStartDate]]),IF(AND(tblParticipants[[#This Row],[EnrollQtr]]=1,tblParticipants[[#This Row],[SvcStartDate]]&lt;DATE(conProgYear,7,1)),1,""),"")</f>
        <v/>
      </c>
      <c r="BV37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75" s="232" t="str">
        <f t="shared" ca="1" si="5"/>
        <v/>
      </c>
      <c r="BX375" s="9">
        <f>IF(SUM(IF(tblParticipants[[#This Row],[AmIndOrAkNtv]]=1,1,0),IF(tblParticipants[[#This Row],[Asian]]=1,1,0),IF(tblParticipants[[#This Row],[BlkOrAfAmer]]=1,1,0),IF(tblParticipants[[#This Row],[NtvHawOrPacIsl]]=1,1,0),IF(tblParticipants[[#This Row],[White]]=1,1,0))&gt;1,1,0)</f>
        <v>0</v>
      </c>
      <c r="BY37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7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7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75" s="11">
        <f>IF(tblParticipants[[#This Row],[EarnWg2Qae]]=1,IFERROR(tblParticipants[[#This Row],[HoursPerWk2Qae]]*tblParticipants[[#This Row],[HrlyWg2Qae]]*13,0),0)</f>
        <v>0</v>
      </c>
      <c r="CC375" s="11">
        <f>IF(tblParticipants[[#This Row],[EarnWg3Qae]]=1,IFERROR(tblParticipants[[#This Row],[HoursPerWk3Qae]]*tblParticipants[[#This Row],[HrlyWg3Qae]]*13,0),0)</f>
        <v>0</v>
      </c>
      <c r="CD375" s="9">
        <f>IFERROR(IF(SUM(tblParticipants[[#This Row],[EarnWg1Qae]],tblParticipants[[#This Row],[EarnWg2Qae]],tblParticipants[[#This Row],[EarnWg3Qae]])=3,1,0),0)</f>
        <v>0</v>
      </c>
      <c r="CE375" s="12">
        <f>IF(tblParticipants[[#This Row],[EmplAll3Qae]]=1,tblParticipants[[#This Row],[Earnings2Qae]]+tblParticipants[[#This Row],[Earnings3Qae]],0)</f>
        <v>0</v>
      </c>
      <c r="CF375" s="407"/>
    </row>
    <row r="376" spans="1:84" x14ac:dyDescent="0.3">
      <c r="A376" s="19"/>
      <c r="B376" s="19"/>
      <c r="C376" s="20"/>
      <c r="D376" s="20"/>
      <c r="E376" s="26"/>
      <c r="F376" s="26"/>
      <c r="G376" s="26"/>
      <c r="H376" s="26"/>
      <c r="I376" s="26"/>
      <c r="J376" s="26"/>
      <c r="K376" s="26"/>
      <c r="L376" s="26"/>
      <c r="M376" s="20"/>
      <c r="N376" s="26"/>
      <c r="O376" s="22"/>
      <c r="P376" s="21"/>
      <c r="Q376" s="23"/>
      <c r="R376" s="21"/>
      <c r="S376" s="21"/>
      <c r="T376" s="21"/>
      <c r="U376" s="21"/>
      <c r="V376" s="21"/>
      <c r="W376" s="24"/>
      <c r="X376" s="20"/>
      <c r="Y376" s="20"/>
      <c r="Z376" s="21"/>
      <c r="AA376" s="21"/>
      <c r="AB376" s="21"/>
      <c r="AC376" s="21"/>
      <c r="AD376" s="21"/>
      <c r="AE376" s="21"/>
      <c r="AF376" s="21"/>
      <c r="AG376" s="21"/>
      <c r="AH376" s="21"/>
      <c r="AI376" s="25"/>
      <c r="AJ376" s="20"/>
      <c r="AK376" s="21"/>
      <c r="AL376" s="20"/>
      <c r="AM376" s="20"/>
      <c r="AN376" s="20"/>
      <c r="AO376" s="20"/>
      <c r="AP376" s="446"/>
      <c r="AQ376" s="20"/>
      <c r="AR376" s="20"/>
      <c r="AS376" s="20"/>
      <c r="AT376" s="20"/>
      <c r="AU376" s="26"/>
      <c r="AV376" s="98"/>
      <c r="AW376" s="98"/>
      <c r="AX376" s="98"/>
      <c r="AY376" s="98"/>
      <c r="AZ376" s="98"/>
      <c r="BA376" s="217"/>
      <c r="BB376" s="98"/>
      <c r="BC376" s="98"/>
      <c r="BD376" s="98"/>
      <c r="BE376" s="98"/>
      <c r="BF376" s="98"/>
      <c r="BG376" s="219"/>
      <c r="BH376" s="219"/>
      <c r="BI376" s="219"/>
      <c r="BJ376" s="26"/>
      <c r="BK376" s="21"/>
      <c r="BL376" s="21"/>
      <c r="BM376" s="22"/>
      <c r="BN376" s="21"/>
      <c r="BO376" s="21"/>
      <c r="BP376" s="22"/>
      <c r="BQ376" s="21"/>
      <c r="BR376" s="21"/>
      <c r="BS376" s="22"/>
      <c r="BT37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76" s="109" t="str">
        <f>IF(ISNUMBER(tblParticipants[[#This Row],[SvcStartDate]]),IF(AND(tblParticipants[[#This Row],[EnrollQtr]]=1,tblParticipants[[#This Row],[SvcStartDate]]&lt;DATE(conProgYear,7,1)),1,""),"")</f>
        <v/>
      </c>
      <c r="BV37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76" s="232" t="str">
        <f t="shared" ca="1" si="5"/>
        <v/>
      </c>
      <c r="BX376" s="9">
        <f>IF(SUM(IF(tblParticipants[[#This Row],[AmIndOrAkNtv]]=1,1,0),IF(tblParticipants[[#This Row],[Asian]]=1,1,0),IF(tblParticipants[[#This Row],[BlkOrAfAmer]]=1,1,0),IF(tblParticipants[[#This Row],[NtvHawOrPacIsl]]=1,1,0),IF(tblParticipants[[#This Row],[White]]=1,1,0))&gt;1,1,0)</f>
        <v>0</v>
      </c>
      <c r="BY37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7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7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76" s="11">
        <f>IF(tblParticipants[[#This Row],[EarnWg2Qae]]=1,IFERROR(tblParticipants[[#This Row],[HoursPerWk2Qae]]*tblParticipants[[#This Row],[HrlyWg2Qae]]*13,0),0)</f>
        <v>0</v>
      </c>
      <c r="CC376" s="11">
        <f>IF(tblParticipants[[#This Row],[EarnWg3Qae]]=1,IFERROR(tblParticipants[[#This Row],[HoursPerWk3Qae]]*tblParticipants[[#This Row],[HrlyWg3Qae]]*13,0),0)</f>
        <v>0</v>
      </c>
      <c r="CD376" s="9">
        <f>IFERROR(IF(SUM(tblParticipants[[#This Row],[EarnWg1Qae]],tblParticipants[[#This Row],[EarnWg2Qae]],tblParticipants[[#This Row],[EarnWg3Qae]])=3,1,0),0)</f>
        <v>0</v>
      </c>
      <c r="CE376" s="12">
        <f>IF(tblParticipants[[#This Row],[EmplAll3Qae]]=1,tblParticipants[[#This Row],[Earnings2Qae]]+tblParticipants[[#This Row],[Earnings3Qae]],0)</f>
        <v>0</v>
      </c>
      <c r="CF376" s="407"/>
    </row>
    <row r="377" spans="1:84" x14ac:dyDescent="0.3">
      <c r="A377" s="19"/>
      <c r="B377" s="19"/>
      <c r="C377" s="20"/>
      <c r="D377" s="20"/>
      <c r="E377" s="26"/>
      <c r="F377" s="26"/>
      <c r="G377" s="26"/>
      <c r="H377" s="26"/>
      <c r="I377" s="26"/>
      <c r="J377" s="26"/>
      <c r="K377" s="26"/>
      <c r="L377" s="26"/>
      <c r="M377" s="20"/>
      <c r="N377" s="26"/>
      <c r="O377" s="22"/>
      <c r="P377" s="21"/>
      <c r="Q377" s="23"/>
      <c r="R377" s="21"/>
      <c r="S377" s="21"/>
      <c r="T377" s="21"/>
      <c r="U377" s="21"/>
      <c r="V377" s="21"/>
      <c r="W377" s="24"/>
      <c r="X377" s="20"/>
      <c r="Y377" s="20"/>
      <c r="Z377" s="21"/>
      <c r="AA377" s="21"/>
      <c r="AB377" s="21"/>
      <c r="AC377" s="21"/>
      <c r="AD377" s="21"/>
      <c r="AE377" s="21"/>
      <c r="AF377" s="21"/>
      <c r="AG377" s="21"/>
      <c r="AH377" s="21"/>
      <c r="AI377" s="25"/>
      <c r="AJ377" s="20"/>
      <c r="AK377" s="21"/>
      <c r="AL377" s="20"/>
      <c r="AM377" s="20"/>
      <c r="AN377" s="20"/>
      <c r="AO377" s="20"/>
      <c r="AP377" s="446"/>
      <c r="AQ377" s="20"/>
      <c r="AR377" s="20"/>
      <c r="AS377" s="20"/>
      <c r="AT377" s="20"/>
      <c r="AU377" s="26"/>
      <c r="AV377" s="98"/>
      <c r="AW377" s="98"/>
      <c r="AX377" s="98"/>
      <c r="AY377" s="98"/>
      <c r="AZ377" s="98"/>
      <c r="BA377" s="217"/>
      <c r="BB377" s="98"/>
      <c r="BC377" s="98"/>
      <c r="BD377" s="98"/>
      <c r="BE377" s="98"/>
      <c r="BF377" s="98"/>
      <c r="BG377" s="219"/>
      <c r="BH377" s="219"/>
      <c r="BI377" s="219"/>
      <c r="BJ377" s="26"/>
      <c r="BK377" s="21"/>
      <c r="BL377" s="21"/>
      <c r="BM377" s="22"/>
      <c r="BN377" s="21"/>
      <c r="BO377" s="21"/>
      <c r="BP377" s="22"/>
      <c r="BQ377" s="21"/>
      <c r="BR377" s="21"/>
      <c r="BS377" s="22"/>
      <c r="BT37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77" s="109" t="str">
        <f>IF(ISNUMBER(tblParticipants[[#This Row],[SvcStartDate]]),IF(AND(tblParticipants[[#This Row],[EnrollQtr]]=1,tblParticipants[[#This Row],[SvcStartDate]]&lt;DATE(conProgYear,7,1)),1,""),"")</f>
        <v/>
      </c>
      <c r="BV37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77" s="232" t="str">
        <f t="shared" ca="1" si="5"/>
        <v/>
      </c>
      <c r="BX377" s="9">
        <f>IF(SUM(IF(tblParticipants[[#This Row],[AmIndOrAkNtv]]=1,1,0),IF(tblParticipants[[#This Row],[Asian]]=1,1,0),IF(tblParticipants[[#This Row],[BlkOrAfAmer]]=1,1,0),IF(tblParticipants[[#This Row],[NtvHawOrPacIsl]]=1,1,0),IF(tblParticipants[[#This Row],[White]]=1,1,0))&gt;1,1,0)</f>
        <v>0</v>
      </c>
      <c r="BY37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7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7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77" s="11">
        <f>IF(tblParticipants[[#This Row],[EarnWg2Qae]]=1,IFERROR(tblParticipants[[#This Row],[HoursPerWk2Qae]]*tblParticipants[[#This Row],[HrlyWg2Qae]]*13,0),0)</f>
        <v>0</v>
      </c>
      <c r="CC377" s="11">
        <f>IF(tblParticipants[[#This Row],[EarnWg3Qae]]=1,IFERROR(tblParticipants[[#This Row],[HoursPerWk3Qae]]*tblParticipants[[#This Row],[HrlyWg3Qae]]*13,0),0)</f>
        <v>0</v>
      </c>
      <c r="CD377" s="9">
        <f>IFERROR(IF(SUM(tblParticipants[[#This Row],[EarnWg1Qae]],tblParticipants[[#This Row],[EarnWg2Qae]],tblParticipants[[#This Row],[EarnWg3Qae]])=3,1,0),0)</f>
        <v>0</v>
      </c>
      <c r="CE377" s="12">
        <f>IF(tblParticipants[[#This Row],[EmplAll3Qae]]=1,tblParticipants[[#This Row],[Earnings2Qae]]+tblParticipants[[#This Row],[Earnings3Qae]],0)</f>
        <v>0</v>
      </c>
      <c r="CF377" s="407"/>
    </row>
    <row r="378" spans="1:84" x14ac:dyDescent="0.3">
      <c r="A378" s="19"/>
      <c r="B378" s="19"/>
      <c r="C378" s="20"/>
      <c r="D378" s="20"/>
      <c r="E378" s="26"/>
      <c r="F378" s="26"/>
      <c r="G378" s="26"/>
      <c r="H378" s="26"/>
      <c r="I378" s="26"/>
      <c r="J378" s="26"/>
      <c r="K378" s="26"/>
      <c r="L378" s="26"/>
      <c r="M378" s="20"/>
      <c r="N378" s="26"/>
      <c r="O378" s="22"/>
      <c r="P378" s="21"/>
      <c r="Q378" s="23"/>
      <c r="R378" s="21"/>
      <c r="S378" s="21"/>
      <c r="T378" s="21"/>
      <c r="U378" s="21"/>
      <c r="V378" s="21"/>
      <c r="W378" s="24"/>
      <c r="X378" s="20"/>
      <c r="Y378" s="20"/>
      <c r="Z378" s="21"/>
      <c r="AA378" s="21"/>
      <c r="AB378" s="21"/>
      <c r="AC378" s="21"/>
      <c r="AD378" s="21"/>
      <c r="AE378" s="21"/>
      <c r="AF378" s="21"/>
      <c r="AG378" s="21"/>
      <c r="AH378" s="21"/>
      <c r="AI378" s="25"/>
      <c r="AJ378" s="20"/>
      <c r="AK378" s="21"/>
      <c r="AL378" s="20"/>
      <c r="AM378" s="20"/>
      <c r="AN378" s="20"/>
      <c r="AO378" s="20"/>
      <c r="AP378" s="446"/>
      <c r="AQ378" s="20"/>
      <c r="AR378" s="20"/>
      <c r="AS378" s="20"/>
      <c r="AT378" s="20"/>
      <c r="AU378" s="26"/>
      <c r="AV378" s="98"/>
      <c r="AW378" s="98"/>
      <c r="AX378" s="98"/>
      <c r="AY378" s="98"/>
      <c r="AZ378" s="98"/>
      <c r="BA378" s="217"/>
      <c r="BB378" s="98"/>
      <c r="BC378" s="98"/>
      <c r="BD378" s="98"/>
      <c r="BE378" s="98"/>
      <c r="BF378" s="98"/>
      <c r="BG378" s="219"/>
      <c r="BH378" s="219"/>
      <c r="BI378" s="219"/>
      <c r="BJ378" s="26"/>
      <c r="BK378" s="21"/>
      <c r="BL378" s="21"/>
      <c r="BM378" s="22"/>
      <c r="BN378" s="21"/>
      <c r="BO378" s="21"/>
      <c r="BP378" s="22"/>
      <c r="BQ378" s="21"/>
      <c r="BR378" s="21"/>
      <c r="BS378" s="22"/>
      <c r="BT37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78" s="109" t="str">
        <f>IF(ISNUMBER(tblParticipants[[#This Row],[SvcStartDate]]),IF(AND(tblParticipants[[#This Row],[EnrollQtr]]=1,tblParticipants[[#This Row],[SvcStartDate]]&lt;DATE(conProgYear,7,1)),1,""),"")</f>
        <v/>
      </c>
      <c r="BV37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78" s="232" t="str">
        <f t="shared" ca="1" si="5"/>
        <v/>
      </c>
      <c r="BX378" s="9">
        <f>IF(SUM(IF(tblParticipants[[#This Row],[AmIndOrAkNtv]]=1,1,0),IF(tblParticipants[[#This Row],[Asian]]=1,1,0),IF(tblParticipants[[#This Row],[BlkOrAfAmer]]=1,1,0),IF(tblParticipants[[#This Row],[NtvHawOrPacIsl]]=1,1,0),IF(tblParticipants[[#This Row],[White]]=1,1,0))&gt;1,1,0)</f>
        <v>0</v>
      </c>
      <c r="BY37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7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7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78" s="11">
        <f>IF(tblParticipants[[#This Row],[EarnWg2Qae]]=1,IFERROR(tblParticipants[[#This Row],[HoursPerWk2Qae]]*tblParticipants[[#This Row],[HrlyWg2Qae]]*13,0),0)</f>
        <v>0</v>
      </c>
      <c r="CC378" s="11">
        <f>IF(tblParticipants[[#This Row],[EarnWg3Qae]]=1,IFERROR(tblParticipants[[#This Row],[HoursPerWk3Qae]]*tblParticipants[[#This Row],[HrlyWg3Qae]]*13,0),0)</f>
        <v>0</v>
      </c>
      <c r="CD378" s="9">
        <f>IFERROR(IF(SUM(tblParticipants[[#This Row],[EarnWg1Qae]],tblParticipants[[#This Row],[EarnWg2Qae]],tblParticipants[[#This Row],[EarnWg3Qae]])=3,1,0),0)</f>
        <v>0</v>
      </c>
      <c r="CE378" s="12">
        <f>IF(tblParticipants[[#This Row],[EmplAll3Qae]]=1,tblParticipants[[#This Row],[Earnings2Qae]]+tblParticipants[[#This Row],[Earnings3Qae]],0)</f>
        <v>0</v>
      </c>
      <c r="CF378" s="407"/>
    </row>
    <row r="379" spans="1:84" x14ac:dyDescent="0.3">
      <c r="A379" s="19"/>
      <c r="B379" s="19"/>
      <c r="C379" s="20"/>
      <c r="D379" s="20"/>
      <c r="E379" s="26"/>
      <c r="F379" s="26"/>
      <c r="G379" s="26"/>
      <c r="H379" s="26"/>
      <c r="I379" s="26"/>
      <c r="J379" s="26"/>
      <c r="K379" s="26"/>
      <c r="L379" s="26"/>
      <c r="M379" s="20"/>
      <c r="N379" s="26"/>
      <c r="O379" s="22"/>
      <c r="P379" s="21"/>
      <c r="Q379" s="23"/>
      <c r="R379" s="21"/>
      <c r="S379" s="21"/>
      <c r="T379" s="21"/>
      <c r="U379" s="21"/>
      <c r="V379" s="21"/>
      <c r="W379" s="24"/>
      <c r="X379" s="20"/>
      <c r="Y379" s="20"/>
      <c r="Z379" s="21"/>
      <c r="AA379" s="21"/>
      <c r="AB379" s="21"/>
      <c r="AC379" s="21"/>
      <c r="AD379" s="21"/>
      <c r="AE379" s="21"/>
      <c r="AF379" s="21"/>
      <c r="AG379" s="21"/>
      <c r="AH379" s="21"/>
      <c r="AI379" s="25"/>
      <c r="AJ379" s="20"/>
      <c r="AK379" s="21"/>
      <c r="AL379" s="20"/>
      <c r="AM379" s="20"/>
      <c r="AN379" s="20"/>
      <c r="AO379" s="20"/>
      <c r="AP379" s="446"/>
      <c r="AQ379" s="20"/>
      <c r="AR379" s="20"/>
      <c r="AS379" s="20"/>
      <c r="AT379" s="20"/>
      <c r="AU379" s="26"/>
      <c r="AV379" s="98"/>
      <c r="AW379" s="98"/>
      <c r="AX379" s="98"/>
      <c r="AY379" s="98"/>
      <c r="AZ379" s="98"/>
      <c r="BA379" s="217"/>
      <c r="BB379" s="98"/>
      <c r="BC379" s="98"/>
      <c r="BD379" s="98"/>
      <c r="BE379" s="98"/>
      <c r="BF379" s="98"/>
      <c r="BG379" s="219"/>
      <c r="BH379" s="219"/>
      <c r="BI379" s="219"/>
      <c r="BJ379" s="26"/>
      <c r="BK379" s="21"/>
      <c r="BL379" s="21"/>
      <c r="BM379" s="22"/>
      <c r="BN379" s="21"/>
      <c r="BO379" s="21"/>
      <c r="BP379" s="22"/>
      <c r="BQ379" s="21"/>
      <c r="BR379" s="21"/>
      <c r="BS379" s="22"/>
      <c r="BT37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79" s="109" t="str">
        <f>IF(ISNUMBER(tblParticipants[[#This Row],[SvcStartDate]]),IF(AND(tblParticipants[[#This Row],[EnrollQtr]]=1,tblParticipants[[#This Row],[SvcStartDate]]&lt;DATE(conProgYear,7,1)),1,""),"")</f>
        <v/>
      </c>
      <c r="BV37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79" s="232" t="str">
        <f t="shared" ca="1" si="5"/>
        <v/>
      </c>
      <c r="BX379" s="9">
        <f>IF(SUM(IF(tblParticipants[[#This Row],[AmIndOrAkNtv]]=1,1,0),IF(tblParticipants[[#This Row],[Asian]]=1,1,0),IF(tblParticipants[[#This Row],[BlkOrAfAmer]]=1,1,0),IF(tblParticipants[[#This Row],[NtvHawOrPacIsl]]=1,1,0),IF(tblParticipants[[#This Row],[White]]=1,1,0))&gt;1,1,0)</f>
        <v>0</v>
      </c>
      <c r="BY37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7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7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79" s="11">
        <f>IF(tblParticipants[[#This Row],[EarnWg2Qae]]=1,IFERROR(tblParticipants[[#This Row],[HoursPerWk2Qae]]*tblParticipants[[#This Row],[HrlyWg2Qae]]*13,0),0)</f>
        <v>0</v>
      </c>
      <c r="CC379" s="11">
        <f>IF(tblParticipants[[#This Row],[EarnWg3Qae]]=1,IFERROR(tblParticipants[[#This Row],[HoursPerWk3Qae]]*tblParticipants[[#This Row],[HrlyWg3Qae]]*13,0),0)</f>
        <v>0</v>
      </c>
      <c r="CD379" s="9">
        <f>IFERROR(IF(SUM(tblParticipants[[#This Row],[EarnWg1Qae]],tblParticipants[[#This Row],[EarnWg2Qae]],tblParticipants[[#This Row],[EarnWg3Qae]])=3,1,0),0)</f>
        <v>0</v>
      </c>
      <c r="CE379" s="12">
        <f>IF(tblParticipants[[#This Row],[EmplAll3Qae]]=1,tblParticipants[[#This Row],[Earnings2Qae]]+tblParticipants[[#This Row],[Earnings3Qae]],0)</f>
        <v>0</v>
      </c>
      <c r="CF379" s="407"/>
    </row>
    <row r="380" spans="1:84" x14ac:dyDescent="0.3">
      <c r="A380" s="19"/>
      <c r="B380" s="19"/>
      <c r="C380" s="20"/>
      <c r="D380" s="20"/>
      <c r="E380" s="26"/>
      <c r="F380" s="26"/>
      <c r="G380" s="26"/>
      <c r="H380" s="26"/>
      <c r="I380" s="26"/>
      <c r="J380" s="26"/>
      <c r="K380" s="26"/>
      <c r="L380" s="26"/>
      <c r="M380" s="20"/>
      <c r="N380" s="26"/>
      <c r="O380" s="22"/>
      <c r="P380" s="21"/>
      <c r="Q380" s="23"/>
      <c r="R380" s="21"/>
      <c r="S380" s="21"/>
      <c r="T380" s="21"/>
      <c r="U380" s="21"/>
      <c r="V380" s="21"/>
      <c r="W380" s="24"/>
      <c r="X380" s="20"/>
      <c r="Y380" s="20"/>
      <c r="Z380" s="21"/>
      <c r="AA380" s="21"/>
      <c r="AB380" s="21"/>
      <c r="AC380" s="21"/>
      <c r="AD380" s="21"/>
      <c r="AE380" s="21"/>
      <c r="AF380" s="21"/>
      <c r="AG380" s="21"/>
      <c r="AH380" s="21"/>
      <c r="AI380" s="25"/>
      <c r="AJ380" s="20"/>
      <c r="AK380" s="21"/>
      <c r="AL380" s="20"/>
      <c r="AM380" s="20"/>
      <c r="AN380" s="20"/>
      <c r="AO380" s="20"/>
      <c r="AP380" s="446"/>
      <c r="AQ380" s="20"/>
      <c r="AR380" s="20"/>
      <c r="AS380" s="20"/>
      <c r="AT380" s="20"/>
      <c r="AU380" s="26"/>
      <c r="AV380" s="98"/>
      <c r="AW380" s="98"/>
      <c r="AX380" s="98"/>
      <c r="AY380" s="98"/>
      <c r="AZ380" s="98"/>
      <c r="BA380" s="217"/>
      <c r="BB380" s="98"/>
      <c r="BC380" s="98"/>
      <c r="BD380" s="98"/>
      <c r="BE380" s="98"/>
      <c r="BF380" s="98"/>
      <c r="BG380" s="219"/>
      <c r="BH380" s="219"/>
      <c r="BI380" s="219"/>
      <c r="BJ380" s="26"/>
      <c r="BK380" s="21"/>
      <c r="BL380" s="21"/>
      <c r="BM380" s="22"/>
      <c r="BN380" s="21"/>
      <c r="BO380" s="21"/>
      <c r="BP380" s="22"/>
      <c r="BQ380" s="21"/>
      <c r="BR380" s="21"/>
      <c r="BS380" s="22"/>
      <c r="BT38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80" s="109" t="str">
        <f>IF(ISNUMBER(tblParticipants[[#This Row],[SvcStartDate]]),IF(AND(tblParticipants[[#This Row],[EnrollQtr]]=1,tblParticipants[[#This Row],[SvcStartDate]]&lt;DATE(conProgYear,7,1)),1,""),"")</f>
        <v/>
      </c>
      <c r="BV38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80" s="232" t="str">
        <f t="shared" ca="1" si="5"/>
        <v/>
      </c>
      <c r="BX380" s="9">
        <f>IF(SUM(IF(tblParticipants[[#This Row],[AmIndOrAkNtv]]=1,1,0),IF(tblParticipants[[#This Row],[Asian]]=1,1,0),IF(tblParticipants[[#This Row],[BlkOrAfAmer]]=1,1,0),IF(tblParticipants[[#This Row],[NtvHawOrPacIsl]]=1,1,0),IF(tblParticipants[[#This Row],[White]]=1,1,0))&gt;1,1,0)</f>
        <v>0</v>
      </c>
      <c r="BY38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8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8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80" s="11">
        <f>IF(tblParticipants[[#This Row],[EarnWg2Qae]]=1,IFERROR(tblParticipants[[#This Row],[HoursPerWk2Qae]]*tblParticipants[[#This Row],[HrlyWg2Qae]]*13,0),0)</f>
        <v>0</v>
      </c>
      <c r="CC380" s="11">
        <f>IF(tblParticipants[[#This Row],[EarnWg3Qae]]=1,IFERROR(tblParticipants[[#This Row],[HoursPerWk3Qae]]*tblParticipants[[#This Row],[HrlyWg3Qae]]*13,0),0)</f>
        <v>0</v>
      </c>
      <c r="CD380" s="9">
        <f>IFERROR(IF(SUM(tblParticipants[[#This Row],[EarnWg1Qae]],tblParticipants[[#This Row],[EarnWg2Qae]],tblParticipants[[#This Row],[EarnWg3Qae]])=3,1,0),0)</f>
        <v>0</v>
      </c>
      <c r="CE380" s="12">
        <f>IF(tblParticipants[[#This Row],[EmplAll3Qae]]=1,tblParticipants[[#This Row],[Earnings2Qae]]+tblParticipants[[#This Row],[Earnings3Qae]],0)</f>
        <v>0</v>
      </c>
      <c r="CF380" s="407"/>
    </row>
    <row r="381" spans="1:84" x14ac:dyDescent="0.3">
      <c r="A381" s="19"/>
      <c r="B381" s="19"/>
      <c r="C381" s="20"/>
      <c r="D381" s="20"/>
      <c r="E381" s="26"/>
      <c r="F381" s="26"/>
      <c r="G381" s="26"/>
      <c r="H381" s="26"/>
      <c r="I381" s="26"/>
      <c r="J381" s="26"/>
      <c r="K381" s="26"/>
      <c r="L381" s="26"/>
      <c r="M381" s="20"/>
      <c r="N381" s="26"/>
      <c r="O381" s="22"/>
      <c r="P381" s="21"/>
      <c r="Q381" s="23"/>
      <c r="R381" s="21"/>
      <c r="S381" s="21"/>
      <c r="T381" s="21"/>
      <c r="U381" s="21"/>
      <c r="V381" s="21"/>
      <c r="W381" s="24"/>
      <c r="X381" s="20"/>
      <c r="Y381" s="20"/>
      <c r="Z381" s="21"/>
      <c r="AA381" s="21"/>
      <c r="AB381" s="21"/>
      <c r="AC381" s="21"/>
      <c r="AD381" s="21"/>
      <c r="AE381" s="21"/>
      <c r="AF381" s="21"/>
      <c r="AG381" s="21"/>
      <c r="AH381" s="21"/>
      <c r="AI381" s="25"/>
      <c r="AJ381" s="20"/>
      <c r="AK381" s="21"/>
      <c r="AL381" s="20"/>
      <c r="AM381" s="20"/>
      <c r="AN381" s="20"/>
      <c r="AO381" s="20"/>
      <c r="AP381" s="446"/>
      <c r="AQ381" s="20"/>
      <c r="AR381" s="20"/>
      <c r="AS381" s="20"/>
      <c r="AT381" s="20"/>
      <c r="AU381" s="26"/>
      <c r="AV381" s="98"/>
      <c r="AW381" s="98"/>
      <c r="AX381" s="98"/>
      <c r="AY381" s="98"/>
      <c r="AZ381" s="98"/>
      <c r="BA381" s="217"/>
      <c r="BB381" s="98"/>
      <c r="BC381" s="98"/>
      <c r="BD381" s="98"/>
      <c r="BE381" s="98"/>
      <c r="BF381" s="98"/>
      <c r="BG381" s="219"/>
      <c r="BH381" s="219"/>
      <c r="BI381" s="219"/>
      <c r="BJ381" s="26"/>
      <c r="BK381" s="21"/>
      <c r="BL381" s="21"/>
      <c r="BM381" s="22"/>
      <c r="BN381" s="21"/>
      <c r="BO381" s="21"/>
      <c r="BP381" s="22"/>
      <c r="BQ381" s="21"/>
      <c r="BR381" s="21"/>
      <c r="BS381" s="22"/>
      <c r="BT38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81" s="109" t="str">
        <f>IF(ISNUMBER(tblParticipants[[#This Row],[SvcStartDate]]),IF(AND(tblParticipants[[#This Row],[EnrollQtr]]=1,tblParticipants[[#This Row],[SvcStartDate]]&lt;DATE(conProgYear,7,1)),1,""),"")</f>
        <v/>
      </c>
      <c r="BV38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81" s="232" t="str">
        <f t="shared" ca="1" si="5"/>
        <v/>
      </c>
      <c r="BX381" s="9">
        <f>IF(SUM(IF(tblParticipants[[#This Row],[AmIndOrAkNtv]]=1,1,0),IF(tblParticipants[[#This Row],[Asian]]=1,1,0),IF(tblParticipants[[#This Row],[BlkOrAfAmer]]=1,1,0),IF(tblParticipants[[#This Row],[NtvHawOrPacIsl]]=1,1,0),IF(tblParticipants[[#This Row],[White]]=1,1,0))&gt;1,1,0)</f>
        <v>0</v>
      </c>
      <c r="BY38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8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8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81" s="11">
        <f>IF(tblParticipants[[#This Row],[EarnWg2Qae]]=1,IFERROR(tblParticipants[[#This Row],[HoursPerWk2Qae]]*tblParticipants[[#This Row],[HrlyWg2Qae]]*13,0),0)</f>
        <v>0</v>
      </c>
      <c r="CC381" s="11">
        <f>IF(tblParticipants[[#This Row],[EarnWg3Qae]]=1,IFERROR(tblParticipants[[#This Row],[HoursPerWk3Qae]]*tblParticipants[[#This Row],[HrlyWg3Qae]]*13,0),0)</f>
        <v>0</v>
      </c>
      <c r="CD381" s="9">
        <f>IFERROR(IF(SUM(tblParticipants[[#This Row],[EarnWg1Qae]],tblParticipants[[#This Row],[EarnWg2Qae]],tblParticipants[[#This Row],[EarnWg3Qae]])=3,1,0),0)</f>
        <v>0</v>
      </c>
      <c r="CE381" s="12">
        <f>IF(tblParticipants[[#This Row],[EmplAll3Qae]]=1,tblParticipants[[#This Row],[Earnings2Qae]]+tblParticipants[[#This Row],[Earnings3Qae]],0)</f>
        <v>0</v>
      </c>
      <c r="CF381" s="407"/>
    </row>
    <row r="382" spans="1:84" x14ac:dyDescent="0.3">
      <c r="A382" s="19"/>
      <c r="B382" s="19"/>
      <c r="C382" s="20"/>
      <c r="D382" s="20"/>
      <c r="E382" s="26"/>
      <c r="F382" s="26"/>
      <c r="G382" s="26"/>
      <c r="H382" s="26"/>
      <c r="I382" s="26"/>
      <c r="J382" s="26"/>
      <c r="K382" s="26"/>
      <c r="L382" s="26"/>
      <c r="M382" s="20"/>
      <c r="N382" s="26"/>
      <c r="O382" s="22"/>
      <c r="P382" s="21"/>
      <c r="Q382" s="23"/>
      <c r="R382" s="21"/>
      <c r="S382" s="21"/>
      <c r="T382" s="21"/>
      <c r="U382" s="21"/>
      <c r="V382" s="21"/>
      <c r="W382" s="24"/>
      <c r="X382" s="20"/>
      <c r="Y382" s="20"/>
      <c r="Z382" s="21"/>
      <c r="AA382" s="21"/>
      <c r="AB382" s="21"/>
      <c r="AC382" s="21"/>
      <c r="AD382" s="21"/>
      <c r="AE382" s="21"/>
      <c r="AF382" s="21"/>
      <c r="AG382" s="21"/>
      <c r="AH382" s="21"/>
      <c r="AI382" s="25"/>
      <c r="AJ382" s="20"/>
      <c r="AK382" s="21"/>
      <c r="AL382" s="20"/>
      <c r="AM382" s="20"/>
      <c r="AN382" s="20"/>
      <c r="AO382" s="20"/>
      <c r="AP382" s="446"/>
      <c r="AQ382" s="20"/>
      <c r="AR382" s="20"/>
      <c r="AS382" s="20"/>
      <c r="AT382" s="20"/>
      <c r="AU382" s="26"/>
      <c r="AV382" s="98"/>
      <c r="AW382" s="98"/>
      <c r="AX382" s="98"/>
      <c r="AY382" s="98"/>
      <c r="AZ382" s="98"/>
      <c r="BA382" s="217"/>
      <c r="BB382" s="98"/>
      <c r="BC382" s="98"/>
      <c r="BD382" s="98"/>
      <c r="BE382" s="98"/>
      <c r="BF382" s="98"/>
      <c r="BG382" s="219"/>
      <c r="BH382" s="219"/>
      <c r="BI382" s="219"/>
      <c r="BJ382" s="26"/>
      <c r="BK382" s="21"/>
      <c r="BL382" s="21"/>
      <c r="BM382" s="22"/>
      <c r="BN382" s="21"/>
      <c r="BO382" s="21"/>
      <c r="BP382" s="22"/>
      <c r="BQ382" s="21"/>
      <c r="BR382" s="21"/>
      <c r="BS382" s="22"/>
      <c r="BT38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82" s="109" t="str">
        <f>IF(ISNUMBER(tblParticipants[[#This Row],[SvcStartDate]]),IF(AND(tblParticipants[[#This Row],[EnrollQtr]]=1,tblParticipants[[#This Row],[SvcStartDate]]&lt;DATE(conProgYear,7,1)),1,""),"")</f>
        <v/>
      </c>
      <c r="BV38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82" s="232" t="str">
        <f t="shared" ca="1" si="5"/>
        <v/>
      </c>
      <c r="BX382" s="9">
        <f>IF(SUM(IF(tblParticipants[[#This Row],[AmIndOrAkNtv]]=1,1,0),IF(tblParticipants[[#This Row],[Asian]]=1,1,0),IF(tblParticipants[[#This Row],[BlkOrAfAmer]]=1,1,0),IF(tblParticipants[[#This Row],[NtvHawOrPacIsl]]=1,1,0),IF(tblParticipants[[#This Row],[White]]=1,1,0))&gt;1,1,0)</f>
        <v>0</v>
      </c>
      <c r="BY38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8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8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82" s="11">
        <f>IF(tblParticipants[[#This Row],[EarnWg2Qae]]=1,IFERROR(tblParticipants[[#This Row],[HoursPerWk2Qae]]*tblParticipants[[#This Row],[HrlyWg2Qae]]*13,0),0)</f>
        <v>0</v>
      </c>
      <c r="CC382" s="11">
        <f>IF(tblParticipants[[#This Row],[EarnWg3Qae]]=1,IFERROR(tblParticipants[[#This Row],[HoursPerWk3Qae]]*tblParticipants[[#This Row],[HrlyWg3Qae]]*13,0),0)</f>
        <v>0</v>
      </c>
      <c r="CD382" s="9">
        <f>IFERROR(IF(SUM(tblParticipants[[#This Row],[EarnWg1Qae]],tblParticipants[[#This Row],[EarnWg2Qae]],tblParticipants[[#This Row],[EarnWg3Qae]])=3,1,0),0)</f>
        <v>0</v>
      </c>
      <c r="CE382" s="12">
        <f>IF(tblParticipants[[#This Row],[EmplAll3Qae]]=1,tblParticipants[[#This Row],[Earnings2Qae]]+tblParticipants[[#This Row],[Earnings3Qae]],0)</f>
        <v>0</v>
      </c>
      <c r="CF382" s="407"/>
    </row>
    <row r="383" spans="1:84" x14ac:dyDescent="0.3">
      <c r="A383" s="19"/>
      <c r="B383" s="19"/>
      <c r="C383" s="20"/>
      <c r="D383" s="20"/>
      <c r="E383" s="26"/>
      <c r="F383" s="26"/>
      <c r="G383" s="26"/>
      <c r="H383" s="26"/>
      <c r="I383" s="26"/>
      <c r="J383" s="26"/>
      <c r="K383" s="26"/>
      <c r="L383" s="26"/>
      <c r="M383" s="20"/>
      <c r="N383" s="26"/>
      <c r="O383" s="22"/>
      <c r="P383" s="21"/>
      <c r="Q383" s="23"/>
      <c r="R383" s="21"/>
      <c r="S383" s="21"/>
      <c r="T383" s="21"/>
      <c r="U383" s="21"/>
      <c r="V383" s="21"/>
      <c r="W383" s="24"/>
      <c r="X383" s="20"/>
      <c r="Y383" s="20"/>
      <c r="Z383" s="21"/>
      <c r="AA383" s="21"/>
      <c r="AB383" s="21"/>
      <c r="AC383" s="21"/>
      <c r="AD383" s="21"/>
      <c r="AE383" s="21"/>
      <c r="AF383" s="21"/>
      <c r="AG383" s="21"/>
      <c r="AH383" s="21"/>
      <c r="AI383" s="25"/>
      <c r="AJ383" s="20"/>
      <c r="AK383" s="21"/>
      <c r="AL383" s="20"/>
      <c r="AM383" s="20"/>
      <c r="AN383" s="20"/>
      <c r="AO383" s="20"/>
      <c r="AP383" s="446"/>
      <c r="AQ383" s="20"/>
      <c r="AR383" s="20"/>
      <c r="AS383" s="20"/>
      <c r="AT383" s="20"/>
      <c r="AU383" s="26"/>
      <c r="AV383" s="98"/>
      <c r="AW383" s="98"/>
      <c r="AX383" s="98"/>
      <c r="AY383" s="98"/>
      <c r="AZ383" s="98"/>
      <c r="BA383" s="217"/>
      <c r="BB383" s="98"/>
      <c r="BC383" s="98"/>
      <c r="BD383" s="98"/>
      <c r="BE383" s="98"/>
      <c r="BF383" s="98"/>
      <c r="BG383" s="219"/>
      <c r="BH383" s="219"/>
      <c r="BI383" s="219"/>
      <c r="BJ383" s="26"/>
      <c r="BK383" s="21"/>
      <c r="BL383" s="21"/>
      <c r="BM383" s="22"/>
      <c r="BN383" s="21"/>
      <c r="BO383" s="21"/>
      <c r="BP383" s="22"/>
      <c r="BQ383" s="21"/>
      <c r="BR383" s="21"/>
      <c r="BS383" s="22"/>
      <c r="BT38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83" s="109" t="str">
        <f>IF(ISNUMBER(tblParticipants[[#This Row],[SvcStartDate]]),IF(AND(tblParticipants[[#This Row],[EnrollQtr]]=1,tblParticipants[[#This Row],[SvcStartDate]]&lt;DATE(conProgYear,7,1)),1,""),"")</f>
        <v/>
      </c>
      <c r="BV38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83" s="232" t="str">
        <f t="shared" ca="1" si="5"/>
        <v/>
      </c>
      <c r="BX383" s="9">
        <f>IF(SUM(IF(tblParticipants[[#This Row],[AmIndOrAkNtv]]=1,1,0),IF(tblParticipants[[#This Row],[Asian]]=1,1,0),IF(tblParticipants[[#This Row],[BlkOrAfAmer]]=1,1,0),IF(tblParticipants[[#This Row],[NtvHawOrPacIsl]]=1,1,0),IF(tblParticipants[[#This Row],[White]]=1,1,0))&gt;1,1,0)</f>
        <v>0</v>
      </c>
      <c r="BY38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8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8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83" s="11">
        <f>IF(tblParticipants[[#This Row],[EarnWg2Qae]]=1,IFERROR(tblParticipants[[#This Row],[HoursPerWk2Qae]]*tblParticipants[[#This Row],[HrlyWg2Qae]]*13,0),0)</f>
        <v>0</v>
      </c>
      <c r="CC383" s="11">
        <f>IF(tblParticipants[[#This Row],[EarnWg3Qae]]=1,IFERROR(tblParticipants[[#This Row],[HoursPerWk3Qae]]*tblParticipants[[#This Row],[HrlyWg3Qae]]*13,0),0)</f>
        <v>0</v>
      </c>
      <c r="CD383" s="9">
        <f>IFERROR(IF(SUM(tblParticipants[[#This Row],[EarnWg1Qae]],tblParticipants[[#This Row],[EarnWg2Qae]],tblParticipants[[#This Row],[EarnWg3Qae]])=3,1,0),0)</f>
        <v>0</v>
      </c>
      <c r="CE383" s="12">
        <f>IF(tblParticipants[[#This Row],[EmplAll3Qae]]=1,tblParticipants[[#This Row],[Earnings2Qae]]+tblParticipants[[#This Row],[Earnings3Qae]],0)</f>
        <v>0</v>
      </c>
      <c r="CF383" s="407"/>
    </row>
    <row r="384" spans="1:84" x14ac:dyDescent="0.3">
      <c r="A384" s="19"/>
      <c r="B384" s="19"/>
      <c r="C384" s="20"/>
      <c r="D384" s="20"/>
      <c r="E384" s="26"/>
      <c r="F384" s="26"/>
      <c r="G384" s="26"/>
      <c r="H384" s="26"/>
      <c r="I384" s="26"/>
      <c r="J384" s="26"/>
      <c r="K384" s="26"/>
      <c r="L384" s="26"/>
      <c r="M384" s="20"/>
      <c r="N384" s="26"/>
      <c r="O384" s="22"/>
      <c r="P384" s="21"/>
      <c r="Q384" s="23"/>
      <c r="R384" s="21"/>
      <c r="S384" s="21"/>
      <c r="T384" s="21"/>
      <c r="U384" s="21"/>
      <c r="V384" s="21"/>
      <c r="W384" s="24"/>
      <c r="X384" s="20"/>
      <c r="Y384" s="20"/>
      <c r="Z384" s="21"/>
      <c r="AA384" s="21"/>
      <c r="AB384" s="21"/>
      <c r="AC384" s="21"/>
      <c r="AD384" s="21"/>
      <c r="AE384" s="21"/>
      <c r="AF384" s="21"/>
      <c r="AG384" s="21"/>
      <c r="AH384" s="21"/>
      <c r="AI384" s="25"/>
      <c r="AJ384" s="20"/>
      <c r="AK384" s="21"/>
      <c r="AL384" s="20"/>
      <c r="AM384" s="20"/>
      <c r="AN384" s="20"/>
      <c r="AO384" s="20"/>
      <c r="AP384" s="446"/>
      <c r="AQ384" s="20"/>
      <c r="AR384" s="20"/>
      <c r="AS384" s="20"/>
      <c r="AT384" s="20"/>
      <c r="AU384" s="26"/>
      <c r="AV384" s="98"/>
      <c r="AW384" s="98"/>
      <c r="AX384" s="98"/>
      <c r="AY384" s="98"/>
      <c r="AZ384" s="98"/>
      <c r="BA384" s="217"/>
      <c r="BB384" s="98"/>
      <c r="BC384" s="98"/>
      <c r="BD384" s="98"/>
      <c r="BE384" s="98"/>
      <c r="BF384" s="98"/>
      <c r="BG384" s="219"/>
      <c r="BH384" s="219"/>
      <c r="BI384" s="219"/>
      <c r="BJ384" s="26"/>
      <c r="BK384" s="21"/>
      <c r="BL384" s="21"/>
      <c r="BM384" s="22"/>
      <c r="BN384" s="21"/>
      <c r="BO384" s="21"/>
      <c r="BP384" s="22"/>
      <c r="BQ384" s="21"/>
      <c r="BR384" s="21"/>
      <c r="BS384" s="22"/>
      <c r="BT38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84" s="109" t="str">
        <f>IF(ISNUMBER(tblParticipants[[#This Row],[SvcStartDate]]),IF(AND(tblParticipants[[#This Row],[EnrollQtr]]=1,tblParticipants[[#This Row],[SvcStartDate]]&lt;DATE(conProgYear,7,1)),1,""),"")</f>
        <v/>
      </c>
      <c r="BV38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84" s="232" t="str">
        <f t="shared" ca="1" si="5"/>
        <v/>
      </c>
      <c r="BX384" s="9">
        <f>IF(SUM(IF(tblParticipants[[#This Row],[AmIndOrAkNtv]]=1,1,0),IF(tblParticipants[[#This Row],[Asian]]=1,1,0),IF(tblParticipants[[#This Row],[BlkOrAfAmer]]=1,1,0),IF(tblParticipants[[#This Row],[NtvHawOrPacIsl]]=1,1,0),IF(tblParticipants[[#This Row],[White]]=1,1,0))&gt;1,1,0)</f>
        <v>0</v>
      </c>
      <c r="BY38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8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8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84" s="11">
        <f>IF(tblParticipants[[#This Row],[EarnWg2Qae]]=1,IFERROR(tblParticipants[[#This Row],[HoursPerWk2Qae]]*tblParticipants[[#This Row],[HrlyWg2Qae]]*13,0),0)</f>
        <v>0</v>
      </c>
      <c r="CC384" s="11">
        <f>IF(tblParticipants[[#This Row],[EarnWg3Qae]]=1,IFERROR(tblParticipants[[#This Row],[HoursPerWk3Qae]]*tblParticipants[[#This Row],[HrlyWg3Qae]]*13,0),0)</f>
        <v>0</v>
      </c>
      <c r="CD384" s="9">
        <f>IFERROR(IF(SUM(tblParticipants[[#This Row],[EarnWg1Qae]],tblParticipants[[#This Row],[EarnWg2Qae]],tblParticipants[[#This Row],[EarnWg3Qae]])=3,1,0),0)</f>
        <v>0</v>
      </c>
      <c r="CE384" s="12">
        <f>IF(tblParticipants[[#This Row],[EmplAll3Qae]]=1,tblParticipants[[#This Row],[Earnings2Qae]]+tblParticipants[[#This Row],[Earnings3Qae]],0)</f>
        <v>0</v>
      </c>
      <c r="CF384" s="407"/>
    </row>
    <row r="385" spans="1:84" x14ac:dyDescent="0.3">
      <c r="A385" s="19"/>
      <c r="B385" s="19"/>
      <c r="C385" s="20"/>
      <c r="D385" s="20"/>
      <c r="E385" s="26"/>
      <c r="F385" s="26"/>
      <c r="G385" s="26"/>
      <c r="H385" s="26"/>
      <c r="I385" s="26"/>
      <c r="J385" s="26"/>
      <c r="K385" s="26"/>
      <c r="L385" s="26"/>
      <c r="M385" s="20"/>
      <c r="N385" s="26"/>
      <c r="O385" s="22"/>
      <c r="P385" s="21"/>
      <c r="Q385" s="23"/>
      <c r="R385" s="21"/>
      <c r="S385" s="21"/>
      <c r="T385" s="21"/>
      <c r="U385" s="21"/>
      <c r="V385" s="21"/>
      <c r="W385" s="24"/>
      <c r="X385" s="20"/>
      <c r="Y385" s="20"/>
      <c r="Z385" s="21"/>
      <c r="AA385" s="21"/>
      <c r="AB385" s="21"/>
      <c r="AC385" s="21"/>
      <c r="AD385" s="21"/>
      <c r="AE385" s="21"/>
      <c r="AF385" s="21"/>
      <c r="AG385" s="21"/>
      <c r="AH385" s="21"/>
      <c r="AI385" s="25"/>
      <c r="AJ385" s="20"/>
      <c r="AK385" s="21"/>
      <c r="AL385" s="20"/>
      <c r="AM385" s="20"/>
      <c r="AN385" s="20"/>
      <c r="AO385" s="20"/>
      <c r="AP385" s="446"/>
      <c r="AQ385" s="20"/>
      <c r="AR385" s="20"/>
      <c r="AS385" s="20"/>
      <c r="AT385" s="20"/>
      <c r="AU385" s="26"/>
      <c r="AV385" s="98"/>
      <c r="AW385" s="98"/>
      <c r="AX385" s="98"/>
      <c r="AY385" s="98"/>
      <c r="AZ385" s="98"/>
      <c r="BA385" s="217"/>
      <c r="BB385" s="98"/>
      <c r="BC385" s="98"/>
      <c r="BD385" s="98"/>
      <c r="BE385" s="98"/>
      <c r="BF385" s="98"/>
      <c r="BG385" s="219"/>
      <c r="BH385" s="219"/>
      <c r="BI385" s="219"/>
      <c r="BJ385" s="26"/>
      <c r="BK385" s="21"/>
      <c r="BL385" s="21"/>
      <c r="BM385" s="22"/>
      <c r="BN385" s="21"/>
      <c r="BO385" s="21"/>
      <c r="BP385" s="22"/>
      <c r="BQ385" s="21"/>
      <c r="BR385" s="21"/>
      <c r="BS385" s="22"/>
      <c r="BT38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85" s="109" t="str">
        <f>IF(ISNUMBER(tblParticipants[[#This Row],[SvcStartDate]]),IF(AND(tblParticipants[[#This Row],[EnrollQtr]]=1,tblParticipants[[#This Row],[SvcStartDate]]&lt;DATE(conProgYear,7,1)),1,""),"")</f>
        <v/>
      </c>
      <c r="BV38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85" s="232" t="str">
        <f t="shared" ca="1" si="5"/>
        <v/>
      </c>
      <c r="BX385" s="9">
        <f>IF(SUM(IF(tblParticipants[[#This Row],[AmIndOrAkNtv]]=1,1,0),IF(tblParticipants[[#This Row],[Asian]]=1,1,0),IF(tblParticipants[[#This Row],[BlkOrAfAmer]]=1,1,0),IF(tblParticipants[[#This Row],[NtvHawOrPacIsl]]=1,1,0),IF(tblParticipants[[#This Row],[White]]=1,1,0))&gt;1,1,0)</f>
        <v>0</v>
      </c>
      <c r="BY38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8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8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85" s="11">
        <f>IF(tblParticipants[[#This Row],[EarnWg2Qae]]=1,IFERROR(tblParticipants[[#This Row],[HoursPerWk2Qae]]*tblParticipants[[#This Row],[HrlyWg2Qae]]*13,0),0)</f>
        <v>0</v>
      </c>
      <c r="CC385" s="11">
        <f>IF(tblParticipants[[#This Row],[EarnWg3Qae]]=1,IFERROR(tblParticipants[[#This Row],[HoursPerWk3Qae]]*tblParticipants[[#This Row],[HrlyWg3Qae]]*13,0),0)</f>
        <v>0</v>
      </c>
      <c r="CD385" s="9">
        <f>IFERROR(IF(SUM(tblParticipants[[#This Row],[EarnWg1Qae]],tblParticipants[[#This Row],[EarnWg2Qae]],tblParticipants[[#This Row],[EarnWg3Qae]])=3,1,0),0)</f>
        <v>0</v>
      </c>
      <c r="CE385" s="12">
        <f>IF(tblParticipants[[#This Row],[EmplAll3Qae]]=1,tblParticipants[[#This Row],[Earnings2Qae]]+tblParticipants[[#This Row],[Earnings3Qae]],0)</f>
        <v>0</v>
      </c>
      <c r="CF385" s="407"/>
    </row>
    <row r="386" spans="1:84" x14ac:dyDescent="0.3">
      <c r="A386" s="19"/>
      <c r="B386" s="19"/>
      <c r="C386" s="20"/>
      <c r="D386" s="20"/>
      <c r="E386" s="26"/>
      <c r="F386" s="26"/>
      <c r="G386" s="26"/>
      <c r="H386" s="26"/>
      <c r="I386" s="26"/>
      <c r="J386" s="26"/>
      <c r="K386" s="26"/>
      <c r="L386" s="26"/>
      <c r="M386" s="20"/>
      <c r="N386" s="26"/>
      <c r="O386" s="22"/>
      <c r="P386" s="21"/>
      <c r="Q386" s="23"/>
      <c r="R386" s="21"/>
      <c r="S386" s="21"/>
      <c r="T386" s="21"/>
      <c r="U386" s="21"/>
      <c r="V386" s="21"/>
      <c r="W386" s="24"/>
      <c r="X386" s="20"/>
      <c r="Y386" s="20"/>
      <c r="Z386" s="21"/>
      <c r="AA386" s="21"/>
      <c r="AB386" s="21"/>
      <c r="AC386" s="21"/>
      <c r="AD386" s="21"/>
      <c r="AE386" s="21"/>
      <c r="AF386" s="21"/>
      <c r="AG386" s="21"/>
      <c r="AH386" s="21"/>
      <c r="AI386" s="25"/>
      <c r="AJ386" s="20"/>
      <c r="AK386" s="21"/>
      <c r="AL386" s="20"/>
      <c r="AM386" s="20"/>
      <c r="AN386" s="20"/>
      <c r="AO386" s="20"/>
      <c r="AP386" s="446"/>
      <c r="AQ386" s="20"/>
      <c r="AR386" s="20"/>
      <c r="AS386" s="20"/>
      <c r="AT386" s="20"/>
      <c r="AU386" s="26"/>
      <c r="AV386" s="98"/>
      <c r="AW386" s="98"/>
      <c r="AX386" s="98"/>
      <c r="AY386" s="98"/>
      <c r="AZ386" s="98"/>
      <c r="BA386" s="217"/>
      <c r="BB386" s="98"/>
      <c r="BC386" s="98"/>
      <c r="BD386" s="98"/>
      <c r="BE386" s="98"/>
      <c r="BF386" s="98"/>
      <c r="BG386" s="219"/>
      <c r="BH386" s="219"/>
      <c r="BI386" s="219"/>
      <c r="BJ386" s="26"/>
      <c r="BK386" s="21"/>
      <c r="BL386" s="21"/>
      <c r="BM386" s="22"/>
      <c r="BN386" s="21"/>
      <c r="BO386" s="21"/>
      <c r="BP386" s="22"/>
      <c r="BQ386" s="21"/>
      <c r="BR386" s="21"/>
      <c r="BS386" s="22"/>
      <c r="BT38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86" s="109" t="str">
        <f>IF(ISNUMBER(tblParticipants[[#This Row],[SvcStartDate]]),IF(AND(tblParticipants[[#This Row],[EnrollQtr]]=1,tblParticipants[[#This Row],[SvcStartDate]]&lt;DATE(conProgYear,7,1)),1,""),"")</f>
        <v/>
      </c>
      <c r="BV38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86" s="232" t="str">
        <f t="shared" ca="1" si="5"/>
        <v/>
      </c>
      <c r="BX386" s="9">
        <f>IF(SUM(IF(tblParticipants[[#This Row],[AmIndOrAkNtv]]=1,1,0),IF(tblParticipants[[#This Row],[Asian]]=1,1,0),IF(tblParticipants[[#This Row],[BlkOrAfAmer]]=1,1,0),IF(tblParticipants[[#This Row],[NtvHawOrPacIsl]]=1,1,0),IF(tblParticipants[[#This Row],[White]]=1,1,0))&gt;1,1,0)</f>
        <v>0</v>
      </c>
      <c r="BY38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8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8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86" s="11">
        <f>IF(tblParticipants[[#This Row],[EarnWg2Qae]]=1,IFERROR(tblParticipants[[#This Row],[HoursPerWk2Qae]]*tblParticipants[[#This Row],[HrlyWg2Qae]]*13,0),0)</f>
        <v>0</v>
      </c>
      <c r="CC386" s="11">
        <f>IF(tblParticipants[[#This Row],[EarnWg3Qae]]=1,IFERROR(tblParticipants[[#This Row],[HoursPerWk3Qae]]*tblParticipants[[#This Row],[HrlyWg3Qae]]*13,0),0)</f>
        <v>0</v>
      </c>
      <c r="CD386" s="9">
        <f>IFERROR(IF(SUM(tblParticipants[[#This Row],[EarnWg1Qae]],tblParticipants[[#This Row],[EarnWg2Qae]],tblParticipants[[#This Row],[EarnWg3Qae]])=3,1,0),0)</f>
        <v>0</v>
      </c>
      <c r="CE386" s="12">
        <f>IF(tblParticipants[[#This Row],[EmplAll3Qae]]=1,tblParticipants[[#This Row],[Earnings2Qae]]+tblParticipants[[#This Row],[Earnings3Qae]],0)</f>
        <v>0</v>
      </c>
      <c r="CF386" s="407"/>
    </row>
    <row r="387" spans="1:84" x14ac:dyDescent="0.3">
      <c r="A387" s="19"/>
      <c r="B387" s="19"/>
      <c r="C387" s="20"/>
      <c r="D387" s="20"/>
      <c r="E387" s="26"/>
      <c r="F387" s="26"/>
      <c r="G387" s="26"/>
      <c r="H387" s="26"/>
      <c r="I387" s="26"/>
      <c r="J387" s="26"/>
      <c r="K387" s="26"/>
      <c r="L387" s="26"/>
      <c r="M387" s="20"/>
      <c r="N387" s="26"/>
      <c r="O387" s="22"/>
      <c r="P387" s="21"/>
      <c r="Q387" s="23"/>
      <c r="R387" s="21"/>
      <c r="S387" s="21"/>
      <c r="T387" s="21"/>
      <c r="U387" s="21"/>
      <c r="V387" s="21"/>
      <c r="W387" s="24"/>
      <c r="X387" s="20"/>
      <c r="Y387" s="20"/>
      <c r="Z387" s="21"/>
      <c r="AA387" s="21"/>
      <c r="AB387" s="21"/>
      <c r="AC387" s="21"/>
      <c r="AD387" s="21"/>
      <c r="AE387" s="21"/>
      <c r="AF387" s="21"/>
      <c r="AG387" s="21"/>
      <c r="AH387" s="21"/>
      <c r="AI387" s="25"/>
      <c r="AJ387" s="20"/>
      <c r="AK387" s="21"/>
      <c r="AL387" s="20"/>
      <c r="AM387" s="20"/>
      <c r="AN387" s="20"/>
      <c r="AO387" s="20"/>
      <c r="AP387" s="446"/>
      <c r="AQ387" s="20"/>
      <c r="AR387" s="20"/>
      <c r="AS387" s="20"/>
      <c r="AT387" s="20"/>
      <c r="AU387" s="26"/>
      <c r="AV387" s="98"/>
      <c r="AW387" s="98"/>
      <c r="AX387" s="98"/>
      <c r="AY387" s="98"/>
      <c r="AZ387" s="98"/>
      <c r="BA387" s="217"/>
      <c r="BB387" s="98"/>
      <c r="BC387" s="98"/>
      <c r="BD387" s="98"/>
      <c r="BE387" s="98"/>
      <c r="BF387" s="98"/>
      <c r="BG387" s="219"/>
      <c r="BH387" s="219"/>
      <c r="BI387" s="219"/>
      <c r="BJ387" s="26"/>
      <c r="BK387" s="21"/>
      <c r="BL387" s="21"/>
      <c r="BM387" s="22"/>
      <c r="BN387" s="21"/>
      <c r="BO387" s="21"/>
      <c r="BP387" s="22"/>
      <c r="BQ387" s="21"/>
      <c r="BR387" s="21"/>
      <c r="BS387" s="22"/>
      <c r="BT38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87" s="109" t="str">
        <f>IF(ISNUMBER(tblParticipants[[#This Row],[SvcStartDate]]),IF(AND(tblParticipants[[#This Row],[EnrollQtr]]=1,tblParticipants[[#This Row],[SvcStartDate]]&lt;DATE(conProgYear,7,1)),1,""),"")</f>
        <v/>
      </c>
      <c r="BV38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87" s="232" t="str">
        <f t="shared" ca="1" si="5"/>
        <v/>
      </c>
      <c r="BX387" s="9">
        <f>IF(SUM(IF(tblParticipants[[#This Row],[AmIndOrAkNtv]]=1,1,0),IF(tblParticipants[[#This Row],[Asian]]=1,1,0),IF(tblParticipants[[#This Row],[BlkOrAfAmer]]=1,1,0),IF(tblParticipants[[#This Row],[NtvHawOrPacIsl]]=1,1,0),IF(tblParticipants[[#This Row],[White]]=1,1,0))&gt;1,1,0)</f>
        <v>0</v>
      </c>
      <c r="BY38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8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8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87" s="11">
        <f>IF(tblParticipants[[#This Row],[EarnWg2Qae]]=1,IFERROR(tblParticipants[[#This Row],[HoursPerWk2Qae]]*tblParticipants[[#This Row],[HrlyWg2Qae]]*13,0),0)</f>
        <v>0</v>
      </c>
      <c r="CC387" s="11">
        <f>IF(tblParticipants[[#This Row],[EarnWg3Qae]]=1,IFERROR(tblParticipants[[#This Row],[HoursPerWk3Qae]]*tblParticipants[[#This Row],[HrlyWg3Qae]]*13,0),0)</f>
        <v>0</v>
      </c>
      <c r="CD387" s="9">
        <f>IFERROR(IF(SUM(tblParticipants[[#This Row],[EarnWg1Qae]],tblParticipants[[#This Row],[EarnWg2Qae]],tblParticipants[[#This Row],[EarnWg3Qae]])=3,1,0),0)</f>
        <v>0</v>
      </c>
      <c r="CE387" s="12">
        <f>IF(tblParticipants[[#This Row],[EmplAll3Qae]]=1,tblParticipants[[#This Row],[Earnings2Qae]]+tblParticipants[[#This Row],[Earnings3Qae]],0)</f>
        <v>0</v>
      </c>
      <c r="CF387" s="407"/>
    </row>
    <row r="388" spans="1:84" x14ac:dyDescent="0.3">
      <c r="A388" s="19"/>
      <c r="B388" s="19"/>
      <c r="C388" s="20"/>
      <c r="D388" s="20"/>
      <c r="E388" s="26"/>
      <c r="F388" s="26"/>
      <c r="G388" s="26"/>
      <c r="H388" s="26"/>
      <c r="I388" s="26"/>
      <c r="J388" s="26"/>
      <c r="K388" s="26"/>
      <c r="L388" s="26"/>
      <c r="M388" s="20"/>
      <c r="N388" s="26"/>
      <c r="O388" s="22"/>
      <c r="P388" s="21"/>
      <c r="Q388" s="23"/>
      <c r="R388" s="21"/>
      <c r="S388" s="21"/>
      <c r="T388" s="21"/>
      <c r="U388" s="21"/>
      <c r="V388" s="21"/>
      <c r="W388" s="24"/>
      <c r="X388" s="20"/>
      <c r="Y388" s="20"/>
      <c r="Z388" s="21"/>
      <c r="AA388" s="21"/>
      <c r="AB388" s="21"/>
      <c r="AC388" s="21"/>
      <c r="AD388" s="21"/>
      <c r="AE388" s="21"/>
      <c r="AF388" s="21"/>
      <c r="AG388" s="21"/>
      <c r="AH388" s="21"/>
      <c r="AI388" s="25"/>
      <c r="AJ388" s="20"/>
      <c r="AK388" s="21"/>
      <c r="AL388" s="20"/>
      <c r="AM388" s="20"/>
      <c r="AN388" s="20"/>
      <c r="AO388" s="20"/>
      <c r="AP388" s="446"/>
      <c r="AQ388" s="20"/>
      <c r="AR388" s="20"/>
      <c r="AS388" s="20"/>
      <c r="AT388" s="20"/>
      <c r="AU388" s="26"/>
      <c r="AV388" s="98"/>
      <c r="AW388" s="98"/>
      <c r="AX388" s="98"/>
      <c r="AY388" s="98"/>
      <c r="AZ388" s="98"/>
      <c r="BA388" s="217"/>
      <c r="BB388" s="98"/>
      <c r="BC388" s="98"/>
      <c r="BD388" s="98"/>
      <c r="BE388" s="98"/>
      <c r="BF388" s="98"/>
      <c r="BG388" s="219"/>
      <c r="BH388" s="219"/>
      <c r="BI388" s="219"/>
      <c r="BJ388" s="26"/>
      <c r="BK388" s="21"/>
      <c r="BL388" s="21"/>
      <c r="BM388" s="22"/>
      <c r="BN388" s="21"/>
      <c r="BO388" s="21"/>
      <c r="BP388" s="22"/>
      <c r="BQ388" s="21"/>
      <c r="BR388" s="21"/>
      <c r="BS388" s="22"/>
      <c r="BT38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88" s="109" t="str">
        <f>IF(ISNUMBER(tblParticipants[[#This Row],[SvcStartDate]]),IF(AND(tblParticipants[[#This Row],[EnrollQtr]]=1,tblParticipants[[#This Row],[SvcStartDate]]&lt;DATE(conProgYear,7,1)),1,""),"")</f>
        <v/>
      </c>
      <c r="BV38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88" s="232" t="str">
        <f t="shared" ca="1" si="5"/>
        <v/>
      </c>
      <c r="BX388" s="9">
        <f>IF(SUM(IF(tblParticipants[[#This Row],[AmIndOrAkNtv]]=1,1,0),IF(tblParticipants[[#This Row],[Asian]]=1,1,0),IF(tblParticipants[[#This Row],[BlkOrAfAmer]]=1,1,0),IF(tblParticipants[[#This Row],[NtvHawOrPacIsl]]=1,1,0),IF(tblParticipants[[#This Row],[White]]=1,1,0))&gt;1,1,0)</f>
        <v>0</v>
      </c>
      <c r="BY38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8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8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88" s="11">
        <f>IF(tblParticipants[[#This Row],[EarnWg2Qae]]=1,IFERROR(tblParticipants[[#This Row],[HoursPerWk2Qae]]*tblParticipants[[#This Row],[HrlyWg2Qae]]*13,0),0)</f>
        <v>0</v>
      </c>
      <c r="CC388" s="11">
        <f>IF(tblParticipants[[#This Row],[EarnWg3Qae]]=1,IFERROR(tblParticipants[[#This Row],[HoursPerWk3Qae]]*tblParticipants[[#This Row],[HrlyWg3Qae]]*13,0),0)</f>
        <v>0</v>
      </c>
      <c r="CD388" s="9">
        <f>IFERROR(IF(SUM(tblParticipants[[#This Row],[EarnWg1Qae]],tblParticipants[[#This Row],[EarnWg2Qae]],tblParticipants[[#This Row],[EarnWg3Qae]])=3,1,0),0)</f>
        <v>0</v>
      </c>
      <c r="CE388" s="12">
        <f>IF(tblParticipants[[#This Row],[EmplAll3Qae]]=1,tblParticipants[[#This Row],[Earnings2Qae]]+tblParticipants[[#This Row],[Earnings3Qae]],0)</f>
        <v>0</v>
      </c>
      <c r="CF388" s="407"/>
    </row>
    <row r="389" spans="1:84" x14ac:dyDescent="0.3">
      <c r="A389" s="19"/>
      <c r="B389" s="19"/>
      <c r="C389" s="20"/>
      <c r="D389" s="20"/>
      <c r="E389" s="26"/>
      <c r="F389" s="26"/>
      <c r="G389" s="26"/>
      <c r="H389" s="26"/>
      <c r="I389" s="26"/>
      <c r="J389" s="26"/>
      <c r="K389" s="26"/>
      <c r="L389" s="26"/>
      <c r="M389" s="20"/>
      <c r="N389" s="26"/>
      <c r="O389" s="22"/>
      <c r="P389" s="21"/>
      <c r="Q389" s="23"/>
      <c r="R389" s="21"/>
      <c r="S389" s="21"/>
      <c r="T389" s="21"/>
      <c r="U389" s="21"/>
      <c r="V389" s="21"/>
      <c r="W389" s="24"/>
      <c r="X389" s="20"/>
      <c r="Y389" s="20"/>
      <c r="Z389" s="21"/>
      <c r="AA389" s="21"/>
      <c r="AB389" s="21"/>
      <c r="AC389" s="21"/>
      <c r="AD389" s="21"/>
      <c r="AE389" s="21"/>
      <c r="AF389" s="21"/>
      <c r="AG389" s="21"/>
      <c r="AH389" s="21"/>
      <c r="AI389" s="25"/>
      <c r="AJ389" s="20"/>
      <c r="AK389" s="21"/>
      <c r="AL389" s="20"/>
      <c r="AM389" s="20"/>
      <c r="AN389" s="20"/>
      <c r="AO389" s="20"/>
      <c r="AP389" s="446"/>
      <c r="AQ389" s="20"/>
      <c r="AR389" s="20"/>
      <c r="AS389" s="20"/>
      <c r="AT389" s="20"/>
      <c r="AU389" s="26"/>
      <c r="AV389" s="98"/>
      <c r="AW389" s="98"/>
      <c r="AX389" s="98"/>
      <c r="AY389" s="98"/>
      <c r="AZ389" s="98"/>
      <c r="BA389" s="217"/>
      <c r="BB389" s="98"/>
      <c r="BC389" s="98"/>
      <c r="BD389" s="98"/>
      <c r="BE389" s="98"/>
      <c r="BF389" s="98"/>
      <c r="BG389" s="219"/>
      <c r="BH389" s="219"/>
      <c r="BI389" s="219"/>
      <c r="BJ389" s="26"/>
      <c r="BK389" s="21"/>
      <c r="BL389" s="21"/>
      <c r="BM389" s="22"/>
      <c r="BN389" s="21"/>
      <c r="BO389" s="21"/>
      <c r="BP389" s="22"/>
      <c r="BQ389" s="21"/>
      <c r="BR389" s="21"/>
      <c r="BS389" s="22"/>
      <c r="BT38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89" s="109" t="str">
        <f>IF(ISNUMBER(tblParticipants[[#This Row],[SvcStartDate]]),IF(AND(tblParticipants[[#This Row],[EnrollQtr]]=1,tblParticipants[[#This Row],[SvcStartDate]]&lt;DATE(conProgYear,7,1)),1,""),"")</f>
        <v/>
      </c>
      <c r="BV38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89" s="232" t="str">
        <f t="shared" ref="BW389:BW452" ca="1" si="6">IF(NOT(ISBLANK(INDIRECT("tblParticipants[@PlacedInEmp]"))),IF(INDIRECT("tblParticipants[@PlacedInEmp]")=1,IF(NOT(ISBLANK(INDIRECT("tblParticipants[@SvcEndDate]"))),IF(ISNUMBER(INDIRECT("tblParticipants[@SvcEndDate]")),IF(AND(INDIRECT("tblParticipants[@SvcEndDate]")&gt;=DATE(conProgYear,7,1),INDIRECT("tblParticipants[@SvcEndDate]")&lt;=DATE(conProgYear+1,6,30)),INDIRECT("tblParticipants[@ExitQtr]"),"ERR"),"ERR"),"ERR"),""),"")</f>
        <v/>
      </c>
      <c r="BX389" s="9">
        <f>IF(SUM(IF(tblParticipants[[#This Row],[AmIndOrAkNtv]]=1,1,0),IF(tblParticipants[[#This Row],[Asian]]=1,1,0),IF(tblParticipants[[#This Row],[BlkOrAfAmer]]=1,1,0),IF(tblParticipants[[#This Row],[NtvHawOrPacIsl]]=1,1,0),IF(tblParticipants[[#This Row],[White]]=1,1,0))&gt;1,1,0)</f>
        <v>0</v>
      </c>
      <c r="BY38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8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8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89" s="11">
        <f>IF(tblParticipants[[#This Row],[EarnWg2Qae]]=1,IFERROR(tblParticipants[[#This Row],[HoursPerWk2Qae]]*tblParticipants[[#This Row],[HrlyWg2Qae]]*13,0),0)</f>
        <v>0</v>
      </c>
      <c r="CC389" s="11">
        <f>IF(tblParticipants[[#This Row],[EarnWg3Qae]]=1,IFERROR(tblParticipants[[#This Row],[HoursPerWk3Qae]]*tblParticipants[[#This Row],[HrlyWg3Qae]]*13,0),0)</f>
        <v>0</v>
      </c>
      <c r="CD389" s="9">
        <f>IFERROR(IF(SUM(tblParticipants[[#This Row],[EarnWg1Qae]],tblParticipants[[#This Row],[EarnWg2Qae]],tblParticipants[[#This Row],[EarnWg3Qae]])=3,1,0),0)</f>
        <v>0</v>
      </c>
      <c r="CE389" s="12">
        <f>IF(tblParticipants[[#This Row],[EmplAll3Qae]]=1,tblParticipants[[#This Row],[Earnings2Qae]]+tblParticipants[[#This Row],[Earnings3Qae]],0)</f>
        <v>0</v>
      </c>
      <c r="CF389" s="407"/>
    </row>
    <row r="390" spans="1:84" x14ac:dyDescent="0.3">
      <c r="A390" s="19"/>
      <c r="B390" s="19"/>
      <c r="C390" s="20"/>
      <c r="D390" s="20"/>
      <c r="E390" s="26"/>
      <c r="F390" s="26"/>
      <c r="G390" s="26"/>
      <c r="H390" s="26"/>
      <c r="I390" s="26"/>
      <c r="J390" s="26"/>
      <c r="K390" s="26"/>
      <c r="L390" s="26"/>
      <c r="M390" s="20"/>
      <c r="N390" s="26"/>
      <c r="O390" s="22"/>
      <c r="P390" s="21"/>
      <c r="Q390" s="23"/>
      <c r="R390" s="21"/>
      <c r="S390" s="21"/>
      <c r="T390" s="21"/>
      <c r="U390" s="21"/>
      <c r="V390" s="21"/>
      <c r="W390" s="24"/>
      <c r="X390" s="20"/>
      <c r="Y390" s="20"/>
      <c r="Z390" s="21"/>
      <c r="AA390" s="21"/>
      <c r="AB390" s="21"/>
      <c r="AC390" s="21"/>
      <c r="AD390" s="21"/>
      <c r="AE390" s="21"/>
      <c r="AF390" s="21"/>
      <c r="AG390" s="21"/>
      <c r="AH390" s="21"/>
      <c r="AI390" s="25"/>
      <c r="AJ390" s="20"/>
      <c r="AK390" s="21"/>
      <c r="AL390" s="20"/>
      <c r="AM390" s="20"/>
      <c r="AN390" s="20"/>
      <c r="AO390" s="20"/>
      <c r="AP390" s="446"/>
      <c r="AQ390" s="20"/>
      <c r="AR390" s="20"/>
      <c r="AS390" s="20"/>
      <c r="AT390" s="20"/>
      <c r="AU390" s="26"/>
      <c r="AV390" s="98"/>
      <c r="AW390" s="98"/>
      <c r="AX390" s="98"/>
      <c r="AY390" s="98"/>
      <c r="AZ390" s="98"/>
      <c r="BA390" s="217"/>
      <c r="BB390" s="98"/>
      <c r="BC390" s="98"/>
      <c r="BD390" s="98"/>
      <c r="BE390" s="98"/>
      <c r="BF390" s="98"/>
      <c r="BG390" s="219"/>
      <c r="BH390" s="219"/>
      <c r="BI390" s="219"/>
      <c r="BJ390" s="26"/>
      <c r="BK390" s="21"/>
      <c r="BL390" s="21"/>
      <c r="BM390" s="22"/>
      <c r="BN390" s="21"/>
      <c r="BO390" s="21"/>
      <c r="BP390" s="22"/>
      <c r="BQ390" s="21"/>
      <c r="BR390" s="21"/>
      <c r="BS390" s="22"/>
      <c r="BT39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90" s="109" t="str">
        <f>IF(ISNUMBER(tblParticipants[[#This Row],[SvcStartDate]]),IF(AND(tblParticipants[[#This Row],[EnrollQtr]]=1,tblParticipants[[#This Row],[SvcStartDate]]&lt;DATE(conProgYear,7,1)),1,""),"")</f>
        <v/>
      </c>
      <c r="BV39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90" s="232" t="str">
        <f t="shared" ca="1" si="6"/>
        <v/>
      </c>
      <c r="BX390" s="9">
        <f>IF(SUM(IF(tblParticipants[[#This Row],[AmIndOrAkNtv]]=1,1,0),IF(tblParticipants[[#This Row],[Asian]]=1,1,0),IF(tblParticipants[[#This Row],[BlkOrAfAmer]]=1,1,0),IF(tblParticipants[[#This Row],[NtvHawOrPacIsl]]=1,1,0),IF(tblParticipants[[#This Row],[White]]=1,1,0))&gt;1,1,0)</f>
        <v>0</v>
      </c>
      <c r="BY39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9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9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90" s="11">
        <f>IF(tblParticipants[[#This Row],[EarnWg2Qae]]=1,IFERROR(tblParticipants[[#This Row],[HoursPerWk2Qae]]*tblParticipants[[#This Row],[HrlyWg2Qae]]*13,0),0)</f>
        <v>0</v>
      </c>
      <c r="CC390" s="11">
        <f>IF(tblParticipants[[#This Row],[EarnWg3Qae]]=1,IFERROR(tblParticipants[[#This Row],[HoursPerWk3Qae]]*tblParticipants[[#This Row],[HrlyWg3Qae]]*13,0),0)</f>
        <v>0</v>
      </c>
      <c r="CD390" s="9">
        <f>IFERROR(IF(SUM(tblParticipants[[#This Row],[EarnWg1Qae]],tblParticipants[[#This Row],[EarnWg2Qae]],tblParticipants[[#This Row],[EarnWg3Qae]])=3,1,0),0)</f>
        <v>0</v>
      </c>
      <c r="CE390" s="12">
        <f>IF(tblParticipants[[#This Row],[EmplAll3Qae]]=1,tblParticipants[[#This Row],[Earnings2Qae]]+tblParticipants[[#This Row],[Earnings3Qae]],0)</f>
        <v>0</v>
      </c>
      <c r="CF390" s="407"/>
    </row>
    <row r="391" spans="1:84" x14ac:dyDescent="0.3">
      <c r="A391" s="19"/>
      <c r="B391" s="19"/>
      <c r="C391" s="20"/>
      <c r="D391" s="20"/>
      <c r="E391" s="26"/>
      <c r="F391" s="26"/>
      <c r="G391" s="26"/>
      <c r="H391" s="26"/>
      <c r="I391" s="26"/>
      <c r="J391" s="26"/>
      <c r="K391" s="26"/>
      <c r="L391" s="26"/>
      <c r="M391" s="20"/>
      <c r="N391" s="26"/>
      <c r="O391" s="22"/>
      <c r="P391" s="21"/>
      <c r="Q391" s="23"/>
      <c r="R391" s="21"/>
      <c r="S391" s="21"/>
      <c r="T391" s="21"/>
      <c r="U391" s="21"/>
      <c r="V391" s="21"/>
      <c r="W391" s="24"/>
      <c r="X391" s="20"/>
      <c r="Y391" s="20"/>
      <c r="Z391" s="21"/>
      <c r="AA391" s="21"/>
      <c r="AB391" s="21"/>
      <c r="AC391" s="21"/>
      <c r="AD391" s="21"/>
      <c r="AE391" s="21"/>
      <c r="AF391" s="21"/>
      <c r="AG391" s="21"/>
      <c r="AH391" s="21"/>
      <c r="AI391" s="25"/>
      <c r="AJ391" s="20"/>
      <c r="AK391" s="21"/>
      <c r="AL391" s="20"/>
      <c r="AM391" s="20"/>
      <c r="AN391" s="20"/>
      <c r="AO391" s="20"/>
      <c r="AP391" s="446"/>
      <c r="AQ391" s="20"/>
      <c r="AR391" s="20"/>
      <c r="AS391" s="20"/>
      <c r="AT391" s="20"/>
      <c r="AU391" s="26"/>
      <c r="AV391" s="98"/>
      <c r="AW391" s="98"/>
      <c r="AX391" s="98"/>
      <c r="AY391" s="98"/>
      <c r="AZ391" s="98"/>
      <c r="BA391" s="217"/>
      <c r="BB391" s="98"/>
      <c r="BC391" s="98"/>
      <c r="BD391" s="98"/>
      <c r="BE391" s="98"/>
      <c r="BF391" s="98"/>
      <c r="BG391" s="219"/>
      <c r="BH391" s="219"/>
      <c r="BI391" s="219"/>
      <c r="BJ391" s="26"/>
      <c r="BK391" s="21"/>
      <c r="BL391" s="21"/>
      <c r="BM391" s="22"/>
      <c r="BN391" s="21"/>
      <c r="BO391" s="21"/>
      <c r="BP391" s="22"/>
      <c r="BQ391" s="21"/>
      <c r="BR391" s="21"/>
      <c r="BS391" s="22"/>
      <c r="BT39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91" s="109" t="str">
        <f>IF(ISNUMBER(tblParticipants[[#This Row],[SvcStartDate]]),IF(AND(tblParticipants[[#This Row],[EnrollQtr]]=1,tblParticipants[[#This Row],[SvcStartDate]]&lt;DATE(conProgYear,7,1)),1,""),"")</f>
        <v/>
      </c>
      <c r="BV39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91" s="232" t="str">
        <f t="shared" ca="1" si="6"/>
        <v/>
      </c>
      <c r="BX391" s="9">
        <f>IF(SUM(IF(tblParticipants[[#This Row],[AmIndOrAkNtv]]=1,1,0),IF(tblParticipants[[#This Row],[Asian]]=1,1,0),IF(tblParticipants[[#This Row],[BlkOrAfAmer]]=1,1,0),IF(tblParticipants[[#This Row],[NtvHawOrPacIsl]]=1,1,0),IF(tblParticipants[[#This Row],[White]]=1,1,0))&gt;1,1,0)</f>
        <v>0</v>
      </c>
      <c r="BY39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9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9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91" s="11">
        <f>IF(tblParticipants[[#This Row],[EarnWg2Qae]]=1,IFERROR(tblParticipants[[#This Row],[HoursPerWk2Qae]]*tblParticipants[[#This Row],[HrlyWg2Qae]]*13,0),0)</f>
        <v>0</v>
      </c>
      <c r="CC391" s="11">
        <f>IF(tblParticipants[[#This Row],[EarnWg3Qae]]=1,IFERROR(tblParticipants[[#This Row],[HoursPerWk3Qae]]*tblParticipants[[#This Row],[HrlyWg3Qae]]*13,0),0)</f>
        <v>0</v>
      </c>
      <c r="CD391" s="9">
        <f>IFERROR(IF(SUM(tblParticipants[[#This Row],[EarnWg1Qae]],tblParticipants[[#This Row],[EarnWg2Qae]],tblParticipants[[#This Row],[EarnWg3Qae]])=3,1,0),0)</f>
        <v>0</v>
      </c>
      <c r="CE391" s="12">
        <f>IF(tblParticipants[[#This Row],[EmplAll3Qae]]=1,tblParticipants[[#This Row],[Earnings2Qae]]+tblParticipants[[#This Row],[Earnings3Qae]],0)</f>
        <v>0</v>
      </c>
      <c r="CF391" s="407"/>
    </row>
    <row r="392" spans="1:84" x14ac:dyDescent="0.3">
      <c r="A392" s="19"/>
      <c r="B392" s="19"/>
      <c r="C392" s="20"/>
      <c r="D392" s="20"/>
      <c r="E392" s="26"/>
      <c r="F392" s="26"/>
      <c r="G392" s="26"/>
      <c r="H392" s="26"/>
      <c r="I392" s="26"/>
      <c r="J392" s="26"/>
      <c r="K392" s="26"/>
      <c r="L392" s="26"/>
      <c r="M392" s="20"/>
      <c r="N392" s="26"/>
      <c r="O392" s="22"/>
      <c r="P392" s="21"/>
      <c r="Q392" s="23"/>
      <c r="R392" s="21"/>
      <c r="S392" s="21"/>
      <c r="T392" s="21"/>
      <c r="U392" s="21"/>
      <c r="V392" s="21"/>
      <c r="W392" s="24"/>
      <c r="X392" s="20"/>
      <c r="Y392" s="20"/>
      <c r="Z392" s="21"/>
      <c r="AA392" s="21"/>
      <c r="AB392" s="21"/>
      <c r="AC392" s="21"/>
      <c r="AD392" s="21"/>
      <c r="AE392" s="21"/>
      <c r="AF392" s="21"/>
      <c r="AG392" s="21"/>
      <c r="AH392" s="21"/>
      <c r="AI392" s="25"/>
      <c r="AJ392" s="20"/>
      <c r="AK392" s="21"/>
      <c r="AL392" s="20"/>
      <c r="AM392" s="20"/>
      <c r="AN392" s="20"/>
      <c r="AO392" s="20"/>
      <c r="AP392" s="446"/>
      <c r="AQ392" s="20"/>
      <c r="AR392" s="20"/>
      <c r="AS392" s="20"/>
      <c r="AT392" s="20"/>
      <c r="AU392" s="26"/>
      <c r="AV392" s="98"/>
      <c r="AW392" s="98"/>
      <c r="AX392" s="98"/>
      <c r="AY392" s="98"/>
      <c r="AZ392" s="98"/>
      <c r="BA392" s="217"/>
      <c r="BB392" s="98"/>
      <c r="BC392" s="98"/>
      <c r="BD392" s="98"/>
      <c r="BE392" s="98"/>
      <c r="BF392" s="98"/>
      <c r="BG392" s="219"/>
      <c r="BH392" s="219"/>
      <c r="BI392" s="219"/>
      <c r="BJ392" s="26"/>
      <c r="BK392" s="21"/>
      <c r="BL392" s="21"/>
      <c r="BM392" s="22"/>
      <c r="BN392" s="21"/>
      <c r="BO392" s="21"/>
      <c r="BP392" s="22"/>
      <c r="BQ392" s="21"/>
      <c r="BR392" s="21"/>
      <c r="BS392" s="22"/>
      <c r="BT39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92" s="109" t="str">
        <f>IF(ISNUMBER(tblParticipants[[#This Row],[SvcStartDate]]),IF(AND(tblParticipants[[#This Row],[EnrollQtr]]=1,tblParticipants[[#This Row],[SvcStartDate]]&lt;DATE(conProgYear,7,1)),1,""),"")</f>
        <v/>
      </c>
      <c r="BV39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92" s="232" t="str">
        <f t="shared" ca="1" si="6"/>
        <v/>
      </c>
      <c r="BX392" s="9">
        <f>IF(SUM(IF(tblParticipants[[#This Row],[AmIndOrAkNtv]]=1,1,0),IF(tblParticipants[[#This Row],[Asian]]=1,1,0),IF(tblParticipants[[#This Row],[BlkOrAfAmer]]=1,1,0),IF(tblParticipants[[#This Row],[NtvHawOrPacIsl]]=1,1,0),IF(tblParticipants[[#This Row],[White]]=1,1,0))&gt;1,1,0)</f>
        <v>0</v>
      </c>
      <c r="BY39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9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9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92" s="11">
        <f>IF(tblParticipants[[#This Row],[EarnWg2Qae]]=1,IFERROR(tblParticipants[[#This Row],[HoursPerWk2Qae]]*tblParticipants[[#This Row],[HrlyWg2Qae]]*13,0),0)</f>
        <v>0</v>
      </c>
      <c r="CC392" s="11">
        <f>IF(tblParticipants[[#This Row],[EarnWg3Qae]]=1,IFERROR(tblParticipants[[#This Row],[HoursPerWk3Qae]]*tblParticipants[[#This Row],[HrlyWg3Qae]]*13,0),0)</f>
        <v>0</v>
      </c>
      <c r="CD392" s="9">
        <f>IFERROR(IF(SUM(tblParticipants[[#This Row],[EarnWg1Qae]],tblParticipants[[#This Row],[EarnWg2Qae]],tblParticipants[[#This Row],[EarnWg3Qae]])=3,1,0),0)</f>
        <v>0</v>
      </c>
      <c r="CE392" s="12">
        <f>IF(tblParticipants[[#This Row],[EmplAll3Qae]]=1,tblParticipants[[#This Row],[Earnings2Qae]]+tblParticipants[[#This Row],[Earnings3Qae]],0)</f>
        <v>0</v>
      </c>
      <c r="CF392" s="407"/>
    </row>
    <row r="393" spans="1:84" x14ac:dyDescent="0.3">
      <c r="A393" s="19"/>
      <c r="B393" s="19"/>
      <c r="C393" s="20"/>
      <c r="D393" s="20"/>
      <c r="E393" s="26"/>
      <c r="F393" s="26"/>
      <c r="G393" s="26"/>
      <c r="H393" s="26"/>
      <c r="I393" s="26"/>
      <c r="J393" s="26"/>
      <c r="K393" s="26"/>
      <c r="L393" s="26"/>
      <c r="M393" s="20"/>
      <c r="N393" s="26"/>
      <c r="O393" s="22"/>
      <c r="P393" s="21"/>
      <c r="Q393" s="23"/>
      <c r="R393" s="21"/>
      <c r="S393" s="21"/>
      <c r="T393" s="21"/>
      <c r="U393" s="21"/>
      <c r="V393" s="21"/>
      <c r="W393" s="24"/>
      <c r="X393" s="20"/>
      <c r="Y393" s="20"/>
      <c r="Z393" s="21"/>
      <c r="AA393" s="21"/>
      <c r="AB393" s="21"/>
      <c r="AC393" s="21"/>
      <c r="AD393" s="21"/>
      <c r="AE393" s="21"/>
      <c r="AF393" s="21"/>
      <c r="AG393" s="21"/>
      <c r="AH393" s="21"/>
      <c r="AI393" s="25"/>
      <c r="AJ393" s="20"/>
      <c r="AK393" s="21"/>
      <c r="AL393" s="20"/>
      <c r="AM393" s="20"/>
      <c r="AN393" s="20"/>
      <c r="AO393" s="20"/>
      <c r="AP393" s="446"/>
      <c r="AQ393" s="20"/>
      <c r="AR393" s="20"/>
      <c r="AS393" s="20"/>
      <c r="AT393" s="20"/>
      <c r="AU393" s="26"/>
      <c r="AV393" s="98"/>
      <c r="AW393" s="98"/>
      <c r="AX393" s="98"/>
      <c r="AY393" s="98"/>
      <c r="AZ393" s="98"/>
      <c r="BA393" s="217"/>
      <c r="BB393" s="98"/>
      <c r="BC393" s="98"/>
      <c r="BD393" s="98"/>
      <c r="BE393" s="98"/>
      <c r="BF393" s="98"/>
      <c r="BG393" s="219"/>
      <c r="BH393" s="219"/>
      <c r="BI393" s="219"/>
      <c r="BJ393" s="26"/>
      <c r="BK393" s="21"/>
      <c r="BL393" s="21"/>
      <c r="BM393" s="22"/>
      <c r="BN393" s="21"/>
      <c r="BO393" s="21"/>
      <c r="BP393" s="22"/>
      <c r="BQ393" s="21"/>
      <c r="BR393" s="21"/>
      <c r="BS393" s="22"/>
      <c r="BT39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93" s="109" t="str">
        <f>IF(ISNUMBER(tblParticipants[[#This Row],[SvcStartDate]]),IF(AND(tblParticipants[[#This Row],[EnrollQtr]]=1,tblParticipants[[#This Row],[SvcStartDate]]&lt;DATE(conProgYear,7,1)),1,""),"")</f>
        <v/>
      </c>
      <c r="BV39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93" s="232" t="str">
        <f t="shared" ca="1" si="6"/>
        <v/>
      </c>
      <c r="BX393" s="9">
        <f>IF(SUM(IF(tblParticipants[[#This Row],[AmIndOrAkNtv]]=1,1,0),IF(tblParticipants[[#This Row],[Asian]]=1,1,0),IF(tblParticipants[[#This Row],[BlkOrAfAmer]]=1,1,0),IF(tblParticipants[[#This Row],[NtvHawOrPacIsl]]=1,1,0),IF(tblParticipants[[#This Row],[White]]=1,1,0))&gt;1,1,0)</f>
        <v>0</v>
      </c>
      <c r="BY39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9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9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93" s="11">
        <f>IF(tblParticipants[[#This Row],[EarnWg2Qae]]=1,IFERROR(tblParticipants[[#This Row],[HoursPerWk2Qae]]*tblParticipants[[#This Row],[HrlyWg2Qae]]*13,0),0)</f>
        <v>0</v>
      </c>
      <c r="CC393" s="11">
        <f>IF(tblParticipants[[#This Row],[EarnWg3Qae]]=1,IFERROR(tblParticipants[[#This Row],[HoursPerWk3Qae]]*tblParticipants[[#This Row],[HrlyWg3Qae]]*13,0),0)</f>
        <v>0</v>
      </c>
      <c r="CD393" s="9">
        <f>IFERROR(IF(SUM(tblParticipants[[#This Row],[EarnWg1Qae]],tblParticipants[[#This Row],[EarnWg2Qae]],tblParticipants[[#This Row],[EarnWg3Qae]])=3,1,0),0)</f>
        <v>0</v>
      </c>
      <c r="CE393" s="12">
        <f>IF(tblParticipants[[#This Row],[EmplAll3Qae]]=1,tblParticipants[[#This Row],[Earnings2Qae]]+tblParticipants[[#This Row],[Earnings3Qae]],0)</f>
        <v>0</v>
      </c>
      <c r="CF393" s="407"/>
    </row>
    <row r="394" spans="1:84" x14ac:dyDescent="0.3">
      <c r="A394" s="19"/>
      <c r="B394" s="19"/>
      <c r="C394" s="20"/>
      <c r="D394" s="20"/>
      <c r="E394" s="26"/>
      <c r="F394" s="26"/>
      <c r="G394" s="26"/>
      <c r="H394" s="26"/>
      <c r="I394" s="26"/>
      <c r="J394" s="26"/>
      <c r="K394" s="26"/>
      <c r="L394" s="26"/>
      <c r="M394" s="20"/>
      <c r="N394" s="26"/>
      <c r="O394" s="22"/>
      <c r="P394" s="21"/>
      <c r="Q394" s="23"/>
      <c r="R394" s="21"/>
      <c r="S394" s="21"/>
      <c r="T394" s="21"/>
      <c r="U394" s="21"/>
      <c r="V394" s="21"/>
      <c r="W394" s="24"/>
      <c r="X394" s="20"/>
      <c r="Y394" s="20"/>
      <c r="Z394" s="21"/>
      <c r="AA394" s="21"/>
      <c r="AB394" s="21"/>
      <c r="AC394" s="21"/>
      <c r="AD394" s="21"/>
      <c r="AE394" s="21"/>
      <c r="AF394" s="21"/>
      <c r="AG394" s="21"/>
      <c r="AH394" s="21"/>
      <c r="AI394" s="25"/>
      <c r="AJ394" s="20"/>
      <c r="AK394" s="21"/>
      <c r="AL394" s="20"/>
      <c r="AM394" s="20"/>
      <c r="AN394" s="20"/>
      <c r="AO394" s="20"/>
      <c r="AP394" s="446"/>
      <c r="AQ394" s="20"/>
      <c r="AR394" s="20"/>
      <c r="AS394" s="20"/>
      <c r="AT394" s="20"/>
      <c r="AU394" s="26"/>
      <c r="AV394" s="98"/>
      <c r="AW394" s="98"/>
      <c r="AX394" s="98"/>
      <c r="AY394" s="98"/>
      <c r="AZ394" s="98"/>
      <c r="BA394" s="217"/>
      <c r="BB394" s="98"/>
      <c r="BC394" s="98"/>
      <c r="BD394" s="98"/>
      <c r="BE394" s="98"/>
      <c r="BF394" s="98"/>
      <c r="BG394" s="219"/>
      <c r="BH394" s="219"/>
      <c r="BI394" s="219"/>
      <c r="BJ394" s="26"/>
      <c r="BK394" s="21"/>
      <c r="BL394" s="21"/>
      <c r="BM394" s="22"/>
      <c r="BN394" s="21"/>
      <c r="BO394" s="21"/>
      <c r="BP394" s="22"/>
      <c r="BQ394" s="21"/>
      <c r="BR394" s="21"/>
      <c r="BS394" s="22"/>
      <c r="BT39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94" s="109" t="str">
        <f>IF(ISNUMBER(tblParticipants[[#This Row],[SvcStartDate]]),IF(AND(tblParticipants[[#This Row],[EnrollQtr]]=1,tblParticipants[[#This Row],[SvcStartDate]]&lt;DATE(conProgYear,7,1)),1,""),"")</f>
        <v/>
      </c>
      <c r="BV39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94" s="232" t="str">
        <f t="shared" ca="1" si="6"/>
        <v/>
      </c>
      <c r="BX394" s="9">
        <f>IF(SUM(IF(tblParticipants[[#This Row],[AmIndOrAkNtv]]=1,1,0),IF(tblParticipants[[#This Row],[Asian]]=1,1,0),IF(tblParticipants[[#This Row],[BlkOrAfAmer]]=1,1,0),IF(tblParticipants[[#This Row],[NtvHawOrPacIsl]]=1,1,0),IF(tblParticipants[[#This Row],[White]]=1,1,0))&gt;1,1,0)</f>
        <v>0</v>
      </c>
      <c r="BY39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9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9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94" s="11">
        <f>IF(tblParticipants[[#This Row],[EarnWg2Qae]]=1,IFERROR(tblParticipants[[#This Row],[HoursPerWk2Qae]]*tblParticipants[[#This Row],[HrlyWg2Qae]]*13,0),0)</f>
        <v>0</v>
      </c>
      <c r="CC394" s="11">
        <f>IF(tblParticipants[[#This Row],[EarnWg3Qae]]=1,IFERROR(tblParticipants[[#This Row],[HoursPerWk3Qae]]*tblParticipants[[#This Row],[HrlyWg3Qae]]*13,0),0)</f>
        <v>0</v>
      </c>
      <c r="CD394" s="9">
        <f>IFERROR(IF(SUM(tblParticipants[[#This Row],[EarnWg1Qae]],tblParticipants[[#This Row],[EarnWg2Qae]],tblParticipants[[#This Row],[EarnWg3Qae]])=3,1,0),0)</f>
        <v>0</v>
      </c>
      <c r="CE394" s="12">
        <f>IF(tblParticipants[[#This Row],[EmplAll3Qae]]=1,tblParticipants[[#This Row],[Earnings2Qae]]+tblParticipants[[#This Row],[Earnings3Qae]],0)</f>
        <v>0</v>
      </c>
      <c r="CF394" s="407"/>
    </row>
    <row r="395" spans="1:84" x14ac:dyDescent="0.3">
      <c r="A395" s="19"/>
      <c r="B395" s="19"/>
      <c r="C395" s="20"/>
      <c r="D395" s="20"/>
      <c r="E395" s="26"/>
      <c r="F395" s="26"/>
      <c r="G395" s="26"/>
      <c r="H395" s="26"/>
      <c r="I395" s="26"/>
      <c r="J395" s="26"/>
      <c r="K395" s="26"/>
      <c r="L395" s="26"/>
      <c r="M395" s="20"/>
      <c r="N395" s="26"/>
      <c r="O395" s="22"/>
      <c r="P395" s="21"/>
      <c r="Q395" s="23"/>
      <c r="R395" s="21"/>
      <c r="S395" s="21"/>
      <c r="T395" s="21"/>
      <c r="U395" s="21"/>
      <c r="V395" s="21"/>
      <c r="W395" s="24"/>
      <c r="X395" s="20"/>
      <c r="Y395" s="20"/>
      <c r="Z395" s="21"/>
      <c r="AA395" s="21"/>
      <c r="AB395" s="21"/>
      <c r="AC395" s="21"/>
      <c r="AD395" s="21"/>
      <c r="AE395" s="21"/>
      <c r="AF395" s="21"/>
      <c r="AG395" s="21"/>
      <c r="AH395" s="21"/>
      <c r="AI395" s="25"/>
      <c r="AJ395" s="20"/>
      <c r="AK395" s="21"/>
      <c r="AL395" s="20"/>
      <c r="AM395" s="20"/>
      <c r="AN395" s="20"/>
      <c r="AO395" s="20"/>
      <c r="AP395" s="446"/>
      <c r="AQ395" s="20"/>
      <c r="AR395" s="20"/>
      <c r="AS395" s="20"/>
      <c r="AT395" s="20"/>
      <c r="AU395" s="26"/>
      <c r="AV395" s="98"/>
      <c r="AW395" s="98"/>
      <c r="AX395" s="98"/>
      <c r="AY395" s="98"/>
      <c r="AZ395" s="98"/>
      <c r="BA395" s="217"/>
      <c r="BB395" s="98"/>
      <c r="BC395" s="98"/>
      <c r="BD395" s="98"/>
      <c r="BE395" s="98"/>
      <c r="BF395" s="98"/>
      <c r="BG395" s="219"/>
      <c r="BH395" s="219"/>
      <c r="BI395" s="219"/>
      <c r="BJ395" s="26"/>
      <c r="BK395" s="21"/>
      <c r="BL395" s="21"/>
      <c r="BM395" s="22"/>
      <c r="BN395" s="21"/>
      <c r="BO395" s="21"/>
      <c r="BP395" s="22"/>
      <c r="BQ395" s="21"/>
      <c r="BR395" s="21"/>
      <c r="BS395" s="22"/>
      <c r="BT39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95" s="109" t="str">
        <f>IF(ISNUMBER(tblParticipants[[#This Row],[SvcStartDate]]),IF(AND(tblParticipants[[#This Row],[EnrollQtr]]=1,tblParticipants[[#This Row],[SvcStartDate]]&lt;DATE(conProgYear,7,1)),1,""),"")</f>
        <v/>
      </c>
      <c r="BV39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95" s="232" t="str">
        <f t="shared" ca="1" si="6"/>
        <v/>
      </c>
      <c r="BX395" s="9">
        <f>IF(SUM(IF(tblParticipants[[#This Row],[AmIndOrAkNtv]]=1,1,0),IF(tblParticipants[[#This Row],[Asian]]=1,1,0),IF(tblParticipants[[#This Row],[BlkOrAfAmer]]=1,1,0),IF(tblParticipants[[#This Row],[NtvHawOrPacIsl]]=1,1,0),IF(tblParticipants[[#This Row],[White]]=1,1,0))&gt;1,1,0)</f>
        <v>0</v>
      </c>
      <c r="BY39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9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9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95" s="11">
        <f>IF(tblParticipants[[#This Row],[EarnWg2Qae]]=1,IFERROR(tblParticipants[[#This Row],[HoursPerWk2Qae]]*tblParticipants[[#This Row],[HrlyWg2Qae]]*13,0),0)</f>
        <v>0</v>
      </c>
      <c r="CC395" s="11">
        <f>IF(tblParticipants[[#This Row],[EarnWg3Qae]]=1,IFERROR(tblParticipants[[#This Row],[HoursPerWk3Qae]]*tblParticipants[[#This Row],[HrlyWg3Qae]]*13,0),0)</f>
        <v>0</v>
      </c>
      <c r="CD395" s="9">
        <f>IFERROR(IF(SUM(tblParticipants[[#This Row],[EarnWg1Qae]],tblParticipants[[#This Row],[EarnWg2Qae]],tblParticipants[[#This Row],[EarnWg3Qae]])=3,1,0),0)</f>
        <v>0</v>
      </c>
      <c r="CE395" s="12">
        <f>IF(tblParticipants[[#This Row],[EmplAll3Qae]]=1,tblParticipants[[#This Row],[Earnings2Qae]]+tblParticipants[[#This Row],[Earnings3Qae]],0)</f>
        <v>0</v>
      </c>
      <c r="CF395" s="407"/>
    </row>
    <row r="396" spans="1:84" x14ac:dyDescent="0.3">
      <c r="A396" s="19"/>
      <c r="B396" s="19"/>
      <c r="C396" s="20"/>
      <c r="D396" s="20"/>
      <c r="E396" s="26"/>
      <c r="F396" s="26"/>
      <c r="G396" s="26"/>
      <c r="H396" s="26"/>
      <c r="I396" s="26"/>
      <c r="J396" s="26"/>
      <c r="K396" s="26"/>
      <c r="L396" s="26"/>
      <c r="M396" s="20"/>
      <c r="N396" s="26"/>
      <c r="O396" s="22"/>
      <c r="P396" s="21"/>
      <c r="Q396" s="23"/>
      <c r="R396" s="21"/>
      <c r="S396" s="21"/>
      <c r="T396" s="21"/>
      <c r="U396" s="21"/>
      <c r="V396" s="21"/>
      <c r="W396" s="24"/>
      <c r="X396" s="20"/>
      <c r="Y396" s="20"/>
      <c r="Z396" s="21"/>
      <c r="AA396" s="21"/>
      <c r="AB396" s="21"/>
      <c r="AC396" s="21"/>
      <c r="AD396" s="21"/>
      <c r="AE396" s="21"/>
      <c r="AF396" s="21"/>
      <c r="AG396" s="21"/>
      <c r="AH396" s="21"/>
      <c r="AI396" s="25"/>
      <c r="AJ396" s="20"/>
      <c r="AK396" s="21"/>
      <c r="AL396" s="20"/>
      <c r="AM396" s="20"/>
      <c r="AN396" s="20"/>
      <c r="AO396" s="20"/>
      <c r="AP396" s="446"/>
      <c r="AQ396" s="20"/>
      <c r="AR396" s="20"/>
      <c r="AS396" s="20"/>
      <c r="AT396" s="20"/>
      <c r="AU396" s="26"/>
      <c r="AV396" s="98"/>
      <c r="AW396" s="98"/>
      <c r="AX396" s="98"/>
      <c r="AY396" s="98"/>
      <c r="AZ396" s="98"/>
      <c r="BA396" s="217"/>
      <c r="BB396" s="98"/>
      <c r="BC396" s="98"/>
      <c r="BD396" s="98"/>
      <c r="BE396" s="98"/>
      <c r="BF396" s="98"/>
      <c r="BG396" s="219"/>
      <c r="BH396" s="219"/>
      <c r="BI396" s="219"/>
      <c r="BJ396" s="26"/>
      <c r="BK396" s="21"/>
      <c r="BL396" s="21"/>
      <c r="BM396" s="22"/>
      <c r="BN396" s="21"/>
      <c r="BO396" s="21"/>
      <c r="BP396" s="22"/>
      <c r="BQ396" s="21"/>
      <c r="BR396" s="21"/>
      <c r="BS396" s="22"/>
      <c r="BT39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96" s="109" t="str">
        <f>IF(ISNUMBER(tblParticipants[[#This Row],[SvcStartDate]]),IF(AND(tblParticipants[[#This Row],[EnrollQtr]]=1,tblParticipants[[#This Row],[SvcStartDate]]&lt;DATE(conProgYear,7,1)),1,""),"")</f>
        <v/>
      </c>
      <c r="BV39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96" s="232" t="str">
        <f t="shared" ca="1" si="6"/>
        <v/>
      </c>
      <c r="BX396" s="9">
        <f>IF(SUM(IF(tblParticipants[[#This Row],[AmIndOrAkNtv]]=1,1,0),IF(tblParticipants[[#This Row],[Asian]]=1,1,0),IF(tblParticipants[[#This Row],[BlkOrAfAmer]]=1,1,0),IF(tblParticipants[[#This Row],[NtvHawOrPacIsl]]=1,1,0),IF(tblParticipants[[#This Row],[White]]=1,1,0))&gt;1,1,0)</f>
        <v>0</v>
      </c>
      <c r="BY39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9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9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96" s="11">
        <f>IF(tblParticipants[[#This Row],[EarnWg2Qae]]=1,IFERROR(tblParticipants[[#This Row],[HoursPerWk2Qae]]*tblParticipants[[#This Row],[HrlyWg2Qae]]*13,0),0)</f>
        <v>0</v>
      </c>
      <c r="CC396" s="11">
        <f>IF(tblParticipants[[#This Row],[EarnWg3Qae]]=1,IFERROR(tblParticipants[[#This Row],[HoursPerWk3Qae]]*tblParticipants[[#This Row],[HrlyWg3Qae]]*13,0),0)</f>
        <v>0</v>
      </c>
      <c r="CD396" s="9">
        <f>IFERROR(IF(SUM(tblParticipants[[#This Row],[EarnWg1Qae]],tblParticipants[[#This Row],[EarnWg2Qae]],tblParticipants[[#This Row],[EarnWg3Qae]])=3,1,0),0)</f>
        <v>0</v>
      </c>
      <c r="CE396" s="12">
        <f>IF(tblParticipants[[#This Row],[EmplAll3Qae]]=1,tblParticipants[[#This Row],[Earnings2Qae]]+tblParticipants[[#This Row],[Earnings3Qae]],0)</f>
        <v>0</v>
      </c>
      <c r="CF396" s="407"/>
    </row>
    <row r="397" spans="1:84" x14ac:dyDescent="0.3">
      <c r="A397" s="19"/>
      <c r="B397" s="19"/>
      <c r="C397" s="20"/>
      <c r="D397" s="20"/>
      <c r="E397" s="26"/>
      <c r="F397" s="26"/>
      <c r="G397" s="26"/>
      <c r="H397" s="26"/>
      <c r="I397" s="26"/>
      <c r="J397" s="26"/>
      <c r="K397" s="26"/>
      <c r="L397" s="26"/>
      <c r="M397" s="20"/>
      <c r="N397" s="26"/>
      <c r="O397" s="22"/>
      <c r="P397" s="21"/>
      <c r="Q397" s="23"/>
      <c r="R397" s="21"/>
      <c r="S397" s="21"/>
      <c r="T397" s="21"/>
      <c r="U397" s="21"/>
      <c r="V397" s="21"/>
      <c r="W397" s="24"/>
      <c r="X397" s="20"/>
      <c r="Y397" s="20"/>
      <c r="Z397" s="21"/>
      <c r="AA397" s="21"/>
      <c r="AB397" s="21"/>
      <c r="AC397" s="21"/>
      <c r="AD397" s="21"/>
      <c r="AE397" s="21"/>
      <c r="AF397" s="21"/>
      <c r="AG397" s="21"/>
      <c r="AH397" s="21"/>
      <c r="AI397" s="25"/>
      <c r="AJ397" s="20"/>
      <c r="AK397" s="21"/>
      <c r="AL397" s="20"/>
      <c r="AM397" s="20"/>
      <c r="AN397" s="20"/>
      <c r="AO397" s="20"/>
      <c r="AP397" s="446"/>
      <c r="AQ397" s="20"/>
      <c r="AR397" s="20"/>
      <c r="AS397" s="20"/>
      <c r="AT397" s="20"/>
      <c r="AU397" s="26"/>
      <c r="AV397" s="98"/>
      <c r="AW397" s="98"/>
      <c r="AX397" s="98"/>
      <c r="AY397" s="98"/>
      <c r="AZ397" s="98"/>
      <c r="BA397" s="217"/>
      <c r="BB397" s="98"/>
      <c r="BC397" s="98"/>
      <c r="BD397" s="98"/>
      <c r="BE397" s="98"/>
      <c r="BF397" s="98"/>
      <c r="BG397" s="219"/>
      <c r="BH397" s="219"/>
      <c r="BI397" s="219"/>
      <c r="BJ397" s="26"/>
      <c r="BK397" s="21"/>
      <c r="BL397" s="21"/>
      <c r="BM397" s="22"/>
      <c r="BN397" s="21"/>
      <c r="BO397" s="21"/>
      <c r="BP397" s="22"/>
      <c r="BQ397" s="21"/>
      <c r="BR397" s="21"/>
      <c r="BS397" s="22"/>
      <c r="BT39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97" s="109" t="str">
        <f>IF(ISNUMBER(tblParticipants[[#This Row],[SvcStartDate]]),IF(AND(tblParticipants[[#This Row],[EnrollQtr]]=1,tblParticipants[[#This Row],[SvcStartDate]]&lt;DATE(conProgYear,7,1)),1,""),"")</f>
        <v/>
      </c>
      <c r="BV39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97" s="232" t="str">
        <f t="shared" ca="1" si="6"/>
        <v/>
      </c>
      <c r="BX397" s="9">
        <f>IF(SUM(IF(tblParticipants[[#This Row],[AmIndOrAkNtv]]=1,1,0),IF(tblParticipants[[#This Row],[Asian]]=1,1,0),IF(tblParticipants[[#This Row],[BlkOrAfAmer]]=1,1,0),IF(tblParticipants[[#This Row],[NtvHawOrPacIsl]]=1,1,0),IF(tblParticipants[[#This Row],[White]]=1,1,0))&gt;1,1,0)</f>
        <v>0</v>
      </c>
      <c r="BY39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9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9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97" s="11">
        <f>IF(tblParticipants[[#This Row],[EarnWg2Qae]]=1,IFERROR(tblParticipants[[#This Row],[HoursPerWk2Qae]]*tblParticipants[[#This Row],[HrlyWg2Qae]]*13,0),0)</f>
        <v>0</v>
      </c>
      <c r="CC397" s="11">
        <f>IF(tblParticipants[[#This Row],[EarnWg3Qae]]=1,IFERROR(tblParticipants[[#This Row],[HoursPerWk3Qae]]*tblParticipants[[#This Row],[HrlyWg3Qae]]*13,0),0)</f>
        <v>0</v>
      </c>
      <c r="CD397" s="9">
        <f>IFERROR(IF(SUM(tblParticipants[[#This Row],[EarnWg1Qae]],tblParticipants[[#This Row],[EarnWg2Qae]],tblParticipants[[#This Row],[EarnWg3Qae]])=3,1,0),0)</f>
        <v>0</v>
      </c>
      <c r="CE397" s="12">
        <f>IF(tblParticipants[[#This Row],[EmplAll3Qae]]=1,tblParticipants[[#This Row],[Earnings2Qae]]+tblParticipants[[#This Row],[Earnings3Qae]],0)</f>
        <v>0</v>
      </c>
      <c r="CF397" s="407"/>
    </row>
    <row r="398" spans="1:84" x14ac:dyDescent="0.3">
      <c r="A398" s="19"/>
      <c r="B398" s="19"/>
      <c r="C398" s="20"/>
      <c r="D398" s="20"/>
      <c r="E398" s="26"/>
      <c r="F398" s="26"/>
      <c r="G398" s="26"/>
      <c r="H398" s="26"/>
      <c r="I398" s="26"/>
      <c r="J398" s="26"/>
      <c r="K398" s="26"/>
      <c r="L398" s="26"/>
      <c r="M398" s="20"/>
      <c r="N398" s="26"/>
      <c r="O398" s="22"/>
      <c r="P398" s="21"/>
      <c r="Q398" s="23"/>
      <c r="R398" s="21"/>
      <c r="S398" s="21"/>
      <c r="T398" s="21"/>
      <c r="U398" s="21"/>
      <c r="V398" s="21"/>
      <c r="W398" s="24"/>
      <c r="X398" s="20"/>
      <c r="Y398" s="20"/>
      <c r="Z398" s="21"/>
      <c r="AA398" s="21"/>
      <c r="AB398" s="21"/>
      <c r="AC398" s="21"/>
      <c r="AD398" s="21"/>
      <c r="AE398" s="21"/>
      <c r="AF398" s="21"/>
      <c r="AG398" s="21"/>
      <c r="AH398" s="21"/>
      <c r="AI398" s="25"/>
      <c r="AJ398" s="20"/>
      <c r="AK398" s="21"/>
      <c r="AL398" s="20"/>
      <c r="AM398" s="20"/>
      <c r="AN398" s="20"/>
      <c r="AO398" s="20"/>
      <c r="AP398" s="446"/>
      <c r="AQ398" s="20"/>
      <c r="AR398" s="20"/>
      <c r="AS398" s="20"/>
      <c r="AT398" s="20"/>
      <c r="AU398" s="26"/>
      <c r="AV398" s="98"/>
      <c r="AW398" s="98"/>
      <c r="AX398" s="98"/>
      <c r="AY398" s="98"/>
      <c r="AZ398" s="98"/>
      <c r="BA398" s="217"/>
      <c r="BB398" s="98"/>
      <c r="BC398" s="98"/>
      <c r="BD398" s="98"/>
      <c r="BE398" s="98"/>
      <c r="BF398" s="98"/>
      <c r="BG398" s="219"/>
      <c r="BH398" s="219"/>
      <c r="BI398" s="219"/>
      <c r="BJ398" s="26"/>
      <c r="BK398" s="21"/>
      <c r="BL398" s="21"/>
      <c r="BM398" s="22"/>
      <c r="BN398" s="21"/>
      <c r="BO398" s="21"/>
      <c r="BP398" s="22"/>
      <c r="BQ398" s="21"/>
      <c r="BR398" s="21"/>
      <c r="BS398" s="22"/>
      <c r="BT39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98" s="109" t="str">
        <f>IF(ISNUMBER(tblParticipants[[#This Row],[SvcStartDate]]),IF(AND(tblParticipants[[#This Row],[EnrollQtr]]=1,tblParticipants[[#This Row],[SvcStartDate]]&lt;DATE(conProgYear,7,1)),1,""),"")</f>
        <v/>
      </c>
      <c r="BV39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98" s="232" t="str">
        <f t="shared" ca="1" si="6"/>
        <v/>
      </c>
      <c r="BX398" s="9">
        <f>IF(SUM(IF(tblParticipants[[#This Row],[AmIndOrAkNtv]]=1,1,0),IF(tblParticipants[[#This Row],[Asian]]=1,1,0),IF(tblParticipants[[#This Row],[BlkOrAfAmer]]=1,1,0),IF(tblParticipants[[#This Row],[NtvHawOrPacIsl]]=1,1,0),IF(tblParticipants[[#This Row],[White]]=1,1,0))&gt;1,1,0)</f>
        <v>0</v>
      </c>
      <c r="BY39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9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9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98" s="11">
        <f>IF(tblParticipants[[#This Row],[EarnWg2Qae]]=1,IFERROR(tblParticipants[[#This Row],[HoursPerWk2Qae]]*tblParticipants[[#This Row],[HrlyWg2Qae]]*13,0),0)</f>
        <v>0</v>
      </c>
      <c r="CC398" s="11">
        <f>IF(tblParticipants[[#This Row],[EarnWg3Qae]]=1,IFERROR(tblParticipants[[#This Row],[HoursPerWk3Qae]]*tblParticipants[[#This Row],[HrlyWg3Qae]]*13,0),0)</f>
        <v>0</v>
      </c>
      <c r="CD398" s="9">
        <f>IFERROR(IF(SUM(tblParticipants[[#This Row],[EarnWg1Qae]],tblParticipants[[#This Row],[EarnWg2Qae]],tblParticipants[[#This Row],[EarnWg3Qae]])=3,1,0),0)</f>
        <v>0</v>
      </c>
      <c r="CE398" s="12">
        <f>IF(tblParticipants[[#This Row],[EmplAll3Qae]]=1,tblParticipants[[#This Row],[Earnings2Qae]]+tblParticipants[[#This Row],[Earnings3Qae]],0)</f>
        <v>0</v>
      </c>
      <c r="CF398" s="407"/>
    </row>
    <row r="399" spans="1:84" x14ac:dyDescent="0.3">
      <c r="A399" s="19"/>
      <c r="B399" s="19"/>
      <c r="C399" s="20"/>
      <c r="D399" s="20"/>
      <c r="E399" s="26"/>
      <c r="F399" s="26"/>
      <c r="G399" s="26"/>
      <c r="H399" s="26"/>
      <c r="I399" s="26"/>
      <c r="J399" s="26"/>
      <c r="K399" s="26"/>
      <c r="L399" s="26"/>
      <c r="M399" s="20"/>
      <c r="N399" s="26"/>
      <c r="O399" s="22"/>
      <c r="P399" s="21"/>
      <c r="Q399" s="23"/>
      <c r="R399" s="21"/>
      <c r="S399" s="21"/>
      <c r="T399" s="21"/>
      <c r="U399" s="21"/>
      <c r="V399" s="21"/>
      <c r="W399" s="24"/>
      <c r="X399" s="20"/>
      <c r="Y399" s="20"/>
      <c r="Z399" s="21"/>
      <c r="AA399" s="21"/>
      <c r="AB399" s="21"/>
      <c r="AC399" s="21"/>
      <c r="AD399" s="21"/>
      <c r="AE399" s="21"/>
      <c r="AF399" s="21"/>
      <c r="AG399" s="21"/>
      <c r="AH399" s="21"/>
      <c r="AI399" s="25"/>
      <c r="AJ399" s="20"/>
      <c r="AK399" s="21"/>
      <c r="AL399" s="20"/>
      <c r="AM399" s="20"/>
      <c r="AN399" s="20"/>
      <c r="AO399" s="20"/>
      <c r="AP399" s="446"/>
      <c r="AQ399" s="20"/>
      <c r="AR399" s="20"/>
      <c r="AS399" s="20"/>
      <c r="AT399" s="20"/>
      <c r="AU399" s="26"/>
      <c r="AV399" s="98"/>
      <c r="AW399" s="98"/>
      <c r="AX399" s="98"/>
      <c r="AY399" s="98"/>
      <c r="AZ399" s="98"/>
      <c r="BA399" s="217"/>
      <c r="BB399" s="98"/>
      <c r="BC399" s="98"/>
      <c r="BD399" s="98"/>
      <c r="BE399" s="98"/>
      <c r="BF399" s="98"/>
      <c r="BG399" s="219"/>
      <c r="BH399" s="219"/>
      <c r="BI399" s="219"/>
      <c r="BJ399" s="26"/>
      <c r="BK399" s="21"/>
      <c r="BL399" s="21"/>
      <c r="BM399" s="22"/>
      <c r="BN399" s="21"/>
      <c r="BO399" s="21"/>
      <c r="BP399" s="22"/>
      <c r="BQ399" s="21"/>
      <c r="BR399" s="21"/>
      <c r="BS399" s="22"/>
      <c r="BT39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399" s="109" t="str">
        <f>IF(ISNUMBER(tblParticipants[[#This Row],[SvcStartDate]]),IF(AND(tblParticipants[[#This Row],[EnrollQtr]]=1,tblParticipants[[#This Row],[SvcStartDate]]&lt;DATE(conProgYear,7,1)),1,""),"")</f>
        <v/>
      </c>
      <c r="BV39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399" s="232" t="str">
        <f t="shared" ca="1" si="6"/>
        <v/>
      </c>
      <c r="BX399" s="9">
        <f>IF(SUM(IF(tblParticipants[[#This Row],[AmIndOrAkNtv]]=1,1,0),IF(tblParticipants[[#This Row],[Asian]]=1,1,0),IF(tblParticipants[[#This Row],[BlkOrAfAmer]]=1,1,0),IF(tblParticipants[[#This Row],[NtvHawOrPacIsl]]=1,1,0),IF(tblParticipants[[#This Row],[White]]=1,1,0))&gt;1,1,0)</f>
        <v>0</v>
      </c>
      <c r="BY39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39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39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399" s="11">
        <f>IF(tblParticipants[[#This Row],[EarnWg2Qae]]=1,IFERROR(tblParticipants[[#This Row],[HoursPerWk2Qae]]*tblParticipants[[#This Row],[HrlyWg2Qae]]*13,0),0)</f>
        <v>0</v>
      </c>
      <c r="CC399" s="11">
        <f>IF(tblParticipants[[#This Row],[EarnWg3Qae]]=1,IFERROR(tblParticipants[[#This Row],[HoursPerWk3Qae]]*tblParticipants[[#This Row],[HrlyWg3Qae]]*13,0),0)</f>
        <v>0</v>
      </c>
      <c r="CD399" s="9">
        <f>IFERROR(IF(SUM(tblParticipants[[#This Row],[EarnWg1Qae]],tblParticipants[[#This Row],[EarnWg2Qae]],tblParticipants[[#This Row],[EarnWg3Qae]])=3,1,0),0)</f>
        <v>0</v>
      </c>
      <c r="CE399" s="12">
        <f>IF(tblParticipants[[#This Row],[EmplAll3Qae]]=1,tblParticipants[[#This Row],[Earnings2Qae]]+tblParticipants[[#This Row],[Earnings3Qae]],0)</f>
        <v>0</v>
      </c>
      <c r="CF399" s="407"/>
    </row>
    <row r="400" spans="1:84" x14ac:dyDescent="0.3">
      <c r="A400" s="19"/>
      <c r="B400" s="19"/>
      <c r="C400" s="20"/>
      <c r="D400" s="20"/>
      <c r="E400" s="26"/>
      <c r="F400" s="26"/>
      <c r="G400" s="26"/>
      <c r="H400" s="26"/>
      <c r="I400" s="26"/>
      <c r="J400" s="26"/>
      <c r="K400" s="26"/>
      <c r="L400" s="26"/>
      <c r="M400" s="20"/>
      <c r="N400" s="26"/>
      <c r="O400" s="22"/>
      <c r="P400" s="21"/>
      <c r="Q400" s="23"/>
      <c r="R400" s="21"/>
      <c r="S400" s="21"/>
      <c r="T400" s="21"/>
      <c r="U400" s="21"/>
      <c r="V400" s="21"/>
      <c r="W400" s="24"/>
      <c r="X400" s="20"/>
      <c r="Y400" s="20"/>
      <c r="Z400" s="21"/>
      <c r="AA400" s="21"/>
      <c r="AB400" s="21"/>
      <c r="AC400" s="21"/>
      <c r="AD400" s="21"/>
      <c r="AE400" s="21"/>
      <c r="AF400" s="21"/>
      <c r="AG400" s="21"/>
      <c r="AH400" s="21"/>
      <c r="AI400" s="25"/>
      <c r="AJ400" s="20"/>
      <c r="AK400" s="21"/>
      <c r="AL400" s="20"/>
      <c r="AM400" s="20"/>
      <c r="AN400" s="20"/>
      <c r="AO400" s="20"/>
      <c r="AP400" s="446"/>
      <c r="AQ400" s="20"/>
      <c r="AR400" s="20"/>
      <c r="AS400" s="20"/>
      <c r="AT400" s="20"/>
      <c r="AU400" s="26"/>
      <c r="AV400" s="98"/>
      <c r="AW400" s="98"/>
      <c r="AX400" s="98"/>
      <c r="AY400" s="98"/>
      <c r="AZ400" s="98"/>
      <c r="BA400" s="217"/>
      <c r="BB400" s="98"/>
      <c r="BC400" s="98"/>
      <c r="BD400" s="98"/>
      <c r="BE400" s="98"/>
      <c r="BF400" s="98"/>
      <c r="BG400" s="219"/>
      <c r="BH400" s="219"/>
      <c r="BI400" s="219"/>
      <c r="BJ400" s="26"/>
      <c r="BK400" s="21"/>
      <c r="BL400" s="21"/>
      <c r="BM400" s="22"/>
      <c r="BN400" s="21"/>
      <c r="BO400" s="21"/>
      <c r="BP400" s="22"/>
      <c r="BQ400" s="21"/>
      <c r="BR400" s="21"/>
      <c r="BS400" s="22"/>
      <c r="BT40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00" s="109" t="str">
        <f>IF(ISNUMBER(tblParticipants[[#This Row],[SvcStartDate]]),IF(AND(tblParticipants[[#This Row],[EnrollQtr]]=1,tblParticipants[[#This Row],[SvcStartDate]]&lt;DATE(conProgYear,7,1)),1,""),"")</f>
        <v/>
      </c>
      <c r="BV40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00" s="232" t="str">
        <f t="shared" ca="1" si="6"/>
        <v/>
      </c>
      <c r="BX400" s="9">
        <f>IF(SUM(IF(tblParticipants[[#This Row],[AmIndOrAkNtv]]=1,1,0),IF(tblParticipants[[#This Row],[Asian]]=1,1,0),IF(tblParticipants[[#This Row],[BlkOrAfAmer]]=1,1,0),IF(tblParticipants[[#This Row],[NtvHawOrPacIsl]]=1,1,0),IF(tblParticipants[[#This Row],[White]]=1,1,0))&gt;1,1,0)</f>
        <v>0</v>
      </c>
      <c r="BY40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0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0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00" s="11">
        <f>IF(tblParticipants[[#This Row],[EarnWg2Qae]]=1,IFERROR(tblParticipants[[#This Row],[HoursPerWk2Qae]]*tblParticipants[[#This Row],[HrlyWg2Qae]]*13,0),0)</f>
        <v>0</v>
      </c>
      <c r="CC400" s="11">
        <f>IF(tblParticipants[[#This Row],[EarnWg3Qae]]=1,IFERROR(tblParticipants[[#This Row],[HoursPerWk3Qae]]*tblParticipants[[#This Row],[HrlyWg3Qae]]*13,0),0)</f>
        <v>0</v>
      </c>
      <c r="CD400" s="9">
        <f>IFERROR(IF(SUM(tblParticipants[[#This Row],[EarnWg1Qae]],tblParticipants[[#This Row],[EarnWg2Qae]],tblParticipants[[#This Row],[EarnWg3Qae]])=3,1,0),0)</f>
        <v>0</v>
      </c>
      <c r="CE400" s="12">
        <f>IF(tblParticipants[[#This Row],[EmplAll3Qae]]=1,tblParticipants[[#This Row],[Earnings2Qae]]+tblParticipants[[#This Row],[Earnings3Qae]],0)</f>
        <v>0</v>
      </c>
      <c r="CF400" s="407"/>
    </row>
    <row r="401" spans="1:84" x14ac:dyDescent="0.3">
      <c r="A401" s="19"/>
      <c r="B401" s="19"/>
      <c r="C401" s="20"/>
      <c r="D401" s="20"/>
      <c r="E401" s="26"/>
      <c r="F401" s="26"/>
      <c r="G401" s="26"/>
      <c r="H401" s="26"/>
      <c r="I401" s="26"/>
      <c r="J401" s="26"/>
      <c r="K401" s="26"/>
      <c r="L401" s="26"/>
      <c r="M401" s="20"/>
      <c r="N401" s="26"/>
      <c r="O401" s="22"/>
      <c r="P401" s="21"/>
      <c r="Q401" s="23"/>
      <c r="R401" s="21"/>
      <c r="S401" s="21"/>
      <c r="T401" s="21"/>
      <c r="U401" s="21"/>
      <c r="V401" s="21"/>
      <c r="W401" s="24"/>
      <c r="X401" s="20"/>
      <c r="Y401" s="20"/>
      <c r="Z401" s="21"/>
      <c r="AA401" s="21"/>
      <c r="AB401" s="21"/>
      <c r="AC401" s="21"/>
      <c r="AD401" s="21"/>
      <c r="AE401" s="21"/>
      <c r="AF401" s="21"/>
      <c r="AG401" s="21"/>
      <c r="AH401" s="21"/>
      <c r="AI401" s="25"/>
      <c r="AJ401" s="20"/>
      <c r="AK401" s="21"/>
      <c r="AL401" s="20"/>
      <c r="AM401" s="20"/>
      <c r="AN401" s="20"/>
      <c r="AO401" s="20"/>
      <c r="AP401" s="446"/>
      <c r="AQ401" s="20"/>
      <c r="AR401" s="20"/>
      <c r="AS401" s="20"/>
      <c r="AT401" s="20"/>
      <c r="AU401" s="26"/>
      <c r="AV401" s="98"/>
      <c r="AW401" s="98"/>
      <c r="AX401" s="98"/>
      <c r="AY401" s="98"/>
      <c r="AZ401" s="98"/>
      <c r="BA401" s="217"/>
      <c r="BB401" s="98"/>
      <c r="BC401" s="98"/>
      <c r="BD401" s="98"/>
      <c r="BE401" s="98"/>
      <c r="BF401" s="98"/>
      <c r="BG401" s="219"/>
      <c r="BH401" s="219"/>
      <c r="BI401" s="219"/>
      <c r="BJ401" s="26"/>
      <c r="BK401" s="21"/>
      <c r="BL401" s="21"/>
      <c r="BM401" s="22"/>
      <c r="BN401" s="21"/>
      <c r="BO401" s="21"/>
      <c r="BP401" s="22"/>
      <c r="BQ401" s="21"/>
      <c r="BR401" s="21"/>
      <c r="BS401" s="22"/>
      <c r="BT40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01" s="109" t="str">
        <f>IF(ISNUMBER(tblParticipants[[#This Row],[SvcStartDate]]),IF(AND(tblParticipants[[#This Row],[EnrollQtr]]=1,tblParticipants[[#This Row],[SvcStartDate]]&lt;DATE(conProgYear,7,1)),1,""),"")</f>
        <v/>
      </c>
      <c r="BV40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01" s="232" t="str">
        <f t="shared" ca="1" si="6"/>
        <v/>
      </c>
      <c r="BX401" s="9">
        <f>IF(SUM(IF(tblParticipants[[#This Row],[AmIndOrAkNtv]]=1,1,0),IF(tblParticipants[[#This Row],[Asian]]=1,1,0),IF(tblParticipants[[#This Row],[BlkOrAfAmer]]=1,1,0),IF(tblParticipants[[#This Row],[NtvHawOrPacIsl]]=1,1,0),IF(tblParticipants[[#This Row],[White]]=1,1,0))&gt;1,1,0)</f>
        <v>0</v>
      </c>
      <c r="BY40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0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0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01" s="11">
        <f>IF(tblParticipants[[#This Row],[EarnWg2Qae]]=1,IFERROR(tblParticipants[[#This Row],[HoursPerWk2Qae]]*tblParticipants[[#This Row],[HrlyWg2Qae]]*13,0),0)</f>
        <v>0</v>
      </c>
      <c r="CC401" s="11">
        <f>IF(tblParticipants[[#This Row],[EarnWg3Qae]]=1,IFERROR(tblParticipants[[#This Row],[HoursPerWk3Qae]]*tblParticipants[[#This Row],[HrlyWg3Qae]]*13,0),0)</f>
        <v>0</v>
      </c>
      <c r="CD401" s="9">
        <f>IFERROR(IF(SUM(tblParticipants[[#This Row],[EarnWg1Qae]],tblParticipants[[#This Row],[EarnWg2Qae]],tblParticipants[[#This Row],[EarnWg3Qae]])=3,1,0),0)</f>
        <v>0</v>
      </c>
      <c r="CE401" s="12">
        <f>IF(tblParticipants[[#This Row],[EmplAll3Qae]]=1,tblParticipants[[#This Row],[Earnings2Qae]]+tblParticipants[[#This Row],[Earnings3Qae]],0)</f>
        <v>0</v>
      </c>
      <c r="CF401" s="407"/>
    </row>
    <row r="402" spans="1:84" x14ac:dyDescent="0.3">
      <c r="A402" s="19"/>
      <c r="B402" s="19"/>
      <c r="C402" s="20"/>
      <c r="D402" s="20"/>
      <c r="E402" s="26"/>
      <c r="F402" s="26"/>
      <c r="G402" s="26"/>
      <c r="H402" s="26"/>
      <c r="I402" s="26"/>
      <c r="J402" s="26"/>
      <c r="K402" s="26"/>
      <c r="L402" s="26"/>
      <c r="M402" s="20"/>
      <c r="N402" s="26"/>
      <c r="O402" s="22"/>
      <c r="P402" s="21"/>
      <c r="Q402" s="23"/>
      <c r="R402" s="21"/>
      <c r="S402" s="21"/>
      <c r="T402" s="21"/>
      <c r="U402" s="21"/>
      <c r="V402" s="21"/>
      <c r="W402" s="24"/>
      <c r="X402" s="20"/>
      <c r="Y402" s="20"/>
      <c r="Z402" s="21"/>
      <c r="AA402" s="21"/>
      <c r="AB402" s="21"/>
      <c r="AC402" s="21"/>
      <c r="AD402" s="21"/>
      <c r="AE402" s="21"/>
      <c r="AF402" s="21"/>
      <c r="AG402" s="21"/>
      <c r="AH402" s="21"/>
      <c r="AI402" s="25"/>
      <c r="AJ402" s="20"/>
      <c r="AK402" s="21"/>
      <c r="AL402" s="20"/>
      <c r="AM402" s="20"/>
      <c r="AN402" s="20"/>
      <c r="AO402" s="20"/>
      <c r="AP402" s="446"/>
      <c r="AQ402" s="20"/>
      <c r="AR402" s="20"/>
      <c r="AS402" s="20"/>
      <c r="AT402" s="20"/>
      <c r="AU402" s="26"/>
      <c r="AV402" s="98"/>
      <c r="AW402" s="98"/>
      <c r="AX402" s="98"/>
      <c r="AY402" s="98"/>
      <c r="AZ402" s="98"/>
      <c r="BA402" s="217"/>
      <c r="BB402" s="98"/>
      <c r="BC402" s="98"/>
      <c r="BD402" s="98"/>
      <c r="BE402" s="98"/>
      <c r="BF402" s="98"/>
      <c r="BG402" s="219"/>
      <c r="BH402" s="219"/>
      <c r="BI402" s="219"/>
      <c r="BJ402" s="26"/>
      <c r="BK402" s="21"/>
      <c r="BL402" s="21"/>
      <c r="BM402" s="22"/>
      <c r="BN402" s="21"/>
      <c r="BO402" s="21"/>
      <c r="BP402" s="22"/>
      <c r="BQ402" s="21"/>
      <c r="BR402" s="21"/>
      <c r="BS402" s="22"/>
      <c r="BT40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02" s="109" t="str">
        <f>IF(ISNUMBER(tblParticipants[[#This Row],[SvcStartDate]]),IF(AND(tblParticipants[[#This Row],[EnrollQtr]]=1,tblParticipants[[#This Row],[SvcStartDate]]&lt;DATE(conProgYear,7,1)),1,""),"")</f>
        <v/>
      </c>
      <c r="BV40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02" s="232" t="str">
        <f t="shared" ca="1" si="6"/>
        <v/>
      </c>
      <c r="BX402" s="9">
        <f>IF(SUM(IF(tblParticipants[[#This Row],[AmIndOrAkNtv]]=1,1,0),IF(tblParticipants[[#This Row],[Asian]]=1,1,0),IF(tblParticipants[[#This Row],[BlkOrAfAmer]]=1,1,0),IF(tblParticipants[[#This Row],[NtvHawOrPacIsl]]=1,1,0),IF(tblParticipants[[#This Row],[White]]=1,1,0))&gt;1,1,0)</f>
        <v>0</v>
      </c>
      <c r="BY40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0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0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02" s="11">
        <f>IF(tblParticipants[[#This Row],[EarnWg2Qae]]=1,IFERROR(tblParticipants[[#This Row],[HoursPerWk2Qae]]*tblParticipants[[#This Row],[HrlyWg2Qae]]*13,0),0)</f>
        <v>0</v>
      </c>
      <c r="CC402" s="11">
        <f>IF(tblParticipants[[#This Row],[EarnWg3Qae]]=1,IFERROR(tblParticipants[[#This Row],[HoursPerWk3Qae]]*tblParticipants[[#This Row],[HrlyWg3Qae]]*13,0),0)</f>
        <v>0</v>
      </c>
      <c r="CD402" s="9">
        <f>IFERROR(IF(SUM(tblParticipants[[#This Row],[EarnWg1Qae]],tblParticipants[[#This Row],[EarnWg2Qae]],tblParticipants[[#This Row],[EarnWg3Qae]])=3,1,0),0)</f>
        <v>0</v>
      </c>
      <c r="CE402" s="12">
        <f>IF(tblParticipants[[#This Row],[EmplAll3Qae]]=1,tblParticipants[[#This Row],[Earnings2Qae]]+tblParticipants[[#This Row],[Earnings3Qae]],0)</f>
        <v>0</v>
      </c>
      <c r="CF402" s="407"/>
    </row>
    <row r="403" spans="1:84" x14ac:dyDescent="0.3">
      <c r="A403" s="19"/>
      <c r="B403" s="19"/>
      <c r="C403" s="20"/>
      <c r="D403" s="20"/>
      <c r="E403" s="26"/>
      <c r="F403" s="26"/>
      <c r="G403" s="26"/>
      <c r="H403" s="26"/>
      <c r="I403" s="26"/>
      <c r="J403" s="26"/>
      <c r="K403" s="26"/>
      <c r="L403" s="26"/>
      <c r="M403" s="20"/>
      <c r="N403" s="26"/>
      <c r="O403" s="22"/>
      <c r="P403" s="21"/>
      <c r="Q403" s="23"/>
      <c r="R403" s="21"/>
      <c r="S403" s="21"/>
      <c r="T403" s="21"/>
      <c r="U403" s="21"/>
      <c r="V403" s="21"/>
      <c r="W403" s="24"/>
      <c r="X403" s="20"/>
      <c r="Y403" s="20"/>
      <c r="Z403" s="21"/>
      <c r="AA403" s="21"/>
      <c r="AB403" s="21"/>
      <c r="AC403" s="21"/>
      <c r="AD403" s="21"/>
      <c r="AE403" s="21"/>
      <c r="AF403" s="21"/>
      <c r="AG403" s="21"/>
      <c r="AH403" s="21"/>
      <c r="AI403" s="25"/>
      <c r="AJ403" s="20"/>
      <c r="AK403" s="21"/>
      <c r="AL403" s="20"/>
      <c r="AM403" s="20"/>
      <c r="AN403" s="20"/>
      <c r="AO403" s="20"/>
      <c r="AP403" s="446"/>
      <c r="AQ403" s="20"/>
      <c r="AR403" s="20"/>
      <c r="AS403" s="20"/>
      <c r="AT403" s="20"/>
      <c r="AU403" s="26"/>
      <c r="AV403" s="98"/>
      <c r="AW403" s="98"/>
      <c r="AX403" s="98"/>
      <c r="AY403" s="98"/>
      <c r="AZ403" s="98"/>
      <c r="BA403" s="217"/>
      <c r="BB403" s="98"/>
      <c r="BC403" s="98"/>
      <c r="BD403" s="98"/>
      <c r="BE403" s="98"/>
      <c r="BF403" s="98"/>
      <c r="BG403" s="219"/>
      <c r="BH403" s="219"/>
      <c r="BI403" s="219"/>
      <c r="BJ403" s="26"/>
      <c r="BK403" s="21"/>
      <c r="BL403" s="21"/>
      <c r="BM403" s="22"/>
      <c r="BN403" s="21"/>
      <c r="BO403" s="21"/>
      <c r="BP403" s="22"/>
      <c r="BQ403" s="21"/>
      <c r="BR403" s="21"/>
      <c r="BS403" s="22"/>
      <c r="BT40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03" s="109" t="str">
        <f>IF(ISNUMBER(tblParticipants[[#This Row],[SvcStartDate]]),IF(AND(tblParticipants[[#This Row],[EnrollQtr]]=1,tblParticipants[[#This Row],[SvcStartDate]]&lt;DATE(conProgYear,7,1)),1,""),"")</f>
        <v/>
      </c>
      <c r="BV40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03" s="232" t="str">
        <f t="shared" ca="1" si="6"/>
        <v/>
      </c>
      <c r="BX403" s="9">
        <f>IF(SUM(IF(tblParticipants[[#This Row],[AmIndOrAkNtv]]=1,1,0),IF(tblParticipants[[#This Row],[Asian]]=1,1,0),IF(tblParticipants[[#This Row],[BlkOrAfAmer]]=1,1,0),IF(tblParticipants[[#This Row],[NtvHawOrPacIsl]]=1,1,0),IF(tblParticipants[[#This Row],[White]]=1,1,0))&gt;1,1,0)</f>
        <v>0</v>
      </c>
      <c r="BY40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0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0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03" s="11">
        <f>IF(tblParticipants[[#This Row],[EarnWg2Qae]]=1,IFERROR(tblParticipants[[#This Row],[HoursPerWk2Qae]]*tblParticipants[[#This Row],[HrlyWg2Qae]]*13,0),0)</f>
        <v>0</v>
      </c>
      <c r="CC403" s="11">
        <f>IF(tblParticipants[[#This Row],[EarnWg3Qae]]=1,IFERROR(tblParticipants[[#This Row],[HoursPerWk3Qae]]*tblParticipants[[#This Row],[HrlyWg3Qae]]*13,0),0)</f>
        <v>0</v>
      </c>
      <c r="CD403" s="9">
        <f>IFERROR(IF(SUM(tblParticipants[[#This Row],[EarnWg1Qae]],tblParticipants[[#This Row],[EarnWg2Qae]],tblParticipants[[#This Row],[EarnWg3Qae]])=3,1,0),0)</f>
        <v>0</v>
      </c>
      <c r="CE403" s="12">
        <f>IF(tblParticipants[[#This Row],[EmplAll3Qae]]=1,tblParticipants[[#This Row],[Earnings2Qae]]+tblParticipants[[#This Row],[Earnings3Qae]],0)</f>
        <v>0</v>
      </c>
      <c r="CF403" s="407"/>
    </row>
    <row r="404" spans="1:84" x14ac:dyDescent="0.3">
      <c r="A404" s="19"/>
      <c r="B404" s="19"/>
      <c r="C404" s="20"/>
      <c r="D404" s="20"/>
      <c r="E404" s="26"/>
      <c r="F404" s="26"/>
      <c r="G404" s="26"/>
      <c r="H404" s="26"/>
      <c r="I404" s="26"/>
      <c r="J404" s="26"/>
      <c r="K404" s="26"/>
      <c r="L404" s="26"/>
      <c r="M404" s="20"/>
      <c r="N404" s="26"/>
      <c r="O404" s="22"/>
      <c r="P404" s="21"/>
      <c r="Q404" s="23"/>
      <c r="R404" s="21"/>
      <c r="S404" s="21"/>
      <c r="T404" s="21"/>
      <c r="U404" s="21"/>
      <c r="V404" s="21"/>
      <c r="W404" s="24"/>
      <c r="X404" s="20"/>
      <c r="Y404" s="20"/>
      <c r="Z404" s="21"/>
      <c r="AA404" s="21"/>
      <c r="AB404" s="21"/>
      <c r="AC404" s="21"/>
      <c r="AD404" s="21"/>
      <c r="AE404" s="21"/>
      <c r="AF404" s="21"/>
      <c r="AG404" s="21"/>
      <c r="AH404" s="21"/>
      <c r="AI404" s="25"/>
      <c r="AJ404" s="20"/>
      <c r="AK404" s="21"/>
      <c r="AL404" s="20"/>
      <c r="AM404" s="20"/>
      <c r="AN404" s="20"/>
      <c r="AO404" s="20"/>
      <c r="AP404" s="446"/>
      <c r="AQ404" s="20"/>
      <c r="AR404" s="20"/>
      <c r="AS404" s="20"/>
      <c r="AT404" s="20"/>
      <c r="AU404" s="26"/>
      <c r="AV404" s="98"/>
      <c r="AW404" s="98"/>
      <c r="AX404" s="98"/>
      <c r="AY404" s="98"/>
      <c r="AZ404" s="98"/>
      <c r="BA404" s="217"/>
      <c r="BB404" s="98"/>
      <c r="BC404" s="98"/>
      <c r="BD404" s="98"/>
      <c r="BE404" s="98"/>
      <c r="BF404" s="98"/>
      <c r="BG404" s="219"/>
      <c r="BH404" s="219"/>
      <c r="BI404" s="219"/>
      <c r="BJ404" s="26"/>
      <c r="BK404" s="21"/>
      <c r="BL404" s="21"/>
      <c r="BM404" s="22"/>
      <c r="BN404" s="21"/>
      <c r="BO404" s="21"/>
      <c r="BP404" s="22"/>
      <c r="BQ404" s="21"/>
      <c r="BR404" s="21"/>
      <c r="BS404" s="22"/>
      <c r="BT40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04" s="109" t="str">
        <f>IF(ISNUMBER(tblParticipants[[#This Row],[SvcStartDate]]),IF(AND(tblParticipants[[#This Row],[EnrollQtr]]=1,tblParticipants[[#This Row],[SvcStartDate]]&lt;DATE(conProgYear,7,1)),1,""),"")</f>
        <v/>
      </c>
      <c r="BV40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04" s="232" t="str">
        <f t="shared" ca="1" si="6"/>
        <v/>
      </c>
      <c r="BX404" s="9">
        <f>IF(SUM(IF(tblParticipants[[#This Row],[AmIndOrAkNtv]]=1,1,0),IF(tblParticipants[[#This Row],[Asian]]=1,1,0),IF(tblParticipants[[#This Row],[BlkOrAfAmer]]=1,1,0),IF(tblParticipants[[#This Row],[NtvHawOrPacIsl]]=1,1,0),IF(tblParticipants[[#This Row],[White]]=1,1,0))&gt;1,1,0)</f>
        <v>0</v>
      </c>
      <c r="BY40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0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0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04" s="11">
        <f>IF(tblParticipants[[#This Row],[EarnWg2Qae]]=1,IFERROR(tblParticipants[[#This Row],[HoursPerWk2Qae]]*tblParticipants[[#This Row],[HrlyWg2Qae]]*13,0),0)</f>
        <v>0</v>
      </c>
      <c r="CC404" s="11">
        <f>IF(tblParticipants[[#This Row],[EarnWg3Qae]]=1,IFERROR(tblParticipants[[#This Row],[HoursPerWk3Qae]]*tblParticipants[[#This Row],[HrlyWg3Qae]]*13,0),0)</f>
        <v>0</v>
      </c>
      <c r="CD404" s="9">
        <f>IFERROR(IF(SUM(tblParticipants[[#This Row],[EarnWg1Qae]],tblParticipants[[#This Row],[EarnWg2Qae]],tblParticipants[[#This Row],[EarnWg3Qae]])=3,1,0),0)</f>
        <v>0</v>
      </c>
      <c r="CE404" s="12">
        <f>IF(tblParticipants[[#This Row],[EmplAll3Qae]]=1,tblParticipants[[#This Row],[Earnings2Qae]]+tblParticipants[[#This Row],[Earnings3Qae]],0)</f>
        <v>0</v>
      </c>
      <c r="CF404" s="407"/>
    </row>
    <row r="405" spans="1:84" x14ac:dyDescent="0.3">
      <c r="A405" s="19"/>
      <c r="B405" s="19"/>
      <c r="C405" s="20"/>
      <c r="D405" s="20"/>
      <c r="E405" s="26"/>
      <c r="F405" s="26"/>
      <c r="G405" s="26"/>
      <c r="H405" s="26"/>
      <c r="I405" s="26"/>
      <c r="J405" s="26"/>
      <c r="K405" s="26"/>
      <c r="L405" s="26"/>
      <c r="M405" s="20"/>
      <c r="N405" s="26"/>
      <c r="O405" s="22"/>
      <c r="P405" s="21"/>
      <c r="Q405" s="23"/>
      <c r="R405" s="21"/>
      <c r="S405" s="21"/>
      <c r="T405" s="21"/>
      <c r="U405" s="21"/>
      <c r="V405" s="21"/>
      <c r="W405" s="24"/>
      <c r="X405" s="20"/>
      <c r="Y405" s="20"/>
      <c r="Z405" s="21"/>
      <c r="AA405" s="21"/>
      <c r="AB405" s="21"/>
      <c r="AC405" s="21"/>
      <c r="AD405" s="21"/>
      <c r="AE405" s="21"/>
      <c r="AF405" s="21"/>
      <c r="AG405" s="21"/>
      <c r="AH405" s="21"/>
      <c r="AI405" s="25"/>
      <c r="AJ405" s="20"/>
      <c r="AK405" s="21"/>
      <c r="AL405" s="20"/>
      <c r="AM405" s="20"/>
      <c r="AN405" s="20"/>
      <c r="AO405" s="20"/>
      <c r="AP405" s="446"/>
      <c r="AQ405" s="20"/>
      <c r="AR405" s="20"/>
      <c r="AS405" s="20"/>
      <c r="AT405" s="20"/>
      <c r="AU405" s="26"/>
      <c r="AV405" s="98"/>
      <c r="AW405" s="98"/>
      <c r="AX405" s="98"/>
      <c r="AY405" s="98"/>
      <c r="AZ405" s="98"/>
      <c r="BA405" s="217"/>
      <c r="BB405" s="98"/>
      <c r="BC405" s="98"/>
      <c r="BD405" s="98"/>
      <c r="BE405" s="98"/>
      <c r="BF405" s="98"/>
      <c r="BG405" s="219"/>
      <c r="BH405" s="219"/>
      <c r="BI405" s="219"/>
      <c r="BJ405" s="26"/>
      <c r="BK405" s="21"/>
      <c r="BL405" s="21"/>
      <c r="BM405" s="22"/>
      <c r="BN405" s="21"/>
      <c r="BO405" s="21"/>
      <c r="BP405" s="22"/>
      <c r="BQ405" s="21"/>
      <c r="BR405" s="21"/>
      <c r="BS405" s="22"/>
      <c r="BT40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05" s="109" t="str">
        <f>IF(ISNUMBER(tblParticipants[[#This Row],[SvcStartDate]]),IF(AND(tblParticipants[[#This Row],[EnrollQtr]]=1,tblParticipants[[#This Row],[SvcStartDate]]&lt;DATE(conProgYear,7,1)),1,""),"")</f>
        <v/>
      </c>
      <c r="BV40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05" s="232" t="str">
        <f t="shared" ca="1" si="6"/>
        <v/>
      </c>
      <c r="BX405" s="9">
        <f>IF(SUM(IF(tblParticipants[[#This Row],[AmIndOrAkNtv]]=1,1,0),IF(tblParticipants[[#This Row],[Asian]]=1,1,0),IF(tblParticipants[[#This Row],[BlkOrAfAmer]]=1,1,0),IF(tblParticipants[[#This Row],[NtvHawOrPacIsl]]=1,1,0),IF(tblParticipants[[#This Row],[White]]=1,1,0))&gt;1,1,0)</f>
        <v>0</v>
      </c>
      <c r="BY40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0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0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05" s="11">
        <f>IF(tblParticipants[[#This Row],[EarnWg2Qae]]=1,IFERROR(tblParticipants[[#This Row],[HoursPerWk2Qae]]*tblParticipants[[#This Row],[HrlyWg2Qae]]*13,0),0)</f>
        <v>0</v>
      </c>
      <c r="CC405" s="11">
        <f>IF(tblParticipants[[#This Row],[EarnWg3Qae]]=1,IFERROR(tblParticipants[[#This Row],[HoursPerWk3Qae]]*tblParticipants[[#This Row],[HrlyWg3Qae]]*13,0),0)</f>
        <v>0</v>
      </c>
      <c r="CD405" s="9">
        <f>IFERROR(IF(SUM(tblParticipants[[#This Row],[EarnWg1Qae]],tblParticipants[[#This Row],[EarnWg2Qae]],tblParticipants[[#This Row],[EarnWg3Qae]])=3,1,0),0)</f>
        <v>0</v>
      </c>
      <c r="CE405" s="12">
        <f>IF(tblParticipants[[#This Row],[EmplAll3Qae]]=1,tblParticipants[[#This Row],[Earnings2Qae]]+tblParticipants[[#This Row],[Earnings3Qae]],0)</f>
        <v>0</v>
      </c>
      <c r="CF405" s="407"/>
    </row>
    <row r="406" spans="1:84" x14ac:dyDescent="0.3">
      <c r="A406" s="19"/>
      <c r="B406" s="19"/>
      <c r="C406" s="20"/>
      <c r="D406" s="20"/>
      <c r="E406" s="26"/>
      <c r="F406" s="26"/>
      <c r="G406" s="26"/>
      <c r="H406" s="26"/>
      <c r="I406" s="26"/>
      <c r="J406" s="26"/>
      <c r="K406" s="26"/>
      <c r="L406" s="26"/>
      <c r="M406" s="20"/>
      <c r="N406" s="26"/>
      <c r="O406" s="22"/>
      <c r="P406" s="21"/>
      <c r="Q406" s="23"/>
      <c r="R406" s="21"/>
      <c r="S406" s="21"/>
      <c r="T406" s="21"/>
      <c r="U406" s="21"/>
      <c r="V406" s="21"/>
      <c r="W406" s="24"/>
      <c r="X406" s="20"/>
      <c r="Y406" s="20"/>
      <c r="Z406" s="21"/>
      <c r="AA406" s="21"/>
      <c r="AB406" s="21"/>
      <c r="AC406" s="21"/>
      <c r="AD406" s="21"/>
      <c r="AE406" s="21"/>
      <c r="AF406" s="21"/>
      <c r="AG406" s="21"/>
      <c r="AH406" s="21"/>
      <c r="AI406" s="25"/>
      <c r="AJ406" s="20"/>
      <c r="AK406" s="21"/>
      <c r="AL406" s="20"/>
      <c r="AM406" s="20"/>
      <c r="AN406" s="20"/>
      <c r="AO406" s="20"/>
      <c r="AP406" s="446"/>
      <c r="AQ406" s="20"/>
      <c r="AR406" s="20"/>
      <c r="AS406" s="20"/>
      <c r="AT406" s="20"/>
      <c r="AU406" s="26"/>
      <c r="AV406" s="98"/>
      <c r="AW406" s="98"/>
      <c r="AX406" s="98"/>
      <c r="AY406" s="98"/>
      <c r="AZ406" s="98"/>
      <c r="BA406" s="217"/>
      <c r="BB406" s="98"/>
      <c r="BC406" s="98"/>
      <c r="BD406" s="98"/>
      <c r="BE406" s="98"/>
      <c r="BF406" s="98"/>
      <c r="BG406" s="219"/>
      <c r="BH406" s="219"/>
      <c r="BI406" s="219"/>
      <c r="BJ406" s="26"/>
      <c r="BK406" s="21"/>
      <c r="BL406" s="21"/>
      <c r="BM406" s="22"/>
      <c r="BN406" s="21"/>
      <c r="BO406" s="21"/>
      <c r="BP406" s="22"/>
      <c r="BQ406" s="21"/>
      <c r="BR406" s="21"/>
      <c r="BS406" s="22"/>
      <c r="BT40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06" s="109" t="str">
        <f>IF(ISNUMBER(tblParticipants[[#This Row],[SvcStartDate]]),IF(AND(tblParticipants[[#This Row],[EnrollQtr]]=1,tblParticipants[[#This Row],[SvcStartDate]]&lt;DATE(conProgYear,7,1)),1,""),"")</f>
        <v/>
      </c>
      <c r="BV40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06" s="232" t="str">
        <f t="shared" ca="1" si="6"/>
        <v/>
      </c>
      <c r="BX406" s="9">
        <f>IF(SUM(IF(tblParticipants[[#This Row],[AmIndOrAkNtv]]=1,1,0),IF(tblParticipants[[#This Row],[Asian]]=1,1,0),IF(tblParticipants[[#This Row],[BlkOrAfAmer]]=1,1,0),IF(tblParticipants[[#This Row],[NtvHawOrPacIsl]]=1,1,0),IF(tblParticipants[[#This Row],[White]]=1,1,0))&gt;1,1,0)</f>
        <v>0</v>
      </c>
      <c r="BY40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0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0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06" s="11">
        <f>IF(tblParticipants[[#This Row],[EarnWg2Qae]]=1,IFERROR(tblParticipants[[#This Row],[HoursPerWk2Qae]]*tblParticipants[[#This Row],[HrlyWg2Qae]]*13,0),0)</f>
        <v>0</v>
      </c>
      <c r="CC406" s="11">
        <f>IF(tblParticipants[[#This Row],[EarnWg3Qae]]=1,IFERROR(tblParticipants[[#This Row],[HoursPerWk3Qae]]*tblParticipants[[#This Row],[HrlyWg3Qae]]*13,0),0)</f>
        <v>0</v>
      </c>
      <c r="CD406" s="9">
        <f>IFERROR(IF(SUM(tblParticipants[[#This Row],[EarnWg1Qae]],tblParticipants[[#This Row],[EarnWg2Qae]],tblParticipants[[#This Row],[EarnWg3Qae]])=3,1,0),0)</f>
        <v>0</v>
      </c>
      <c r="CE406" s="12">
        <f>IF(tblParticipants[[#This Row],[EmplAll3Qae]]=1,tblParticipants[[#This Row],[Earnings2Qae]]+tblParticipants[[#This Row],[Earnings3Qae]],0)</f>
        <v>0</v>
      </c>
      <c r="CF406" s="407"/>
    </row>
    <row r="407" spans="1:84" x14ac:dyDescent="0.3">
      <c r="A407" s="19"/>
      <c r="B407" s="19"/>
      <c r="C407" s="20"/>
      <c r="D407" s="20"/>
      <c r="E407" s="26"/>
      <c r="F407" s="26"/>
      <c r="G407" s="26"/>
      <c r="H407" s="26"/>
      <c r="I407" s="26"/>
      <c r="J407" s="26"/>
      <c r="K407" s="26"/>
      <c r="L407" s="26"/>
      <c r="M407" s="20"/>
      <c r="N407" s="26"/>
      <c r="O407" s="22"/>
      <c r="P407" s="21"/>
      <c r="Q407" s="23"/>
      <c r="R407" s="21"/>
      <c r="S407" s="21"/>
      <c r="T407" s="21"/>
      <c r="U407" s="21"/>
      <c r="V407" s="21"/>
      <c r="W407" s="24"/>
      <c r="X407" s="20"/>
      <c r="Y407" s="20"/>
      <c r="Z407" s="21"/>
      <c r="AA407" s="21"/>
      <c r="AB407" s="21"/>
      <c r="AC407" s="21"/>
      <c r="AD407" s="21"/>
      <c r="AE407" s="21"/>
      <c r="AF407" s="21"/>
      <c r="AG407" s="21"/>
      <c r="AH407" s="21"/>
      <c r="AI407" s="25"/>
      <c r="AJ407" s="20"/>
      <c r="AK407" s="21"/>
      <c r="AL407" s="20"/>
      <c r="AM407" s="20"/>
      <c r="AN407" s="20"/>
      <c r="AO407" s="20"/>
      <c r="AP407" s="446"/>
      <c r="AQ407" s="20"/>
      <c r="AR407" s="20"/>
      <c r="AS407" s="20"/>
      <c r="AT407" s="20"/>
      <c r="AU407" s="26"/>
      <c r="AV407" s="98"/>
      <c r="AW407" s="98"/>
      <c r="AX407" s="98"/>
      <c r="AY407" s="98"/>
      <c r="AZ407" s="98"/>
      <c r="BA407" s="217"/>
      <c r="BB407" s="98"/>
      <c r="BC407" s="98"/>
      <c r="BD407" s="98"/>
      <c r="BE407" s="98"/>
      <c r="BF407" s="98"/>
      <c r="BG407" s="219"/>
      <c r="BH407" s="219"/>
      <c r="BI407" s="219"/>
      <c r="BJ407" s="26"/>
      <c r="BK407" s="21"/>
      <c r="BL407" s="21"/>
      <c r="BM407" s="22"/>
      <c r="BN407" s="21"/>
      <c r="BO407" s="21"/>
      <c r="BP407" s="22"/>
      <c r="BQ407" s="21"/>
      <c r="BR407" s="21"/>
      <c r="BS407" s="22"/>
      <c r="BT40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07" s="109" t="str">
        <f>IF(ISNUMBER(tblParticipants[[#This Row],[SvcStartDate]]),IF(AND(tblParticipants[[#This Row],[EnrollQtr]]=1,tblParticipants[[#This Row],[SvcStartDate]]&lt;DATE(conProgYear,7,1)),1,""),"")</f>
        <v/>
      </c>
      <c r="BV40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07" s="232" t="str">
        <f t="shared" ca="1" si="6"/>
        <v/>
      </c>
      <c r="BX407" s="9">
        <f>IF(SUM(IF(tblParticipants[[#This Row],[AmIndOrAkNtv]]=1,1,0),IF(tblParticipants[[#This Row],[Asian]]=1,1,0),IF(tblParticipants[[#This Row],[BlkOrAfAmer]]=1,1,0),IF(tblParticipants[[#This Row],[NtvHawOrPacIsl]]=1,1,0),IF(tblParticipants[[#This Row],[White]]=1,1,0))&gt;1,1,0)</f>
        <v>0</v>
      </c>
      <c r="BY40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0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0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07" s="11">
        <f>IF(tblParticipants[[#This Row],[EarnWg2Qae]]=1,IFERROR(tblParticipants[[#This Row],[HoursPerWk2Qae]]*tblParticipants[[#This Row],[HrlyWg2Qae]]*13,0),0)</f>
        <v>0</v>
      </c>
      <c r="CC407" s="11">
        <f>IF(tblParticipants[[#This Row],[EarnWg3Qae]]=1,IFERROR(tblParticipants[[#This Row],[HoursPerWk3Qae]]*tblParticipants[[#This Row],[HrlyWg3Qae]]*13,0),0)</f>
        <v>0</v>
      </c>
      <c r="CD407" s="9">
        <f>IFERROR(IF(SUM(tblParticipants[[#This Row],[EarnWg1Qae]],tblParticipants[[#This Row],[EarnWg2Qae]],tblParticipants[[#This Row],[EarnWg3Qae]])=3,1,0),0)</f>
        <v>0</v>
      </c>
      <c r="CE407" s="12">
        <f>IF(tblParticipants[[#This Row],[EmplAll3Qae]]=1,tblParticipants[[#This Row],[Earnings2Qae]]+tblParticipants[[#This Row],[Earnings3Qae]],0)</f>
        <v>0</v>
      </c>
      <c r="CF407" s="407"/>
    </row>
    <row r="408" spans="1:84" x14ac:dyDescent="0.3">
      <c r="A408" s="19"/>
      <c r="B408" s="19"/>
      <c r="C408" s="20"/>
      <c r="D408" s="20"/>
      <c r="E408" s="26"/>
      <c r="F408" s="26"/>
      <c r="G408" s="26"/>
      <c r="H408" s="26"/>
      <c r="I408" s="26"/>
      <c r="J408" s="26"/>
      <c r="K408" s="26"/>
      <c r="L408" s="26"/>
      <c r="M408" s="20"/>
      <c r="N408" s="26"/>
      <c r="O408" s="22"/>
      <c r="P408" s="21"/>
      <c r="Q408" s="23"/>
      <c r="R408" s="21"/>
      <c r="S408" s="21"/>
      <c r="T408" s="21"/>
      <c r="U408" s="21"/>
      <c r="V408" s="21"/>
      <c r="W408" s="24"/>
      <c r="X408" s="20"/>
      <c r="Y408" s="20"/>
      <c r="Z408" s="21"/>
      <c r="AA408" s="21"/>
      <c r="AB408" s="21"/>
      <c r="AC408" s="21"/>
      <c r="AD408" s="21"/>
      <c r="AE408" s="21"/>
      <c r="AF408" s="21"/>
      <c r="AG408" s="21"/>
      <c r="AH408" s="21"/>
      <c r="AI408" s="25"/>
      <c r="AJ408" s="20"/>
      <c r="AK408" s="21"/>
      <c r="AL408" s="20"/>
      <c r="AM408" s="20"/>
      <c r="AN408" s="20"/>
      <c r="AO408" s="20"/>
      <c r="AP408" s="446"/>
      <c r="AQ408" s="20"/>
      <c r="AR408" s="20"/>
      <c r="AS408" s="20"/>
      <c r="AT408" s="20"/>
      <c r="AU408" s="26"/>
      <c r="AV408" s="98"/>
      <c r="AW408" s="98"/>
      <c r="AX408" s="98"/>
      <c r="AY408" s="98"/>
      <c r="AZ408" s="98"/>
      <c r="BA408" s="217"/>
      <c r="BB408" s="98"/>
      <c r="BC408" s="98"/>
      <c r="BD408" s="98"/>
      <c r="BE408" s="98"/>
      <c r="BF408" s="98"/>
      <c r="BG408" s="219"/>
      <c r="BH408" s="219"/>
      <c r="BI408" s="219"/>
      <c r="BJ408" s="26"/>
      <c r="BK408" s="21"/>
      <c r="BL408" s="21"/>
      <c r="BM408" s="22"/>
      <c r="BN408" s="21"/>
      <c r="BO408" s="21"/>
      <c r="BP408" s="22"/>
      <c r="BQ408" s="21"/>
      <c r="BR408" s="21"/>
      <c r="BS408" s="22"/>
      <c r="BT40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08" s="109" t="str">
        <f>IF(ISNUMBER(tblParticipants[[#This Row],[SvcStartDate]]),IF(AND(tblParticipants[[#This Row],[EnrollQtr]]=1,tblParticipants[[#This Row],[SvcStartDate]]&lt;DATE(conProgYear,7,1)),1,""),"")</f>
        <v/>
      </c>
      <c r="BV40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08" s="232" t="str">
        <f t="shared" ca="1" si="6"/>
        <v/>
      </c>
      <c r="BX408" s="9">
        <f>IF(SUM(IF(tblParticipants[[#This Row],[AmIndOrAkNtv]]=1,1,0),IF(tblParticipants[[#This Row],[Asian]]=1,1,0),IF(tblParticipants[[#This Row],[BlkOrAfAmer]]=1,1,0),IF(tblParticipants[[#This Row],[NtvHawOrPacIsl]]=1,1,0),IF(tblParticipants[[#This Row],[White]]=1,1,0))&gt;1,1,0)</f>
        <v>0</v>
      </c>
      <c r="BY40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0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0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08" s="11">
        <f>IF(tblParticipants[[#This Row],[EarnWg2Qae]]=1,IFERROR(tblParticipants[[#This Row],[HoursPerWk2Qae]]*tblParticipants[[#This Row],[HrlyWg2Qae]]*13,0),0)</f>
        <v>0</v>
      </c>
      <c r="CC408" s="11">
        <f>IF(tblParticipants[[#This Row],[EarnWg3Qae]]=1,IFERROR(tblParticipants[[#This Row],[HoursPerWk3Qae]]*tblParticipants[[#This Row],[HrlyWg3Qae]]*13,0),0)</f>
        <v>0</v>
      </c>
      <c r="CD408" s="9">
        <f>IFERROR(IF(SUM(tblParticipants[[#This Row],[EarnWg1Qae]],tblParticipants[[#This Row],[EarnWg2Qae]],tblParticipants[[#This Row],[EarnWg3Qae]])=3,1,0),0)</f>
        <v>0</v>
      </c>
      <c r="CE408" s="12">
        <f>IF(tblParticipants[[#This Row],[EmplAll3Qae]]=1,tblParticipants[[#This Row],[Earnings2Qae]]+tblParticipants[[#This Row],[Earnings3Qae]],0)</f>
        <v>0</v>
      </c>
      <c r="CF408" s="407"/>
    </row>
    <row r="409" spans="1:84" x14ac:dyDescent="0.3">
      <c r="A409" s="19"/>
      <c r="B409" s="19"/>
      <c r="C409" s="20"/>
      <c r="D409" s="20"/>
      <c r="E409" s="26"/>
      <c r="F409" s="26"/>
      <c r="G409" s="26"/>
      <c r="H409" s="26"/>
      <c r="I409" s="26"/>
      <c r="J409" s="26"/>
      <c r="K409" s="26"/>
      <c r="L409" s="26"/>
      <c r="M409" s="20"/>
      <c r="N409" s="26"/>
      <c r="O409" s="22"/>
      <c r="P409" s="21"/>
      <c r="Q409" s="23"/>
      <c r="R409" s="21"/>
      <c r="S409" s="21"/>
      <c r="T409" s="21"/>
      <c r="U409" s="21"/>
      <c r="V409" s="21"/>
      <c r="W409" s="24"/>
      <c r="X409" s="20"/>
      <c r="Y409" s="20"/>
      <c r="Z409" s="21"/>
      <c r="AA409" s="21"/>
      <c r="AB409" s="21"/>
      <c r="AC409" s="21"/>
      <c r="AD409" s="21"/>
      <c r="AE409" s="21"/>
      <c r="AF409" s="21"/>
      <c r="AG409" s="21"/>
      <c r="AH409" s="21"/>
      <c r="AI409" s="25"/>
      <c r="AJ409" s="20"/>
      <c r="AK409" s="21"/>
      <c r="AL409" s="20"/>
      <c r="AM409" s="20"/>
      <c r="AN409" s="20"/>
      <c r="AO409" s="20"/>
      <c r="AP409" s="446"/>
      <c r="AQ409" s="20"/>
      <c r="AR409" s="20"/>
      <c r="AS409" s="20"/>
      <c r="AT409" s="20"/>
      <c r="AU409" s="26"/>
      <c r="AV409" s="98"/>
      <c r="AW409" s="98"/>
      <c r="AX409" s="98"/>
      <c r="AY409" s="98"/>
      <c r="AZ409" s="98"/>
      <c r="BA409" s="217"/>
      <c r="BB409" s="98"/>
      <c r="BC409" s="98"/>
      <c r="BD409" s="98"/>
      <c r="BE409" s="98"/>
      <c r="BF409" s="98"/>
      <c r="BG409" s="219"/>
      <c r="BH409" s="219"/>
      <c r="BI409" s="219"/>
      <c r="BJ409" s="26"/>
      <c r="BK409" s="21"/>
      <c r="BL409" s="21"/>
      <c r="BM409" s="22"/>
      <c r="BN409" s="21"/>
      <c r="BO409" s="21"/>
      <c r="BP409" s="22"/>
      <c r="BQ409" s="21"/>
      <c r="BR409" s="21"/>
      <c r="BS409" s="22"/>
      <c r="BT40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09" s="109" t="str">
        <f>IF(ISNUMBER(tblParticipants[[#This Row],[SvcStartDate]]),IF(AND(tblParticipants[[#This Row],[EnrollQtr]]=1,tblParticipants[[#This Row],[SvcStartDate]]&lt;DATE(conProgYear,7,1)),1,""),"")</f>
        <v/>
      </c>
      <c r="BV40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09" s="232" t="str">
        <f t="shared" ca="1" si="6"/>
        <v/>
      </c>
      <c r="BX409" s="9">
        <f>IF(SUM(IF(tblParticipants[[#This Row],[AmIndOrAkNtv]]=1,1,0),IF(tblParticipants[[#This Row],[Asian]]=1,1,0),IF(tblParticipants[[#This Row],[BlkOrAfAmer]]=1,1,0),IF(tblParticipants[[#This Row],[NtvHawOrPacIsl]]=1,1,0),IF(tblParticipants[[#This Row],[White]]=1,1,0))&gt;1,1,0)</f>
        <v>0</v>
      </c>
      <c r="BY40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0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0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09" s="11">
        <f>IF(tblParticipants[[#This Row],[EarnWg2Qae]]=1,IFERROR(tblParticipants[[#This Row],[HoursPerWk2Qae]]*tblParticipants[[#This Row],[HrlyWg2Qae]]*13,0),0)</f>
        <v>0</v>
      </c>
      <c r="CC409" s="11">
        <f>IF(tblParticipants[[#This Row],[EarnWg3Qae]]=1,IFERROR(tblParticipants[[#This Row],[HoursPerWk3Qae]]*tblParticipants[[#This Row],[HrlyWg3Qae]]*13,0),0)</f>
        <v>0</v>
      </c>
      <c r="CD409" s="9">
        <f>IFERROR(IF(SUM(tblParticipants[[#This Row],[EarnWg1Qae]],tblParticipants[[#This Row],[EarnWg2Qae]],tblParticipants[[#This Row],[EarnWg3Qae]])=3,1,0),0)</f>
        <v>0</v>
      </c>
      <c r="CE409" s="12">
        <f>IF(tblParticipants[[#This Row],[EmplAll3Qae]]=1,tblParticipants[[#This Row],[Earnings2Qae]]+tblParticipants[[#This Row],[Earnings3Qae]],0)</f>
        <v>0</v>
      </c>
      <c r="CF409" s="407"/>
    </row>
    <row r="410" spans="1:84" x14ac:dyDescent="0.3">
      <c r="A410" s="19"/>
      <c r="B410" s="19"/>
      <c r="C410" s="20"/>
      <c r="D410" s="20"/>
      <c r="E410" s="26"/>
      <c r="F410" s="26"/>
      <c r="G410" s="26"/>
      <c r="H410" s="26"/>
      <c r="I410" s="26"/>
      <c r="J410" s="26"/>
      <c r="K410" s="26"/>
      <c r="L410" s="26"/>
      <c r="M410" s="20"/>
      <c r="N410" s="26"/>
      <c r="O410" s="22"/>
      <c r="P410" s="21"/>
      <c r="Q410" s="23"/>
      <c r="R410" s="21"/>
      <c r="S410" s="21"/>
      <c r="T410" s="21"/>
      <c r="U410" s="21"/>
      <c r="V410" s="21"/>
      <c r="W410" s="24"/>
      <c r="X410" s="20"/>
      <c r="Y410" s="20"/>
      <c r="Z410" s="21"/>
      <c r="AA410" s="21"/>
      <c r="AB410" s="21"/>
      <c r="AC410" s="21"/>
      <c r="AD410" s="21"/>
      <c r="AE410" s="21"/>
      <c r="AF410" s="21"/>
      <c r="AG410" s="21"/>
      <c r="AH410" s="21"/>
      <c r="AI410" s="25"/>
      <c r="AJ410" s="20"/>
      <c r="AK410" s="21"/>
      <c r="AL410" s="20"/>
      <c r="AM410" s="20"/>
      <c r="AN410" s="20"/>
      <c r="AO410" s="20"/>
      <c r="AP410" s="446"/>
      <c r="AQ410" s="20"/>
      <c r="AR410" s="20"/>
      <c r="AS410" s="20"/>
      <c r="AT410" s="20"/>
      <c r="AU410" s="26"/>
      <c r="AV410" s="98"/>
      <c r="AW410" s="98"/>
      <c r="AX410" s="98"/>
      <c r="AY410" s="98"/>
      <c r="AZ410" s="98"/>
      <c r="BA410" s="217"/>
      <c r="BB410" s="98"/>
      <c r="BC410" s="98"/>
      <c r="BD410" s="98"/>
      <c r="BE410" s="98"/>
      <c r="BF410" s="98"/>
      <c r="BG410" s="219"/>
      <c r="BH410" s="219"/>
      <c r="BI410" s="219"/>
      <c r="BJ410" s="26"/>
      <c r="BK410" s="21"/>
      <c r="BL410" s="21"/>
      <c r="BM410" s="22"/>
      <c r="BN410" s="21"/>
      <c r="BO410" s="21"/>
      <c r="BP410" s="22"/>
      <c r="BQ410" s="21"/>
      <c r="BR410" s="21"/>
      <c r="BS410" s="22"/>
      <c r="BT41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10" s="109" t="str">
        <f>IF(ISNUMBER(tblParticipants[[#This Row],[SvcStartDate]]),IF(AND(tblParticipants[[#This Row],[EnrollQtr]]=1,tblParticipants[[#This Row],[SvcStartDate]]&lt;DATE(conProgYear,7,1)),1,""),"")</f>
        <v/>
      </c>
      <c r="BV41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10" s="232" t="str">
        <f t="shared" ca="1" si="6"/>
        <v/>
      </c>
      <c r="BX410" s="9">
        <f>IF(SUM(IF(tblParticipants[[#This Row],[AmIndOrAkNtv]]=1,1,0),IF(tblParticipants[[#This Row],[Asian]]=1,1,0),IF(tblParticipants[[#This Row],[BlkOrAfAmer]]=1,1,0),IF(tblParticipants[[#This Row],[NtvHawOrPacIsl]]=1,1,0),IF(tblParticipants[[#This Row],[White]]=1,1,0))&gt;1,1,0)</f>
        <v>0</v>
      </c>
      <c r="BY41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1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1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10" s="11">
        <f>IF(tblParticipants[[#This Row],[EarnWg2Qae]]=1,IFERROR(tblParticipants[[#This Row],[HoursPerWk2Qae]]*tblParticipants[[#This Row],[HrlyWg2Qae]]*13,0),0)</f>
        <v>0</v>
      </c>
      <c r="CC410" s="11">
        <f>IF(tblParticipants[[#This Row],[EarnWg3Qae]]=1,IFERROR(tblParticipants[[#This Row],[HoursPerWk3Qae]]*tblParticipants[[#This Row],[HrlyWg3Qae]]*13,0),0)</f>
        <v>0</v>
      </c>
      <c r="CD410" s="9">
        <f>IFERROR(IF(SUM(tblParticipants[[#This Row],[EarnWg1Qae]],tblParticipants[[#This Row],[EarnWg2Qae]],tblParticipants[[#This Row],[EarnWg3Qae]])=3,1,0),0)</f>
        <v>0</v>
      </c>
      <c r="CE410" s="12">
        <f>IF(tblParticipants[[#This Row],[EmplAll3Qae]]=1,tblParticipants[[#This Row],[Earnings2Qae]]+tblParticipants[[#This Row],[Earnings3Qae]],0)</f>
        <v>0</v>
      </c>
      <c r="CF410" s="407"/>
    </row>
    <row r="411" spans="1:84" x14ac:dyDescent="0.3">
      <c r="A411" s="19"/>
      <c r="B411" s="19"/>
      <c r="C411" s="20"/>
      <c r="D411" s="20"/>
      <c r="E411" s="26"/>
      <c r="F411" s="26"/>
      <c r="G411" s="26"/>
      <c r="H411" s="26"/>
      <c r="I411" s="26"/>
      <c r="J411" s="26"/>
      <c r="K411" s="26"/>
      <c r="L411" s="26"/>
      <c r="M411" s="20"/>
      <c r="N411" s="26"/>
      <c r="O411" s="22"/>
      <c r="P411" s="21"/>
      <c r="Q411" s="23"/>
      <c r="R411" s="21"/>
      <c r="S411" s="21"/>
      <c r="T411" s="21"/>
      <c r="U411" s="21"/>
      <c r="V411" s="21"/>
      <c r="W411" s="24"/>
      <c r="X411" s="20"/>
      <c r="Y411" s="20"/>
      <c r="Z411" s="21"/>
      <c r="AA411" s="21"/>
      <c r="AB411" s="21"/>
      <c r="AC411" s="21"/>
      <c r="AD411" s="21"/>
      <c r="AE411" s="21"/>
      <c r="AF411" s="21"/>
      <c r="AG411" s="21"/>
      <c r="AH411" s="21"/>
      <c r="AI411" s="25"/>
      <c r="AJ411" s="20"/>
      <c r="AK411" s="21"/>
      <c r="AL411" s="20"/>
      <c r="AM411" s="20"/>
      <c r="AN411" s="20"/>
      <c r="AO411" s="20"/>
      <c r="AP411" s="446"/>
      <c r="AQ411" s="20"/>
      <c r="AR411" s="20"/>
      <c r="AS411" s="20"/>
      <c r="AT411" s="20"/>
      <c r="AU411" s="26"/>
      <c r="AV411" s="98"/>
      <c r="AW411" s="98"/>
      <c r="AX411" s="98"/>
      <c r="AY411" s="98"/>
      <c r="AZ411" s="98"/>
      <c r="BA411" s="217"/>
      <c r="BB411" s="98"/>
      <c r="BC411" s="98"/>
      <c r="BD411" s="98"/>
      <c r="BE411" s="98"/>
      <c r="BF411" s="98"/>
      <c r="BG411" s="219"/>
      <c r="BH411" s="219"/>
      <c r="BI411" s="219"/>
      <c r="BJ411" s="26"/>
      <c r="BK411" s="21"/>
      <c r="BL411" s="21"/>
      <c r="BM411" s="22"/>
      <c r="BN411" s="21"/>
      <c r="BO411" s="21"/>
      <c r="BP411" s="22"/>
      <c r="BQ411" s="21"/>
      <c r="BR411" s="21"/>
      <c r="BS411" s="22"/>
      <c r="BT41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11" s="109" t="str">
        <f>IF(ISNUMBER(tblParticipants[[#This Row],[SvcStartDate]]),IF(AND(tblParticipants[[#This Row],[EnrollQtr]]=1,tblParticipants[[#This Row],[SvcStartDate]]&lt;DATE(conProgYear,7,1)),1,""),"")</f>
        <v/>
      </c>
      <c r="BV41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11" s="232" t="str">
        <f t="shared" ca="1" si="6"/>
        <v/>
      </c>
      <c r="BX411" s="9">
        <f>IF(SUM(IF(tblParticipants[[#This Row],[AmIndOrAkNtv]]=1,1,0),IF(tblParticipants[[#This Row],[Asian]]=1,1,0),IF(tblParticipants[[#This Row],[BlkOrAfAmer]]=1,1,0),IF(tblParticipants[[#This Row],[NtvHawOrPacIsl]]=1,1,0),IF(tblParticipants[[#This Row],[White]]=1,1,0))&gt;1,1,0)</f>
        <v>0</v>
      </c>
      <c r="BY41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1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1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11" s="11">
        <f>IF(tblParticipants[[#This Row],[EarnWg2Qae]]=1,IFERROR(tblParticipants[[#This Row],[HoursPerWk2Qae]]*tblParticipants[[#This Row],[HrlyWg2Qae]]*13,0),0)</f>
        <v>0</v>
      </c>
      <c r="CC411" s="11">
        <f>IF(tblParticipants[[#This Row],[EarnWg3Qae]]=1,IFERROR(tblParticipants[[#This Row],[HoursPerWk3Qae]]*tblParticipants[[#This Row],[HrlyWg3Qae]]*13,0),0)</f>
        <v>0</v>
      </c>
      <c r="CD411" s="9">
        <f>IFERROR(IF(SUM(tblParticipants[[#This Row],[EarnWg1Qae]],tblParticipants[[#This Row],[EarnWg2Qae]],tblParticipants[[#This Row],[EarnWg3Qae]])=3,1,0),0)</f>
        <v>0</v>
      </c>
      <c r="CE411" s="12">
        <f>IF(tblParticipants[[#This Row],[EmplAll3Qae]]=1,tblParticipants[[#This Row],[Earnings2Qae]]+tblParticipants[[#This Row],[Earnings3Qae]],0)</f>
        <v>0</v>
      </c>
      <c r="CF411" s="407"/>
    </row>
    <row r="412" spans="1:84" x14ac:dyDescent="0.3">
      <c r="A412" s="19"/>
      <c r="B412" s="19"/>
      <c r="C412" s="20"/>
      <c r="D412" s="20"/>
      <c r="E412" s="26"/>
      <c r="F412" s="26"/>
      <c r="G412" s="26"/>
      <c r="H412" s="26"/>
      <c r="I412" s="26"/>
      <c r="J412" s="26"/>
      <c r="K412" s="26"/>
      <c r="L412" s="26"/>
      <c r="M412" s="20"/>
      <c r="N412" s="26"/>
      <c r="O412" s="22"/>
      <c r="P412" s="21"/>
      <c r="Q412" s="23"/>
      <c r="R412" s="21"/>
      <c r="S412" s="21"/>
      <c r="T412" s="21"/>
      <c r="U412" s="21"/>
      <c r="V412" s="21"/>
      <c r="W412" s="24"/>
      <c r="X412" s="20"/>
      <c r="Y412" s="20"/>
      <c r="Z412" s="21"/>
      <c r="AA412" s="21"/>
      <c r="AB412" s="21"/>
      <c r="AC412" s="21"/>
      <c r="AD412" s="21"/>
      <c r="AE412" s="21"/>
      <c r="AF412" s="21"/>
      <c r="AG412" s="21"/>
      <c r="AH412" s="21"/>
      <c r="AI412" s="25"/>
      <c r="AJ412" s="20"/>
      <c r="AK412" s="21"/>
      <c r="AL412" s="20"/>
      <c r="AM412" s="20"/>
      <c r="AN412" s="20"/>
      <c r="AO412" s="20"/>
      <c r="AP412" s="446"/>
      <c r="AQ412" s="20"/>
      <c r="AR412" s="20"/>
      <c r="AS412" s="20"/>
      <c r="AT412" s="20"/>
      <c r="AU412" s="26"/>
      <c r="AV412" s="98"/>
      <c r="AW412" s="98"/>
      <c r="AX412" s="98"/>
      <c r="AY412" s="98"/>
      <c r="AZ412" s="98"/>
      <c r="BA412" s="217"/>
      <c r="BB412" s="98"/>
      <c r="BC412" s="98"/>
      <c r="BD412" s="98"/>
      <c r="BE412" s="98"/>
      <c r="BF412" s="98"/>
      <c r="BG412" s="219"/>
      <c r="BH412" s="219"/>
      <c r="BI412" s="219"/>
      <c r="BJ412" s="26"/>
      <c r="BK412" s="21"/>
      <c r="BL412" s="21"/>
      <c r="BM412" s="22"/>
      <c r="BN412" s="21"/>
      <c r="BO412" s="21"/>
      <c r="BP412" s="22"/>
      <c r="BQ412" s="21"/>
      <c r="BR412" s="21"/>
      <c r="BS412" s="22"/>
      <c r="BT41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12" s="109" t="str">
        <f>IF(ISNUMBER(tblParticipants[[#This Row],[SvcStartDate]]),IF(AND(tblParticipants[[#This Row],[EnrollQtr]]=1,tblParticipants[[#This Row],[SvcStartDate]]&lt;DATE(conProgYear,7,1)),1,""),"")</f>
        <v/>
      </c>
      <c r="BV41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12" s="232" t="str">
        <f t="shared" ca="1" si="6"/>
        <v/>
      </c>
      <c r="BX412" s="9">
        <f>IF(SUM(IF(tblParticipants[[#This Row],[AmIndOrAkNtv]]=1,1,0),IF(tblParticipants[[#This Row],[Asian]]=1,1,0),IF(tblParticipants[[#This Row],[BlkOrAfAmer]]=1,1,0),IF(tblParticipants[[#This Row],[NtvHawOrPacIsl]]=1,1,0),IF(tblParticipants[[#This Row],[White]]=1,1,0))&gt;1,1,0)</f>
        <v>0</v>
      </c>
      <c r="BY41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1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1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12" s="11">
        <f>IF(tblParticipants[[#This Row],[EarnWg2Qae]]=1,IFERROR(tblParticipants[[#This Row],[HoursPerWk2Qae]]*tblParticipants[[#This Row],[HrlyWg2Qae]]*13,0),0)</f>
        <v>0</v>
      </c>
      <c r="CC412" s="11">
        <f>IF(tblParticipants[[#This Row],[EarnWg3Qae]]=1,IFERROR(tblParticipants[[#This Row],[HoursPerWk3Qae]]*tblParticipants[[#This Row],[HrlyWg3Qae]]*13,0),0)</f>
        <v>0</v>
      </c>
      <c r="CD412" s="9">
        <f>IFERROR(IF(SUM(tblParticipants[[#This Row],[EarnWg1Qae]],tblParticipants[[#This Row],[EarnWg2Qae]],tblParticipants[[#This Row],[EarnWg3Qae]])=3,1,0),0)</f>
        <v>0</v>
      </c>
      <c r="CE412" s="12">
        <f>IF(tblParticipants[[#This Row],[EmplAll3Qae]]=1,tblParticipants[[#This Row],[Earnings2Qae]]+tblParticipants[[#This Row],[Earnings3Qae]],0)</f>
        <v>0</v>
      </c>
      <c r="CF412" s="407"/>
    </row>
    <row r="413" spans="1:84" x14ac:dyDescent="0.3">
      <c r="A413" s="19"/>
      <c r="B413" s="19"/>
      <c r="C413" s="20"/>
      <c r="D413" s="20"/>
      <c r="E413" s="26"/>
      <c r="F413" s="26"/>
      <c r="G413" s="26"/>
      <c r="H413" s="26"/>
      <c r="I413" s="26"/>
      <c r="J413" s="26"/>
      <c r="K413" s="26"/>
      <c r="L413" s="26"/>
      <c r="M413" s="20"/>
      <c r="N413" s="26"/>
      <c r="O413" s="22"/>
      <c r="P413" s="21"/>
      <c r="Q413" s="23"/>
      <c r="R413" s="21"/>
      <c r="S413" s="21"/>
      <c r="T413" s="21"/>
      <c r="U413" s="21"/>
      <c r="V413" s="21"/>
      <c r="W413" s="24"/>
      <c r="X413" s="20"/>
      <c r="Y413" s="20"/>
      <c r="Z413" s="21"/>
      <c r="AA413" s="21"/>
      <c r="AB413" s="21"/>
      <c r="AC413" s="21"/>
      <c r="AD413" s="21"/>
      <c r="AE413" s="21"/>
      <c r="AF413" s="21"/>
      <c r="AG413" s="21"/>
      <c r="AH413" s="21"/>
      <c r="AI413" s="25"/>
      <c r="AJ413" s="20"/>
      <c r="AK413" s="21"/>
      <c r="AL413" s="20"/>
      <c r="AM413" s="20"/>
      <c r="AN413" s="20"/>
      <c r="AO413" s="20"/>
      <c r="AP413" s="446"/>
      <c r="AQ413" s="20"/>
      <c r="AR413" s="20"/>
      <c r="AS413" s="20"/>
      <c r="AT413" s="20"/>
      <c r="AU413" s="26"/>
      <c r="AV413" s="98"/>
      <c r="AW413" s="98"/>
      <c r="AX413" s="98"/>
      <c r="AY413" s="98"/>
      <c r="AZ413" s="98"/>
      <c r="BA413" s="217"/>
      <c r="BB413" s="98"/>
      <c r="BC413" s="98"/>
      <c r="BD413" s="98"/>
      <c r="BE413" s="98"/>
      <c r="BF413" s="98"/>
      <c r="BG413" s="219"/>
      <c r="BH413" s="219"/>
      <c r="BI413" s="219"/>
      <c r="BJ413" s="26"/>
      <c r="BK413" s="21"/>
      <c r="BL413" s="21"/>
      <c r="BM413" s="22"/>
      <c r="BN413" s="21"/>
      <c r="BO413" s="21"/>
      <c r="BP413" s="22"/>
      <c r="BQ413" s="21"/>
      <c r="BR413" s="21"/>
      <c r="BS413" s="22"/>
      <c r="BT41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13" s="109" t="str">
        <f>IF(ISNUMBER(tblParticipants[[#This Row],[SvcStartDate]]),IF(AND(tblParticipants[[#This Row],[EnrollQtr]]=1,tblParticipants[[#This Row],[SvcStartDate]]&lt;DATE(conProgYear,7,1)),1,""),"")</f>
        <v/>
      </c>
      <c r="BV41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13" s="232" t="str">
        <f t="shared" ca="1" si="6"/>
        <v/>
      </c>
      <c r="BX413" s="9">
        <f>IF(SUM(IF(tblParticipants[[#This Row],[AmIndOrAkNtv]]=1,1,0),IF(tblParticipants[[#This Row],[Asian]]=1,1,0),IF(tblParticipants[[#This Row],[BlkOrAfAmer]]=1,1,0),IF(tblParticipants[[#This Row],[NtvHawOrPacIsl]]=1,1,0),IF(tblParticipants[[#This Row],[White]]=1,1,0))&gt;1,1,0)</f>
        <v>0</v>
      </c>
      <c r="BY41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1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1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13" s="11">
        <f>IF(tblParticipants[[#This Row],[EarnWg2Qae]]=1,IFERROR(tblParticipants[[#This Row],[HoursPerWk2Qae]]*tblParticipants[[#This Row],[HrlyWg2Qae]]*13,0),0)</f>
        <v>0</v>
      </c>
      <c r="CC413" s="11">
        <f>IF(tblParticipants[[#This Row],[EarnWg3Qae]]=1,IFERROR(tblParticipants[[#This Row],[HoursPerWk3Qae]]*tblParticipants[[#This Row],[HrlyWg3Qae]]*13,0),0)</f>
        <v>0</v>
      </c>
      <c r="CD413" s="9">
        <f>IFERROR(IF(SUM(tblParticipants[[#This Row],[EarnWg1Qae]],tblParticipants[[#This Row],[EarnWg2Qae]],tblParticipants[[#This Row],[EarnWg3Qae]])=3,1,0),0)</f>
        <v>0</v>
      </c>
      <c r="CE413" s="12">
        <f>IF(tblParticipants[[#This Row],[EmplAll3Qae]]=1,tblParticipants[[#This Row],[Earnings2Qae]]+tblParticipants[[#This Row],[Earnings3Qae]],0)</f>
        <v>0</v>
      </c>
      <c r="CF413" s="407"/>
    </row>
    <row r="414" spans="1:84" x14ac:dyDescent="0.3">
      <c r="A414" s="19"/>
      <c r="B414" s="19"/>
      <c r="C414" s="20"/>
      <c r="D414" s="20"/>
      <c r="E414" s="26"/>
      <c r="F414" s="26"/>
      <c r="G414" s="26"/>
      <c r="H414" s="26"/>
      <c r="I414" s="26"/>
      <c r="J414" s="26"/>
      <c r="K414" s="26"/>
      <c r="L414" s="26"/>
      <c r="M414" s="20"/>
      <c r="N414" s="26"/>
      <c r="O414" s="22"/>
      <c r="P414" s="21"/>
      <c r="Q414" s="23"/>
      <c r="R414" s="21"/>
      <c r="S414" s="21"/>
      <c r="T414" s="21"/>
      <c r="U414" s="21"/>
      <c r="V414" s="21"/>
      <c r="W414" s="24"/>
      <c r="X414" s="20"/>
      <c r="Y414" s="20"/>
      <c r="Z414" s="21"/>
      <c r="AA414" s="21"/>
      <c r="AB414" s="21"/>
      <c r="AC414" s="21"/>
      <c r="AD414" s="21"/>
      <c r="AE414" s="21"/>
      <c r="AF414" s="21"/>
      <c r="AG414" s="21"/>
      <c r="AH414" s="21"/>
      <c r="AI414" s="25"/>
      <c r="AJ414" s="20"/>
      <c r="AK414" s="21"/>
      <c r="AL414" s="20"/>
      <c r="AM414" s="20"/>
      <c r="AN414" s="20"/>
      <c r="AO414" s="20"/>
      <c r="AP414" s="446"/>
      <c r="AQ414" s="20"/>
      <c r="AR414" s="20"/>
      <c r="AS414" s="20"/>
      <c r="AT414" s="20"/>
      <c r="AU414" s="26"/>
      <c r="AV414" s="98"/>
      <c r="AW414" s="98"/>
      <c r="AX414" s="98"/>
      <c r="AY414" s="98"/>
      <c r="AZ414" s="98"/>
      <c r="BA414" s="217"/>
      <c r="BB414" s="98"/>
      <c r="BC414" s="98"/>
      <c r="BD414" s="98"/>
      <c r="BE414" s="98"/>
      <c r="BF414" s="98"/>
      <c r="BG414" s="219"/>
      <c r="BH414" s="219"/>
      <c r="BI414" s="219"/>
      <c r="BJ414" s="26"/>
      <c r="BK414" s="21"/>
      <c r="BL414" s="21"/>
      <c r="BM414" s="22"/>
      <c r="BN414" s="21"/>
      <c r="BO414" s="21"/>
      <c r="BP414" s="22"/>
      <c r="BQ414" s="21"/>
      <c r="BR414" s="21"/>
      <c r="BS414" s="22"/>
      <c r="BT41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14" s="109" t="str">
        <f>IF(ISNUMBER(tblParticipants[[#This Row],[SvcStartDate]]),IF(AND(tblParticipants[[#This Row],[EnrollQtr]]=1,tblParticipants[[#This Row],[SvcStartDate]]&lt;DATE(conProgYear,7,1)),1,""),"")</f>
        <v/>
      </c>
      <c r="BV41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14" s="232" t="str">
        <f t="shared" ca="1" si="6"/>
        <v/>
      </c>
      <c r="BX414" s="9">
        <f>IF(SUM(IF(tblParticipants[[#This Row],[AmIndOrAkNtv]]=1,1,0),IF(tblParticipants[[#This Row],[Asian]]=1,1,0),IF(tblParticipants[[#This Row],[BlkOrAfAmer]]=1,1,0),IF(tblParticipants[[#This Row],[NtvHawOrPacIsl]]=1,1,0),IF(tblParticipants[[#This Row],[White]]=1,1,0))&gt;1,1,0)</f>
        <v>0</v>
      </c>
      <c r="BY41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1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1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14" s="11">
        <f>IF(tblParticipants[[#This Row],[EarnWg2Qae]]=1,IFERROR(tblParticipants[[#This Row],[HoursPerWk2Qae]]*tblParticipants[[#This Row],[HrlyWg2Qae]]*13,0),0)</f>
        <v>0</v>
      </c>
      <c r="CC414" s="11">
        <f>IF(tblParticipants[[#This Row],[EarnWg3Qae]]=1,IFERROR(tblParticipants[[#This Row],[HoursPerWk3Qae]]*tblParticipants[[#This Row],[HrlyWg3Qae]]*13,0),0)</f>
        <v>0</v>
      </c>
      <c r="CD414" s="9">
        <f>IFERROR(IF(SUM(tblParticipants[[#This Row],[EarnWg1Qae]],tblParticipants[[#This Row],[EarnWg2Qae]],tblParticipants[[#This Row],[EarnWg3Qae]])=3,1,0),0)</f>
        <v>0</v>
      </c>
      <c r="CE414" s="12">
        <f>IF(tblParticipants[[#This Row],[EmplAll3Qae]]=1,tblParticipants[[#This Row],[Earnings2Qae]]+tblParticipants[[#This Row],[Earnings3Qae]],0)</f>
        <v>0</v>
      </c>
      <c r="CF414" s="407"/>
    </row>
    <row r="415" spans="1:84" x14ac:dyDescent="0.3">
      <c r="A415" s="19"/>
      <c r="B415" s="19"/>
      <c r="C415" s="20"/>
      <c r="D415" s="20"/>
      <c r="E415" s="26"/>
      <c r="F415" s="26"/>
      <c r="G415" s="26"/>
      <c r="H415" s="26"/>
      <c r="I415" s="26"/>
      <c r="J415" s="26"/>
      <c r="K415" s="26"/>
      <c r="L415" s="26"/>
      <c r="M415" s="20"/>
      <c r="N415" s="26"/>
      <c r="O415" s="22"/>
      <c r="P415" s="21"/>
      <c r="Q415" s="23"/>
      <c r="R415" s="21"/>
      <c r="S415" s="21"/>
      <c r="T415" s="21"/>
      <c r="U415" s="21"/>
      <c r="V415" s="21"/>
      <c r="W415" s="24"/>
      <c r="X415" s="20"/>
      <c r="Y415" s="20"/>
      <c r="Z415" s="21"/>
      <c r="AA415" s="21"/>
      <c r="AB415" s="21"/>
      <c r="AC415" s="21"/>
      <c r="AD415" s="21"/>
      <c r="AE415" s="21"/>
      <c r="AF415" s="21"/>
      <c r="AG415" s="21"/>
      <c r="AH415" s="21"/>
      <c r="AI415" s="25"/>
      <c r="AJ415" s="20"/>
      <c r="AK415" s="21"/>
      <c r="AL415" s="20"/>
      <c r="AM415" s="20"/>
      <c r="AN415" s="20"/>
      <c r="AO415" s="20"/>
      <c r="AP415" s="446"/>
      <c r="AQ415" s="20"/>
      <c r="AR415" s="20"/>
      <c r="AS415" s="20"/>
      <c r="AT415" s="20"/>
      <c r="AU415" s="26"/>
      <c r="AV415" s="98"/>
      <c r="AW415" s="98"/>
      <c r="AX415" s="98"/>
      <c r="AY415" s="98"/>
      <c r="AZ415" s="98"/>
      <c r="BA415" s="217"/>
      <c r="BB415" s="98"/>
      <c r="BC415" s="98"/>
      <c r="BD415" s="98"/>
      <c r="BE415" s="98"/>
      <c r="BF415" s="98"/>
      <c r="BG415" s="219"/>
      <c r="BH415" s="219"/>
      <c r="BI415" s="219"/>
      <c r="BJ415" s="26"/>
      <c r="BK415" s="21"/>
      <c r="BL415" s="21"/>
      <c r="BM415" s="22"/>
      <c r="BN415" s="21"/>
      <c r="BO415" s="21"/>
      <c r="BP415" s="22"/>
      <c r="BQ415" s="21"/>
      <c r="BR415" s="21"/>
      <c r="BS415" s="22"/>
      <c r="BT41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15" s="109" t="str">
        <f>IF(ISNUMBER(tblParticipants[[#This Row],[SvcStartDate]]),IF(AND(tblParticipants[[#This Row],[EnrollQtr]]=1,tblParticipants[[#This Row],[SvcStartDate]]&lt;DATE(conProgYear,7,1)),1,""),"")</f>
        <v/>
      </c>
      <c r="BV41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15" s="232" t="str">
        <f t="shared" ca="1" si="6"/>
        <v/>
      </c>
      <c r="BX415" s="9">
        <f>IF(SUM(IF(tblParticipants[[#This Row],[AmIndOrAkNtv]]=1,1,0),IF(tblParticipants[[#This Row],[Asian]]=1,1,0),IF(tblParticipants[[#This Row],[BlkOrAfAmer]]=1,1,0),IF(tblParticipants[[#This Row],[NtvHawOrPacIsl]]=1,1,0),IF(tblParticipants[[#This Row],[White]]=1,1,0))&gt;1,1,0)</f>
        <v>0</v>
      </c>
      <c r="BY41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1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1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15" s="11">
        <f>IF(tblParticipants[[#This Row],[EarnWg2Qae]]=1,IFERROR(tblParticipants[[#This Row],[HoursPerWk2Qae]]*tblParticipants[[#This Row],[HrlyWg2Qae]]*13,0),0)</f>
        <v>0</v>
      </c>
      <c r="CC415" s="11">
        <f>IF(tblParticipants[[#This Row],[EarnWg3Qae]]=1,IFERROR(tblParticipants[[#This Row],[HoursPerWk3Qae]]*tblParticipants[[#This Row],[HrlyWg3Qae]]*13,0),0)</f>
        <v>0</v>
      </c>
      <c r="CD415" s="9">
        <f>IFERROR(IF(SUM(tblParticipants[[#This Row],[EarnWg1Qae]],tblParticipants[[#This Row],[EarnWg2Qae]],tblParticipants[[#This Row],[EarnWg3Qae]])=3,1,0),0)</f>
        <v>0</v>
      </c>
      <c r="CE415" s="12">
        <f>IF(tblParticipants[[#This Row],[EmplAll3Qae]]=1,tblParticipants[[#This Row],[Earnings2Qae]]+tblParticipants[[#This Row],[Earnings3Qae]],0)</f>
        <v>0</v>
      </c>
      <c r="CF415" s="407"/>
    </row>
    <row r="416" spans="1:84" x14ac:dyDescent="0.3">
      <c r="A416" s="19"/>
      <c r="B416" s="19"/>
      <c r="C416" s="20"/>
      <c r="D416" s="20"/>
      <c r="E416" s="26"/>
      <c r="F416" s="26"/>
      <c r="G416" s="26"/>
      <c r="H416" s="26"/>
      <c r="I416" s="26"/>
      <c r="J416" s="26"/>
      <c r="K416" s="26"/>
      <c r="L416" s="26"/>
      <c r="M416" s="20"/>
      <c r="N416" s="26"/>
      <c r="O416" s="22"/>
      <c r="P416" s="21"/>
      <c r="Q416" s="23"/>
      <c r="R416" s="21"/>
      <c r="S416" s="21"/>
      <c r="T416" s="21"/>
      <c r="U416" s="21"/>
      <c r="V416" s="21"/>
      <c r="W416" s="24"/>
      <c r="X416" s="20"/>
      <c r="Y416" s="20"/>
      <c r="Z416" s="21"/>
      <c r="AA416" s="21"/>
      <c r="AB416" s="21"/>
      <c r="AC416" s="21"/>
      <c r="AD416" s="21"/>
      <c r="AE416" s="21"/>
      <c r="AF416" s="21"/>
      <c r="AG416" s="21"/>
      <c r="AH416" s="21"/>
      <c r="AI416" s="25"/>
      <c r="AJ416" s="20"/>
      <c r="AK416" s="21"/>
      <c r="AL416" s="20"/>
      <c r="AM416" s="20"/>
      <c r="AN416" s="20"/>
      <c r="AO416" s="20"/>
      <c r="AP416" s="446"/>
      <c r="AQ416" s="20"/>
      <c r="AR416" s="20"/>
      <c r="AS416" s="20"/>
      <c r="AT416" s="20"/>
      <c r="AU416" s="26"/>
      <c r="AV416" s="98"/>
      <c r="AW416" s="98"/>
      <c r="AX416" s="98"/>
      <c r="AY416" s="98"/>
      <c r="AZ416" s="98"/>
      <c r="BA416" s="217"/>
      <c r="BB416" s="98"/>
      <c r="BC416" s="98"/>
      <c r="BD416" s="98"/>
      <c r="BE416" s="98"/>
      <c r="BF416" s="98"/>
      <c r="BG416" s="219"/>
      <c r="BH416" s="219"/>
      <c r="BI416" s="219"/>
      <c r="BJ416" s="26"/>
      <c r="BK416" s="21"/>
      <c r="BL416" s="21"/>
      <c r="BM416" s="22"/>
      <c r="BN416" s="21"/>
      <c r="BO416" s="21"/>
      <c r="BP416" s="22"/>
      <c r="BQ416" s="21"/>
      <c r="BR416" s="21"/>
      <c r="BS416" s="22"/>
      <c r="BT41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16" s="109" t="str">
        <f>IF(ISNUMBER(tblParticipants[[#This Row],[SvcStartDate]]),IF(AND(tblParticipants[[#This Row],[EnrollQtr]]=1,tblParticipants[[#This Row],[SvcStartDate]]&lt;DATE(conProgYear,7,1)),1,""),"")</f>
        <v/>
      </c>
      <c r="BV41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16" s="232" t="str">
        <f t="shared" ca="1" si="6"/>
        <v/>
      </c>
      <c r="BX416" s="9">
        <f>IF(SUM(IF(tblParticipants[[#This Row],[AmIndOrAkNtv]]=1,1,0),IF(tblParticipants[[#This Row],[Asian]]=1,1,0),IF(tblParticipants[[#This Row],[BlkOrAfAmer]]=1,1,0),IF(tblParticipants[[#This Row],[NtvHawOrPacIsl]]=1,1,0),IF(tblParticipants[[#This Row],[White]]=1,1,0))&gt;1,1,0)</f>
        <v>0</v>
      </c>
      <c r="BY41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1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1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16" s="11">
        <f>IF(tblParticipants[[#This Row],[EarnWg2Qae]]=1,IFERROR(tblParticipants[[#This Row],[HoursPerWk2Qae]]*tblParticipants[[#This Row],[HrlyWg2Qae]]*13,0),0)</f>
        <v>0</v>
      </c>
      <c r="CC416" s="11">
        <f>IF(tblParticipants[[#This Row],[EarnWg3Qae]]=1,IFERROR(tblParticipants[[#This Row],[HoursPerWk3Qae]]*tblParticipants[[#This Row],[HrlyWg3Qae]]*13,0),0)</f>
        <v>0</v>
      </c>
      <c r="CD416" s="9">
        <f>IFERROR(IF(SUM(tblParticipants[[#This Row],[EarnWg1Qae]],tblParticipants[[#This Row],[EarnWg2Qae]],tblParticipants[[#This Row],[EarnWg3Qae]])=3,1,0),0)</f>
        <v>0</v>
      </c>
      <c r="CE416" s="12">
        <f>IF(tblParticipants[[#This Row],[EmplAll3Qae]]=1,tblParticipants[[#This Row],[Earnings2Qae]]+tblParticipants[[#This Row],[Earnings3Qae]],0)</f>
        <v>0</v>
      </c>
      <c r="CF416" s="407"/>
    </row>
    <row r="417" spans="1:84" x14ac:dyDescent="0.3">
      <c r="A417" s="19"/>
      <c r="B417" s="19"/>
      <c r="C417" s="20"/>
      <c r="D417" s="20"/>
      <c r="E417" s="26"/>
      <c r="F417" s="26"/>
      <c r="G417" s="26"/>
      <c r="H417" s="26"/>
      <c r="I417" s="26"/>
      <c r="J417" s="26"/>
      <c r="K417" s="26"/>
      <c r="L417" s="26"/>
      <c r="M417" s="20"/>
      <c r="N417" s="26"/>
      <c r="O417" s="22"/>
      <c r="P417" s="21"/>
      <c r="Q417" s="23"/>
      <c r="R417" s="21"/>
      <c r="S417" s="21"/>
      <c r="T417" s="21"/>
      <c r="U417" s="21"/>
      <c r="V417" s="21"/>
      <c r="W417" s="24"/>
      <c r="X417" s="20"/>
      <c r="Y417" s="20"/>
      <c r="Z417" s="21"/>
      <c r="AA417" s="21"/>
      <c r="AB417" s="21"/>
      <c r="AC417" s="21"/>
      <c r="AD417" s="21"/>
      <c r="AE417" s="21"/>
      <c r="AF417" s="21"/>
      <c r="AG417" s="21"/>
      <c r="AH417" s="21"/>
      <c r="AI417" s="25"/>
      <c r="AJ417" s="20"/>
      <c r="AK417" s="21"/>
      <c r="AL417" s="20"/>
      <c r="AM417" s="20"/>
      <c r="AN417" s="20"/>
      <c r="AO417" s="20"/>
      <c r="AP417" s="446"/>
      <c r="AQ417" s="20"/>
      <c r="AR417" s="20"/>
      <c r="AS417" s="20"/>
      <c r="AT417" s="20"/>
      <c r="AU417" s="26"/>
      <c r="AV417" s="98"/>
      <c r="AW417" s="98"/>
      <c r="AX417" s="98"/>
      <c r="AY417" s="98"/>
      <c r="AZ417" s="98"/>
      <c r="BA417" s="217"/>
      <c r="BB417" s="98"/>
      <c r="BC417" s="98"/>
      <c r="BD417" s="98"/>
      <c r="BE417" s="98"/>
      <c r="BF417" s="98"/>
      <c r="BG417" s="219"/>
      <c r="BH417" s="219"/>
      <c r="BI417" s="219"/>
      <c r="BJ417" s="26"/>
      <c r="BK417" s="21"/>
      <c r="BL417" s="21"/>
      <c r="BM417" s="22"/>
      <c r="BN417" s="21"/>
      <c r="BO417" s="21"/>
      <c r="BP417" s="22"/>
      <c r="BQ417" s="21"/>
      <c r="BR417" s="21"/>
      <c r="BS417" s="22"/>
      <c r="BT41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17" s="109" t="str">
        <f>IF(ISNUMBER(tblParticipants[[#This Row],[SvcStartDate]]),IF(AND(tblParticipants[[#This Row],[EnrollQtr]]=1,tblParticipants[[#This Row],[SvcStartDate]]&lt;DATE(conProgYear,7,1)),1,""),"")</f>
        <v/>
      </c>
      <c r="BV41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17" s="232" t="str">
        <f t="shared" ca="1" si="6"/>
        <v/>
      </c>
      <c r="BX417" s="9">
        <f>IF(SUM(IF(tblParticipants[[#This Row],[AmIndOrAkNtv]]=1,1,0),IF(tblParticipants[[#This Row],[Asian]]=1,1,0),IF(tblParticipants[[#This Row],[BlkOrAfAmer]]=1,1,0),IF(tblParticipants[[#This Row],[NtvHawOrPacIsl]]=1,1,0),IF(tblParticipants[[#This Row],[White]]=1,1,0))&gt;1,1,0)</f>
        <v>0</v>
      </c>
      <c r="BY41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1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1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17" s="11">
        <f>IF(tblParticipants[[#This Row],[EarnWg2Qae]]=1,IFERROR(tblParticipants[[#This Row],[HoursPerWk2Qae]]*tblParticipants[[#This Row],[HrlyWg2Qae]]*13,0),0)</f>
        <v>0</v>
      </c>
      <c r="CC417" s="11">
        <f>IF(tblParticipants[[#This Row],[EarnWg3Qae]]=1,IFERROR(tblParticipants[[#This Row],[HoursPerWk3Qae]]*tblParticipants[[#This Row],[HrlyWg3Qae]]*13,0),0)</f>
        <v>0</v>
      </c>
      <c r="CD417" s="9">
        <f>IFERROR(IF(SUM(tblParticipants[[#This Row],[EarnWg1Qae]],tblParticipants[[#This Row],[EarnWg2Qae]],tblParticipants[[#This Row],[EarnWg3Qae]])=3,1,0),0)</f>
        <v>0</v>
      </c>
      <c r="CE417" s="12">
        <f>IF(tblParticipants[[#This Row],[EmplAll3Qae]]=1,tblParticipants[[#This Row],[Earnings2Qae]]+tblParticipants[[#This Row],[Earnings3Qae]],0)</f>
        <v>0</v>
      </c>
      <c r="CF417" s="407"/>
    </row>
    <row r="418" spans="1:84" x14ac:dyDescent="0.3">
      <c r="A418" s="19"/>
      <c r="B418" s="19"/>
      <c r="C418" s="20"/>
      <c r="D418" s="20"/>
      <c r="E418" s="26"/>
      <c r="F418" s="26"/>
      <c r="G418" s="26"/>
      <c r="H418" s="26"/>
      <c r="I418" s="26"/>
      <c r="J418" s="26"/>
      <c r="K418" s="26"/>
      <c r="L418" s="26"/>
      <c r="M418" s="20"/>
      <c r="N418" s="26"/>
      <c r="O418" s="22"/>
      <c r="P418" s="21"/>
      <c r="Q418" s="23"/>
      <c r="R418" s="21"/>
      <c r="S418" s="21"/>
      <c r="T418" s="21"/>
      <c r="U418" s="21"/>
      <c r="V418" s="21"/>
      <c r="W418" s="24"/>
      <c r="X418" s="20"/>
      <c r="Y418" s="20"/>
      <c r="Z418" s="21"/>
      <c r="AA418" s="21"/>
      <c r="AB418" s="21"/>
      <c r="AC418" s="21"/>
      <c r="AD418" s="21"/>
      <c r="AE418" s="21"/>
      <c r="AF418" s="21"/>
      <c r="AG418" s="21"/>
      <c r="AH418" s="21"/>
      <c r="AI418" s="25"/>
      <c r="AJ418" s="20"/>
      <c r="AK418" s="21"/>
      <c r="AL418" s="20"/>
      <c r="AM418" s="20"/>
      <c r="AN418" s="20"/>
      <c r="AO418" s="20"/>
      <c r="AP418" s="446"/>
      <c r="AQ418" s="20"/>
      <c r="AR418" s="20"/>
      <c r="AS418" s="20"/>
      <c r="AT418" s="20"/>
      <c r="AU418" s="26"/>
      <c r="AV418" s="98"/>
      <c r="AW418" s="98"/>
      <c r="AX418" s="98"/>
      <c r="AY418" s="98"/>
      <c r="AZ418" s="98"/>
      <c r="BA418" s="217"/>
      <c r="BB418" s="98"/>
      <c r="BC418" s="98"/>
      <c r="BD418" s="98"/>
      <c r="BE418" s="98"/>
      <c r="BF418" s="98"/>
      <c r="BG418" s="219"/>
      <c r="BH418" s="219"/>
      <c r="BI418" s="219"/>
      <c r="BJ418" s="26"/>
      <c r="BK418" s="21"/>
      <c r="BL418" s="21"/>
      <c r="BM418" s="22"/>
      <c r="BN418" s="21"/>
      <c r="BO418" s="21"/>
      <c r="BP418" s="22"/>
      <c r="BQ418" s="21"/>
      <c r="BR418" s="21"/>
      <c r="BS418" s="22"/>
      <c r="BT41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18" s="109" t="str">
        <f>IF(ISNUMBER(tblParticipants[[#This Row],[SvcStartDate]]),IF(AND(tblParticipants[[#This Row],[EnrollQtr]]=1,tblParticipants[[#This Row],[SvcStartDate]]&lt;DATE(conProgYear,7,1)),1,""),"")</f>
        <v/>
      </c>
      <c r="BV41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18" s="232" t="str">
        <f t="shared" ca="1" si="6"/>
        <v/>
      </c>
      <c r="BX418" s="9">
        <f>IF(SUM(IF(tblParticipants[[#This Row],[AmIndOrAkNtv]]=1,1,0),IF(tblParticipants[[#This Row],[Asian]]=1,1,0),IF(tblParticipants[[#This Row],[BlkOrAfAmer]]=1,1,0),IF(tblParticipants[[#This Row],[NtvHawOrPacIsl]]=1,1,0),IF(tblParticipants[[#This Row],[White]]=1,1,0))&gt;1,1,0)</f>
        <v>0</v>
      </c>
      <c r="BY41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1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1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18" s="11">
        <f>IF(tblParticipants[[#This Row],[EarnWg2Qae]]=1,IFERROR(tblParticipants[[#This Row],[HoursPerWk2Qae]]*tblParticipants[[#This Row],[HrlyWg2Qae]]*13,0),0)</f>
        <v>0</v>
      </c>
      <c r="CC418" s="11">
        <f>IF(tblParticipants[[#This Row],[EarnWg3Qae]]=1,IFERROR(tblParticipants[[#This Row],[HoursPerWk3Qae]]*tblParticipants[[#This Row],[HrlyWg3Qae]]*13,0),0)</f>
        <v>0</v>
      </c>
      <c r="CD418" s="9">
        <f>IFERROR(IF(SUM(tblParticipants[[#This Row],[EarnWg1Qae]],tblParticipants[[#This Row],[EarnWg2Qae]],tblParticipants[[#This Row],[EarnWg3Qae]])=3,1,0),0)</f>
        <v>0</v>
      </c>
      <c r="CE418" s="12">
        <f>IF(tblParticipants[[#This Row],[EmplAll3Qae]]=1,tblParticipants[[#This Row],[Earnings2Qae]]+tblParticipants[[#This Row],[Earnings3Qae]],0)</f>
        <v>0</v>
      </c>
      <c r="CF418" s="407"/>
    </row>
    <row r="419" spans="1:84" x14ac:dyDescent="0.3">
      <c r="A419" s="19"/>
      <c r="B419" s="19"/>
      <c r="C419" s="20"/>
      <c r="D419" s="20"/>
      <c r="E419" s="26"/>
      <c r="F419" s="26"/>
      <c r="G419" s="26"/>
      <c r="H419" s="26"/>
      <c r="I419" s="26"/>
      <c r="J419" s="26"/>
      <c r="K419" s="26"/>
      <c r="L419" s="26"/>
      <c r="M419" s="20"/>
      <c r="N419" s="26"/>
      <c r="O419" s="22"/>
      <c r="P419" s="21"/>
      <c r="Q419" s="23"/>
      <c r="R419" s="21"/>
      <c r="S419" s="21"/>
      <c r="T419" s="21"/>
      <c r="U419" s="21"/>
      <c r="V419" s="21"/>
      <c r="W419" s="24"/>
      <c r="X419" s="20"/>
      <c r="Y419" s="20"/>
      <c r="Z419" s="21"/>
      <c r="AA419" s="21"/>
      <c r="AB419" s="21"/>
      <c r="AC419" s="21"/>
      <c r="AD419" s="21"/>
      <c r="AE419" s="21"/>
      <c r="AF419" s="21"/>
      <c r="AG419" s="21"/>
      <c r="AH419" s="21"/>
      <c r="AI419" s="25"/>
      <c r="AJ419" s="20"/>
      <c r="AK419" s="21"/>
      <c r="AL419" s="20"/>
      <c r="AM419" s="20"/>
      <c r="AN419" s="20"/>
      <c r="AO419" s="20"/>
      <c r="AP419" s="446"/>
      <c r="AQ419" s="20"/>
      <c r="AR419" s="20"/>
      <c r="AS419" s="20"/>
      <c r="AT419" s="20"/>
      <c r="AU419" s="26"/>
      <c r="AV419" s="98"/>
      <c r="AW419" s="98"/>
      <c r="AX419" s="98"/>
      <c r="AY419" s="98"/>
      <c r="AZ419" s="98"/>
      <c r="BA419" s="217"/>
      <c r="BB419" s="98"/>
      <c r="BC419" s="98"/>
      <c r="BD419" s="98"/>
      <c r="BE419" s="98"/>
      <c r="BF419" s="98"/>
      <c r="BG419" s="219"/>
      <c r="BH419" s="219"/>
      <c r="BI419" s="219"/>
      <c r="BJ419" s="26"/>
      <c r="BK419" s="21"/>
      <c r="BL419" s="21"/>
      <c r="BM419" s="22"/>
      <c r="BN419" s="21"/>
      <c r="BO419" s="21"/>
      <c r="BP419" s="22"/>
      <c r="BQ419" s="21"/>
      <c r="BR419" s="21"/>
      <c r="BS419" s="22"/>
      <c r="BT41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19" s="109" t="str">
        <f>IF(ISNUMBER(tblParticipants[[#This Row],[SvcStartDate]]),IF(AND(tblParticipants[[#This Row],[EnrollQtr]]=1,tblParticipants[[#This Row],[SvcStartDate]]&lt;DATE(conProgYear,7,1)),1,""),"")</f>
        <v/>
      </c>
      <c r="BV41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19" s="232" t="str">
        <f t="shared" ca="1" si="6"/>
        <v/>
      </c>
      <c r="BX419" s="9">
        <f>IF(SUM(IF(tblParticipants[[#This Row],[AmIndOrAkNtv]]=1,1,0),IF(tblParticipants[[#This Row],[Asian]]=1,1,0),IF(tblParticipants[[#This Row],[BlkOrAfAmer]]=1,1,0),IF(tblParticipants[[#This Row],[NtvHawOrPacIsl]]=1,1,0),IF(tblParticipants[[#This Row],[White]]=1,1,0))&gt;1,1,0)</f>
        <v>0</v>
      </c>
      <c r="BY41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1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1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19" s="11">
        <f>IF(tblParticipants[[#This Row],[EarnWg2Qae]]=1,IFERROR(tblParticipants[[#This Row],[HoursPerWk2Qae]]*tblParticipants[[#This Row],[HrlyWg2Qae]]*13,0),0)</f>
        <v>0</v>
      </c>
      <c r="CC419" s="11">
        <f>IF(tblParticipants[[#This Row],[EarnWg3Qae]]=1,IFERROR(tblParticipants[[#This Row],[HoursPerWk3Qae]]*tblParticipants[[#This Row],[HrlyWg3Qae]]*13,0),0)</f>
        <v>0</v>
      </c>
      <c r="CD419" s="9">
        <f>IFERROR(IF(SUM(tblParticipants[[#This Row],[EarnWg1Qae]],tblParticipants[[#This Row],[EarnWg2Qae]],tblParticipants[[#This Row],[EarnWg3Qae]])=3,1,0),0)</f>
        <v>0</v>
      </c>
      <c r="CE419" s="12">
        <f>IF(tblParticipants[[#This Row],[EmplAll3Qae]]=1,tblParticipants[[#This Row],[Earnings2Qae]]+tblParticipants[[#This Row],[Earnings3Qae]],0)</f>
        <v>0</v>
      </c>
      <c r="CF419" s="407"/>
    </row>
    <row r="420" spans="1:84" x14ac:dyDescent="0.3">
      <c r="A420" s="19"/>
      <c r="B420" s="19"/>
      <c r="C420" s="20"/>
      <c r="D420" s="20"/>
      <c r="E420" s="26"/>
      <c r="F420" s="26"/>
      <c r="G420" s="26"/>
      <c r="H420" s="26"/>
      <c r="I420" s="26"/>
      <c r="J420" s="26"/>
      <c r="K420" s="26"/>
      <c r="L420" s="26"/>
      <c r="M420" s="20"/>
      <c r="N420" s="26"/>
      <c r="O420" s="22"/>
      <c r="P420" s="21"/>
      <c r="Q420" s="23"/>
      <c r="R420" s="21"/>
      <c r="S420" s="21"/>
      <c r="T420" s="21"/>
      <c r="U420" s="21"/>
      <c r="V420" s="21"/>
      <c r="W420" s="24"/>
      <c r="X420" s="20"/>
      <c r="Y420" s="20"/>
      <c r="Z420" s="21"/>
      <c r="AA420" s="21"/>
      <c r="AB420" s="21"/>
      <c r="AC420" s="21"/>
      <c r="AD420" s="21"/>
      <c r="AE420" s="21"/>
      <c r="AF420" s="21"/>
      <c r="AG420" s="21"/>
      <c r="AH420" s="21"/>
      <c r="AI420" s="25"/>
      <c r="AJ420" s="20"/>
      <c r="AK420" s="21"/>
      <c r="AL420" s="20"/>
      <c r="AM420" s="20"/>
      <c r="AN420" s="20"/>
      <c r="AO420" s="20"/>
      <c r="AP420" s="446"/>
      <c r="AQ420" s="20"/>
      <c r="AR420" s="20"/>
      <c r="AS420" s="20"/>
      <c r="AT420" s="20"/>
      <c r="AU420" s="26"/>
      <c r="AV420" s="98"/>
      <c r="AW420" s="98"/>
      <c r="AX420" s="98"/>
      <c r="AY420" s="98"/>
      <c r="AZ420" s="98"/>
      <c r="BA420" s="217"/>
      <c r="BB420" s="98"/>
      <c r="BC420" s="98"/>
      <c r="BD420" s="98"/>
      <c r="BE420" s="98"/>
      <c r="BF420" s="98"/>
      <c r="BG420" s="219"/>
      <c r="BH420" s="219"/>
      <c r="BI420" s="219"/>
      <c r="BJ420" s="26"/>
      <c r="BK420" s="21"/>
      <c r="BL420" s="21"/>
      <c r="BM420" s="22"/>
      <c r="BN420" s="21"/>
      <c r="BO420" s="21"/>
      <c r="BP420" s="22"/>
      <c r="BQ420" s="21"/>
      <c r="BR420" s="21"/>
      <c r="BS420" s="22"/>
      <c r="BT42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20" s="109" t="str">
        <f>IF(ISNUMBER(tblParticipants[[#This Row],[SvcStartDate]]),IF(AND(tblParticipants[[#This Row],[EnrollQtr]]=1,tblParticipants[[#This Row],[SvcStartDate]]&lt;DATE(conProgYear,7,1)),1,""),"")</f>
        <v/>
      </c>
      <c r="BV42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20" s="232" t="str">
        <f t="shared" ca="1" si="6"/>
        <v/>
      </c>
      <c r="BX420" s="9">
        <f>IF(SUM(IF(tblParticipants[[#This Row],[AmIndOrAkNtv]]=1,1,0),IF(tblParticipants[[#This Row],[Asian]]=1,1,0),IF(tblParticipants[[#This Row],[BlkOrAfAmer]]=1,1,0),IF(tblParticipants[[#This Row],[NtvHawOrPacIsl]]=1,1,0),IF(tblParticipants[[#This Row],[White]]=1,1,0))&gt;1,1,0)</f>
        <v>0</v>
      </c>
      <c r="BY42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2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2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20" s="11">
        <f>IF(tblParticipants[[#This Row],[EarnWg2Qae]]=1,IFERROR(tblParticipants[[#This Row],[HoursPerWk2Qae]]*tblParticipants[[#This Row],[HrlyWg2Qae]]*13,0),0)</f>
        <v>0</v>
      </c>
      <c r="CC420" s="11">
        <f>IF(tblParticipants[[#This Row],[EarnWg3Qae]]=1,IFERROR(tblParticipants[[#This Row],[HoursPerWk3Qae]]*tblParticipants[[#This Row],[HrlyWg3Qae]]*13,0),0)</f>
        <v>0</v>
      </c>
      <c r="CD420" s="9">
        <f>IFERROR(IF(SUM(tblParticipants[[#This Row],[EarnWg1Qae]],tblParticipants[[#This Row],[EarnWg2Qae]],tblParticipants[[#This Row],[EarnWg3Qae]])=3,1,0),0)</f>
        <v>0</v>
      </c>
      <c r="CE420" s="12">
        <f>IF(tblParticipants[[#This Row],[EmplAll3Qae]]=1,tblParticipants[[#This Row],[Earnings2Qae]]+tblParticipants[[#This Row],[Earnings3Qae]],0)</f>
        <v>0</v>
      </c>
      <c r="CF420" s="407"/>
    </row>
    <row r="421" spans="1:84" x14ac:dyDescent="0.3">
      <c r="A421" s="19"/>
      <c r="B421" s="19"/>
      <c r="C421" s="20"/>
      <c r="D421" s="20"/>
      <c r="E421" s="26"/>
      <c r="F421" s="26"/>
      <c r="G421" s="26"/>
      <c r="H421" s="26"/>
      <c r="I421" s="26"/>
      <c r="J421" s="26"/>
      <c r="K421" s="26"/>
      <c r="L421" s="26"/>
      <c r="M421" s="20"/>
      <c r="N421" s="26"/>
      <c r="O421" s="22"/>
      <c r="P421" s="21"/>
      <c r="Q421" s="23"/>
      <c r="R421" s="21"/>
      <c r="S421" s="21"/>
      <c r="T421" s="21"/>
      <c r="U421" s="21"/>
      <c r="V421" s="21"/>
      <c r="W421" s="24"/>
      <c r="X421" s="20"/>
      <c r="Y421" s="20"/>
      <c r="Z421" s="21"/>
      <c r="AA421" s="21"/>
      <c r="AB421" s="21"/>
      <c r="AC421" s="21"/>
      <c r="AD421" s="21"/>
      <c r="AE421" s="21"/>
      <c r="AF421" s="21"/>
      <c r="AG421" s="21"/>
      <c r="AH421" s="21"/>
      <c r="AI421" s="25"/>
      <c r="AJ421" s="20"/>
      <c r="AK421" s="21"/>
      <c r="AL421" s="20"/>
      <c r="AM421" s="20"/>
      <c r="AN421" s="20"/>
      <c r="AO421" s="20"/>
      <c r="AP421" s="446"/>
      <c r="AQ421" s="20"/>
      <c r="AR421" s="20"/>
      <c r="AS421" s="20"/>
      <c r="AT421" s="20"/>
      <c r="AU421" s="26"/>
      <c r="AV421" s="98"/>
      <c r="AW421" s="98"/>
      <c r="AX421" s="98"/>
      <c r="AY421" s="98"/>
      <c r="AZ421" s="98"/>
      <c r="BA421" s="217"/>
      <c r="BB421" s="98"/>
      <c r="BC421" s="98"/>
      <c r="BD421" s="98"/>
      <c r="BE421" s="98"/>
      <c r="BF421" s="98"/>
      <c r="BG421" s="219"/>
      <c r="BH421" s="219"/>
      <c r="BI421" s="219"/>
      <c r="BJ421" s="26"/>
      <c r="BK421" s="21"/>
      <c r="BL421" s="21"/>
      <c r="BM421" s="22"/>
      <c r="BN421" s="21"/>
      <c r="BO421" s="21"/>
      <c r="BP421" s="22"/>
      <c r="BQ421" s="21"/>
      <c r="BR421" s="21"/>
      <c r="BS421" s="22"/>
      <c r="BT42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21" s="109" t="str">
        <f>IF(ISNUMBER(tblParticipants[[#This Row],[SvcStartDate]]),IF(AND(tblParticipants[[#This Row],[EnrollQtr]]=1,tblParticipants[[#This Row],[SvcStartDate]]&lt;DATE(conProgYear,7,1)),1,""),"")</f>
        <v/>
      </c>
      <c r="BV42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21" s="232" t="str">
        <f t="shared" ca="1" si="6"/>
        <v/>
      </c>
      <c r="BX421" s="9">
        <f>IF(SUM(IF(tblParticipants[[#This Row],[AmIndOrAkNtv]]=1,1,0),IF(tblParticipants[[#This Row],[Asian]]=1,1,0),IF(tblParticipants[[#This Row],[BlkOrAfAmer]]=1,1,0),IF(tblParticipants[[#This Row],[NtvHawOrPacIsl]]=1,1,0),IF(tblParticipants[[#This Row],[White]]=1,1,0))&gt;1,1,0)</f>
        <v>0</v>
      </c>
      <c r="BY42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2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2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21" s="11">
        <f>IF(tblParticipants[[#This Row],[EarnWg2Qae]]=1,IFERROR(tblParticipants[[#This Row],[HoursPerWk2Qae]]*tblParticipants[[#This Row],[HrlyWg2Qae]]*13,0),0)</f>
        <v>0</v>
      </c>
      <c r="CC421" s="11">
        <f>IF(tblParticipants[[#This Row],[EarnWg3Qae]]=1,IFERROR(tblParticipants[[#This Row],[HoursPerWk3Qae]]*tblParticipants[[#This Row],[HrlyWg3Qae]]*13,0),0)</f>
        <v>0</v>
      </c>
      <c r="CD421" s="9">
        <f>IFERROR(IF(SUM(tblParticipants[[#This Row],[EarnWg1Qae]],tblParticipants[[#This Row],[EarnWg2Qae]],tblParticipants[[#This Row],[EarnWg3Qae]])=3,1,0),0)</f>
        <v>0</v>
      </c>
      <c r="CE421" s="12">
        <f>IF(tblParticipants[[#This Row],[EmplAll3Qae]]=1,tblParticipants[[#This Row],[Earnings2Qae]]+tblParticipants[[#This Row],[Earnings3Qae]],0)</f>
        <v>0</v>
      </c>
      <c r="CF421" s="407"/>
    </row>
    <row r="422" spans="1:84" x14ac:dyDescent="0.3">
      <c r="A422" s="19"/>
      <c r="B422" s="19"/>
      <c r="C422" s="20"/>
      <c r="D422" s="20"/>
      <c r="E422" s="26"/>
      <c r="F422" s="26"/>
      <c r="G422" s="26"/>
      <c r="H422" s="26"/>
      <c r="I422" s="26"/>
      <c r="J422" s="26"/>
      <c r="K422" s="26"/>
      <c r="L422" s="26"/>
      <c r="M422" s="20"/>
      <c r="N422" s="26"/>
      <c r="O422" s="22"/>
      <c r="P422" s="21"/>
      <c r="Q422" s="23"/>
      <c r="R422" s="21"/>
      <c r="S422" s="21"/>
      <c r="T422" s="21"/>
      <c r="U422" s="21"/>
      <c r="V422" s="21"/>
      <c r="W422" s="24"/>
      <c r="X422" s="20"/>
      <c r="Y422" s="20"/>
      <c r="Z422" s="21"/>
      <c r="AA422" s="21"/>
      <c r="AB422" s="21"/>
      <c r="AC422" s="21"/>
      <c r="AD422" s="21"/>
      <c r="AE422" s="21"/>
      <c r="AF422" s="21"/>
      <c r="AG422" s="21"/>
      <c r="AH422" s="21"/>
      <c r="AI422" s="25"/>
      <c r="AJ422" s="20"/>
      <c r="AK422" s="21"/>
      <c r="AL422" s="20"/>
      <c r="AM422" s="20"/>
      <c r="AN422" s="20"/>
      <c r="AO422" s="20"/>
      <c r="AP422" s="446"/>
      <c r="AQ422" s="20"/>
      <c r="AR422" s="20"/>
      <c r="AS422" s="20"/>
      <c r="AT422" s="20"/>
      <c r="AU422" s="26"/>
      <c r="AV422" s="98"/>
      <c r="AW422" s="98"/>
      <c r="AX422" s="98"/>
      <c r="AY422" s="98"/>
      <c r="AZ422" s="98"/>
      <c r="BA422" s="217"/>
      <c r="BB422" s="98"/>
      <c r="BC422" s="98"/>
      <c r="BD422" s="98"/>
      <c r="BE422" s="98"/>
      <c r="BF422" s="98"/>
      <c r="BG422" s="219"/>
      <c r="BH422" s="219"/>
      <c r="BI422" s="219"/>
      <c r="BJ422" s="26"/>
      <c r="BK422" s="21"/>
      <c r="BL422" s="21"/>
      <c r="BM422" s="22"/>
      <c r="BN422" s="21"/>
      <c r="BO422" s="21"/>
      <c r="BP422" s="22"/>
      <c r="BQ422" s="21"/>
      <c r="BR422" s="21"/>
      <c r="BS422" s="22"/>
      <c r="BT42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22" s="109" t="str">
        <f>IF(ISNUMBER(tblParticipants[[#This Row],[SvcStartDate]]),IF(AND(tblParticipants[[#This Row],[EnrollQtr]]=1,tblParticipants[[#This Row],[SvcStartDate]]&lt;DATE(conProgYear,7,1)),1,""),"")</f>
        <v/>
      </c>
      <c r="BV42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22" s="232" t="str">
        <f t="shared" ca="1" si="6"/>
        <v/>
      </c>
      <c r="BX422" s="9">
        <f>IF(SUM(IF(tblParticipants[[#This Row],[AmIndOrAkNtv]]=1,1,0),IF(tblParticipants[[#This Row],[Asian]]=1,1,0),IF(tblParticipants[[#This Row],[BlkOrAfAmer]]=1,1,0),IF(tblParticipants[[#This Row],[NtvHawOrPacIsl]]=1,1,0),IF(tblParticipants[[#This Row],[White]]=1,1,0))&gt;1,1,0)</f>
        <v>0</v>
      </c>
      <c r="BY42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2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2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22" s="11">
        <f>IF(tblParticipants[[#This Row],[EarnWg2Qae]]=1,IFERROR(tblParticipants[[#This Row],[HoursPerWk2Qae]]*tblParticipants[[#This Row],[HrlyWg2Qae]]*13,0),0)</f>
        <v>0</v>
      </c>
      <c r="CC422" s="11">
        <f>IF(tblParticipants[[#This Row],[EarnWg3Qae]]=1,IFERROR(tblParticipants[[#This Row],[HoursPerWk3Qae]]*tblParticipants[[#This Row],[HrlyWg3Qae]]*13,0),0)</f>
        <v>0</v>
      </c>
      <c r="CD422" s="9">
        <f>IFERROR(IF(SUM(tblParticipants[[#This Row],[EarnWg1Qae]],tblParticipants[[#This Row],[EarnWg2Qae]],tblParticipants[[#This Row],[EarnWg3Qae]])=3,1,0),0)</f>
        <v>0</v>
      </c>
      <c r="CE422" s="12">
        <f>IF(tblParticipants[[#This Row],[EmplAll3Qae]]=1,tblParticipants[[#This Row],[Earnings2Qae]]+tblParticipants[[#This Row],[Earnings3Qae]],0)</f>
        <v>0</v>
      </c>
      <c r="CF422" s="407"/>
    </row>
    <row r="423" spans="1:84" x14ac:dyDescent="0.3">
      <c r="A423" s="19"/>
      <c r="B423" s="19"/>
      <c r="C423" s="20"/>
      <c r="D423" s="20"/>
      <c r="E423" s="26"/>
      <c r="F423" s="26"/>
      <c r="G423" s="26"/>
      <c r="H423" s="26"/>
      <c r="I423" s="26"/>
      <c r="J423" s="26"/>
      <c r="K423" s="26"/>
      <c r="L423" s="26"/>
      <c r="M423" s="20"/>
      <c r="N423" s="26"/>
      <c r="O423" s="22"/>
      <c r="P423" s="21"/>
      <c r="Q423" s="23"/>
      <c r="R423" s="21"/>
      <c r="S423" s="21"/>
      <c r="T423" s="21"/>
      <c r="U423" s="21"/>
      <c r="V423" s="21"/>
      <c r="W423" s="24"/>
      <c r="X423" s="20"/>
      <c r="Y423" s="20"/>
      <c r="Z423" s="21"/>
      <c r="AA423" s="21"/>
      <c r="AB423" s="21"/>
      <c r="AC423" s="21"/>
      <c r="AD423" s="21"/>
      <c r="AE423" s="21"/>
      <c r="AF423" s="21"/>
      <c r="AG423" s="21"/>
      <c r="AH423" s="21"/>
      <c r="AI423" s="25"/>
      <c r="AJ423" s="20"/>
      <c r="AK423" s="21"/>
      <c r="AL423" s="20"/>
      <c r="AM423" s="20"/>
      <c r="AN423" s="20"/>
      <c r="AO423" s="20"/>
      <c r="AP423" s="446"/>
      <c r="AQ423" s="20"/>
      <c r="AR423" s="20"/>
      <c r="AS423" s="20"/>
      <c r="AT423" s="20"/>
      <c r="AU423" s="26"/>
      <c r="AV423" s="98"/>
      <c r="AW423" s="98"/>
      <c r="AX423" s="98"/>
      <c r="AY423" s="98"/>
      <c r="AZ423" s="98"/>
      <c r="BA423" s="217"/>
      <c r="BB423" s="98"/>
      <c r="BC423" s="98"/>
      <c r="BD423" s="98"/>
      <c r="BE423" s="98"/>
      <c r="BF423" s="98"/>
      <c r="BG423" s="219"/>
      <c r="BH423" s="219"/>
      <c r="BI423" s="219"/>
      <c r="BJ423" s="26"/>
      <c r="BK423" s="21"/>
      <c r="BL423" s="21"/>
      <c r="BM423" s="22"/>
      <c r="BN423" s="21"/>
      <c r="BO423" s="21"/>
      <c r="BP423" s="22"/>
      <c r="BQ423" s="21"/>
      <c r="BR423" s="21"/>
      <c r="BS423" s="22"/>
      <c r="BT42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23" s="109" t="str">
        <f>IF(ISNUMBER(tblParticipants[[#This Row],[SvcStartDate]]),IF(AND(tblParticipants[[#This Row],[EnrollQtr]]=1,tblParticipants[[#This Row],[SvcStartDate]]&lt;DATE(conProgYear,7,1)),1,""),"")</f>
        <v/>
      </c>
      <c r="BV42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23" s="232" t="str">
        <f t="shared" ca="1" si="6"/>
        <v/>
      </c>
      <c r="BX423" s="9">
        <f>IF(SUM(IF(tblParticipants[[#This Row],[AmIndOrAkNtv]]=1,1,0),IF(tblParticipants[[#This Row],[Asian]]=1,1,0),IF(tblParticipants[[#This Row],[BlkOrAfAmer]]=1,1,0),IF(tblParticipants[[#This Row],[NtvHawOrPacIsl]]=1,1,0),IF(tblParticipants[[#This Row],[White]]=1,1,0))&gt;1,1,0)</f>
        <v>0</v>
      </c>
      <c r="BY42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2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2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23" s="11">
        <f>IF(tblParticipants[[#This Row],[EarnWg2Qae]]=1,IFERROR(tblParticipants[[#This Row],[HoursPerWk2Qae]]*tblParticipants[[#This Row],[HrlyWg2Qae]]*13,0),0)</f>
        <v>0</v>
      </c>
      <c r="CC423" s="11">
        <f>IF(tblParticipants[[#This Row],[EarnWg3Qae]]=1,IFERROR(tblParticipants[[#This Row],[HoursPerWk3Qae]]*tblParticipants[[#This Row],[HrlyWg3Qae]]*13,0),0)</f>
        <v>0</v>
      </c>
      <c r="CD423" s="9">
        <f>IFERROR(IF(SUM(tblParticipants[[#This Row],[EarnWg1Qae]],tblParticipants[[#This Row],[EarnWg2Qae]],tblParticipants[[#This Row],[EarnWg3Qae]])=3,1,0),0)</f>
        <v>0</v>
      </c>
      <c r="CE423" s="12">
        <f>IF(tblParticipants[[#This Row],[EmplAll3Qae]]=1,tblParticipants[[#This Row],[Earnings2Qae]]+tblParticipants[[#This Row],[Earnings3Qae]],0)</f>
        <v>0</v>
      </c>
      <c r="CF423" s="407"/>
    </row>
    <row r="424" spans="1:84" x14ac:dyDescent="0.3">
      <c r="A424" s="19"/>
      <c r="B424" s="19"/>
      <c r="C424" s="20"/>
      <c r="D424" s="20"/>
      <c r="E424" s="26"/>
      <c r="F424" s="26"/>
      <c r="G424" s="26"/>
      <c r="H424" s="26"/>
      <c r="I424" s="26"/>
      <c r="J424" s="26"/>
      <c r="K424" s="26"/>
      <c r="L424" s="26"/>
      <c r="M424" s="20"/>
      <c r="N424" s="26"/>
      <c r="O424" s="22"/>
      <c r="P424" s="21"/>
      <c r="Q424" s="23"/>
      <c r="R424" s="21"/>
      <c r="S424" s="21"/>
      <c r="T424" s="21"/>
      <c r="U424" s="21"/>
      <c r="V424" s="21"/>
      <c r="W424" s="24"/>
      <c r="X424" s="20"/>
      <c r="Y424" s="20"/>
      <c r="Z424" s="21"/>
      <c r="AA424" s="21"/>
      <c r="AB424" s="21"/>
      <c r="AC424" s="21"/>
      <c r="AD424" s="21"/>
      <c r="AE424" s="21"/>
      <c r="AF424" s="21"/>
      <c r="AG424" s="21"/>
      <c r="AH424" s="21"/>
      <c r="AI424" s="25"/>
      <c r="AJ424" s="20"/>
      <c r="AK424" s="21"/>
      <c r="AL424" s="20"/>
      <c r="AM424" s="20"/>
      <c r="AN424" s="20"/>
      <c r="AO424" s="20"/>
      <c r="AP424" s="446"/>
      <c r="AQ424" s="20"/>
      <c r="AR424" s="20"/>
      <c r="AS424" s="20"/>
      <c r="AT424" s="20"/>
      <c r="AU424" s="26"/>
      <c r="AV424" s="98"/>
      <c r="AW424" s="98"/>
      <c r="AX424" s="98"/>
      <c r="AY424" s="98"/>
      <c r="AZ424" s="98"/>
      <c r="BA424" s="217"/>
      <c r="BB424" s="98"/>
      <c r="BC424" s="98"/>
      <c r="BD424" s="98"/>
      <c r="BE424" s="98"/>
      <c r="BF424" s="98"/>
      <c r="BG424" s="219"/>
      <c r="BH424" s="219"/>
      <c r="BI424" s="219"/>
      <c r="BJ424" s="26"/>
      <c r="BK424" s="21"/>
      <c r="BL424" s="21"/>
      <c r="BM424" s="22"/>
      <c r="BN424" s="21"/>
      <c r="BO424" s="21"/>
      <c r="BP424" s="22"/>
      <c r="BQ424" s="21"/>
      <c r="BR424" s="21"/>
      <c r="BS424" s="22"/>
      <c r="BT42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24" s="109" t="str">
        <f>IF(ISNUMBER(tblParticipants[[#This Row],[SvcStartDate]]),IF(AND(tblParticipants[[#This Row],[EnrollQtr]]=1,tblParticipants[[#This Row],[SvcStartDate]]&lt;DATE(conProgYear,7,1)),1,""),"")</f>
        <v/>
      </c>
      <c r="BV42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24" s="232" t="str">
        <f t="shared" ca="1" si="6"/>
        <v/>
      </c>
      <c r="BX424" s="9">
        <f>IF(SUM(IF(tblParticipants[[#This Row],[AmIndOrAkNtv]]=1,1,0),IF(tblParticipants[[#This Row],[Asian]]=1,1,0),IF(tblParticipants[[#This Row],[BlkOrAfAmer]]=1,1,0),IF(tblParticipants[[#This Row],[NtvHawOrPacIsl]]=1,1,0),IF(tblParticipants[[#This Row],[White]]=1,1,0))&gt;1,1,0)</f>
        <v>0</v>
      </c>
      <c r="BY42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2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2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24" s="11">
        <f>IF(tblParticipants[[#This Row],[EarnWg2Qae]]=1,IFERROR(tblParticipants[[#This Row],[HoursPerWk2Qae]]*tblParticipants[[#This Row],[HrlyWg2Qae]]*13,0),0)</f>
        <v>0</v>
      </c>
      <c r="CC424" s="11">
        <f>IF(tblParticipants[[#This Row],[EarnWg3Qae]]=1,IFERROR(tblParticipants[[#This Row],[HoursPerWk3Qae]]*tblParticipants[[#This Row],[HrlyWg3Qae]]*13,0),0)</f>
        <v>0</v>
      </c>
      <c r="CD424" s="9">
        <f>IFERROR(IF(SUM(tblParticipants[[#This Row],[EarnWg1Qae]],tblParticipants[[#This Row],[EarnWg2Qae]],tblParticipants[[#This Row],[EarnWg3Qae]])=3,1,0),0)</f>
        <v>0</v>
      </c>
      <c r="CE424" s="12">
        <f>IF(tblParticipants[[#This Row],[EmplAll3Qae]]=1,tblParticipants[[#This Row],[Earnings2Qae]]+tblParticipants[[#This Row],[Earnings3Qae]],0)</f>
        <v>0</v>
      </c>
      <c r="CF424" s="407"/>
    </row>
    <row r="425" spans="1:84" x14ac:dyDescent="0.3">
      <c r="A425" s="19"/>
      <c r="B425" s="19"/>
      <c r="C425" s="20"/>
      <c r="D425" s="20"/>
      <c r="E425" s="26"/>
      <c r="F425" s="26"/>
      <c r="G425" s="26"/>
      <c r="H425" s="26"/>
      <c r="I425" s="26"/>
      <c r="J425" s="26"/>
      <c r="K425" s="26"/>
      <c r="L425" s="26"/>
      <c r="M425" s="20"/>
      <c r="N425" s="26"/>
      <c r="O425" s="22"/>
      <c r="P425" s="21"/>
      <c r="Q425" s="23"/>
      <c r="R425" s="21"/>
      <c r="S425" s="21"/>
      <c r="T425" s="21"/>
      <c r="U425" s="21"/>
      <c r="V425" s="21"/>
      <c r="W425" s="24"/>
      <c r="X425" s="20"/>
      <c r="Y425" s="20"/>
      <c r="Z425" s="21"/>
      <c r="AA425" s="21"/>
      <c r="AB425" s="21"/>
      <c r="AC425" s="21"/>
      <c r="AD425" s="21"/>
      <c r="AE425" s="21"/>
      <c r="AF425" s="21"/>
      <c r="AG425" s="21"/>
      <c r="AH425" s="21"/>
      <c r="AI425" s="25"/>
      <c r="AJ425" s="20"/>
      <c r="AK425" s="21"/>
      <c r="AL425" s="20"/>
      <c r="AM425" s="20"/>
      <c r="AN425" s="20"/>
      <c r="AO425" s="20"/>
      <c r="AP425" s="446"/>
      <c r="AQ425" s="20"/>
      <c r="AR425" s="20"/>
      <c r="AS425" s="20"/>
      <c r="AT425" s="20"/>
      <c r="AU425" s="26"/>
      <c r="AV425" s="98"/>
      <c r="AW425" s="98"/>
      <c r="AX425" s="98"/>
      <c r="AY425" s="98"/>
      <c r="AZ425" s="98"/>
      <c r="BA425" s="217"/>
      <c r="BB425" s="98"/>
      <c r="BC425" s="98"/>
      <c r="BD425" s="98"/>
      <c r="BE425" s="98"/>
      <c r="BF425" s="98"/>
      <c r="BG425" s="219"/>
      <c r="BH425" s="219"/>
      <c r="BI425" s="219"/>
      <c r="BJ425" s="26"/>
      <c r="BK425" s="21"/>
      <c r="BL425" s="21"/>
      <c r="BM425" s="22"/>
      <c r="BN425" s="21"/>
      <c r="BO425" s="21"/>
      <c r="BP425" s="22"/>
      <c r="BQ425" s="21"/>
      <c r="BR425" s="21"/>
      <c r="BS425" s="22"/>
      <c r="BT42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25" s="109" t="str">
        <f>IF(ISNUMBER(tblParticipants[[#This Row],[SvcStartDate]]),IF(AND(tblParticipants[[#This Row],[EnrollQtr]]=1,tblParticipants[[#This Row],[SvcStartDate]]&lt;DATE(conProgYear,7,1)),1,""),"")</f>
        <v/>
      </c>
      <c r="BV42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25" s="232" t="str">
        <f t="shared" ca="1" si="6"/>
        <v/>
      </c>
      <c r="BX425" s="9">
        <f>IF(SUM(IF(tblParticipants[[#This Row],[AmIndOrAkNtv]]=1,1,0),IF(tblParticipants[[#This Row],[Asian]]=1,1,0),IF(tblParticipants[[#This Row],[BlkOrAfAmer]]=1,1,0),IF(tblParticipants[[#This Row],[NtvHawOrPacIsl]]=1,1,0),IF(tblParticipants[[#This Row],[White]]=1,1,0))&gt;1,1,0)</f>
        <v>0</v>
      </c>
      <c r="BY42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2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2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25" s="11">
        <f>IF(tblParticipants[[#This Row],[EarnWg2Qae]]=1,IFERROR(tblParticipants[[#This Row],[HoursPerWk2Qae]]*tblParticipants[[#This Row],[HrlyWg2Qae]]*13,0),0)</f>
        <v>0</v>
      </c>
      <c r="CC425" s="11">
        <f>IF(tblParticipants[[#This Row],[EarnWg3Qae]]=1,IFERROR(tblParticipants[[#This Row],[HoursPerWk3Qae]]*tblParticipants[[#This Row],[HrlyWg3Qae]]*13,0),0)</f>
        <v>0</v>
      </c>
      <c r="CD425" s="9">
        <f>IFERROR(IF(SUM(tblParticipants[[#This Row],[EarnWg1Qae]],tblParticipants[[#This Row],[EarnWg2Qae]],tblParticipants[[#This Row],[EarnWg3Qae]])=3,1,0),0)</f>
        <v>0</v>
      </c>
      <c r="CE425" s="12">
        <f>IF(tblParticipants[[#This Row],[EmplAll3Qae]]=1,tblParticipants[[#This Row],[Earnings2Qae]]+tblParticipants[[#This Row],[Earnings3Qae]],0)</f>
        <v>0</v>
      </c>
      <c r="CF425" s="407"/>
    </row>
    <row r="426" spans="1:84" x14ac:dyDescent="0.3">
      <c r="A426" s="19"/>
      <c r="B426" s="19"/>
      <c r="C426" s="20"/>
      <c r="D426" s="20"/>
      <c r="E426" s="26"/>
      <c r="F426" s="26"/>
      <c r="G426" s="26"/>
      <c r="H426" s="26"/>
      <c r="I426" s="26"/>
      <c r="J426" s="26"/>
      <c r="K426" s="26"/>
      <c r="L426" s="26"/>
      <c r="M426" s="20"/>
      <c r="N426" s="26"/>
      <c r="O426" s="22"/>
      <c r="P426" s="21"/>
      <c r="Q426" s="23"/>
      <c r="R426" s="21"/>
      <c r="S426" s="21"/>
      <c r="T426" s="21"/>
      <c r="U426" s="21"/>
      <c r="V426" s="21"/>
      <c r="W426" s="24"/>
      <c r="X426" s="20"/>
      <c r="Y426" s="20"/>
      <c r="Z426" s="21"/>
      <c r="AA426" s="21"/>
      <c r="AB426" s="21"/>
      <c r="AC426" s="21"/>
      <c r="AD426" s="21"/>
      <c r="AE426" s="21"/>
      <c r="AF426" s="21"/>
      <c r="AG426" s="21"/>
      <c r="AH426" s="21"/>
      <c r="AI426" s="25"/>
      <c r="AJ426" s="20"/>
      <c r="AK426" s="21"/>
      <c r="AL426" s="20"/>
      <c r="AM426" s="20"/>
      <c r="AN426" s="20"/>
      <c r="AO426" s="20"/>
      <c r="AP426" s="446"/>
      <c r="AQ426" s="20"/>
      <c r="AR426" s="20"/>
      <c r="AS426" s="20"/>
      <c r="AT426" s="20"/>
      <c r="AU426" s="26"/>
      <c r="AV426" s="98"/>
      <c r="AW426" s="98"/>
      <c r="AX426" s="98"/>
      <c r="AY426" s="98"/>
      <c r="AZ426" s="98"/>
      <c r="BA426" s="217"/>
      <c r="BB426" s="98"/>
      <c r="BC426" s="98"/>
      <c r="BD426" s="98"/>
      <c r="BE426" s="98"/>
      <c r="BF426" s="98"/>
      <c r="BG426" s="219"/>
      <c r="BH426" s="219"/>
      <c r="BI426" s="219"/>
      <c r="BJ426" s="26"/>
      <c r="BK426" s="21"/>
      <c r="BL426" s="21"/>
      <c r="BM426" s="22"/>
      <c r="BN426" s="21"/>
      <c r="BO426" s="21"/>
      <c r="BP426" s="22"/>
      <c r="BQ426" s="21"/>
      <c r="BR426" s="21"/>
      <c r="BS426" s="22"/>
      <c r="BT42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26" s="109" t="str">
        <f>IF(ISNUMBER(tblParticipants[[#This Row],[SvcStartDate]]),IF(AND(tblParticipants[[#This Row],[EnrollQtr]]=1,tblParticipants[[#This Row],[SvcStartDate]]&lt;DATE(conProgYear,7,1)),1,""),"")</f>
        <v/>
      </c>
      <c r="BV42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26" s="232" t="str">
        <f t="shared" ca="1" si="6"/>
        <v/>
      </c>
      <c r="BX426" s="9">
        <f>IF(SUM(IF(tblParticipants[[#This Row],[AmIndOrAkNtv]]=1,1,0),IF(tblParticipants[[#This Row],[Asian]]=1,1,0),IF(tblParticipants[[#This Row],[BlkOrAfAmer]]=1,1,0),IF(tblParticipants[[#This Row],[NtvHawOrPacIsl]]=1,1,0),IF(tblParticipants[[#This Row],[White]]=1,1,0))&gt;1,1,0)</f>
        <v>0</v>
      </c>
      <c r="BY42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2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2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26" s="11">
        <f>IF(tblParticipants[[#This Row],[EarnWg2Qae]]=1,IFERROR(tblParticipants[[#This Row],[HoursPerWk2Qae]]*tblParticipants[[#This Row],[HrlyWg2Qae]]*13,0),0)</f>
        <v>0</v>
      </c>
      <c r="CC426" s="11">
        <f>IF(tblParticipants[[#This Row],[EarnWg3Qae]]=1,IFERROR(tblParticipants[[#This Row],[HoursPerWk3Qae]]*tblParticipants[[#This Row],[HrlyWg3Qae]]*13,0),0)</f>
        <v>0</v>
      </c>
      <c r="CD426" s="9">
        <f>IFERROR(IF(SUM(tblParticipants[[#This Row],[EarnWg1Qae]],tblParticipants[[#This Row],[EarnWg2Qae]],tblParticipants[[#This Row],[EarnWg3Qae]])=3,1,0),0)</f>
        <v>0</v>
      </c>
      <c r="CE426" s="12">
        <f>IF(tblParticipants[[#This Row],[EmplAll3Qae]]=1,tblParticipants[[#This Row],[Earnings2Qae]]+tblParticipants[[#This Row],[Earnings3Qae]],0)</f>
        <v>0</v>
      </c>
      <c r="CF426" s="407"/>
    </row>
    <row r="427" spans="1:84" x14ac:dyDescent="0.3">
      <c r="A427" s="19"/>
      <c r="B427" s="19"/>
      <c r="C427" s="20"/>
      <c r="D427" s="20"/>
      <c r="E427" s="26"/>
      <c r="F427" s="26"/>
      <c r="G427" s="26"/>
      <c r="H427" s="26"/>
      <c r="I427" s="26"/>
      <c r="J427" s="26"/>
      <c r="K427" s="26"/>
      <c r="L427" s="26"/>
      <c r="M427" s="20"/>
      <c r="N427" s="26"/>
      <c r="O427" s="22"/>
      <c r="P427" s="21"/>
      <c r="Q427" s="23"/>
      <c r="R427" s="21"/>
      <c r="S427" s="21"/>
      <c r="T427" s="21"/>
      <c r="U427" s="21"/>
      <c r="V427" s="21"/>
      <c r="W427" s="24"/>
      <c r="X427" s="20"/>
      <c r="Y427" s="20"/>
      <c r="Z427" s="21"/>
      <c r="AA427" s="21"/>
      <c r="AB427" s="21"/>
      <c r="AC427" s="21"/>
      <c r="AD427" s="21"/>
      <c r="AE427" s="21"/>
      <c r="AF427" s="21"/>
      <c r="AG427" s="21"/>
      <c r="AH427" s="21"/>
      <c r="AI427" s="25"/>
      <c r="AJ427" s="20"/>
      <c r="AK427" s="21"/>
      <c r="AL427" s="20"/>
      <c r="AM427" s="20"/>
      <c r="AN427" s="20"/>
      <c r="AO427" s="20"/>
      <c r="AP427" s="446"/>
      <c r="AQ427" s="20"/>
      <c r="AR427" s="20"/>
      <c r="AS427" s="20"/>
      <c r="AT427" s="20"/>
      <c r="AU427" s="26"/>
      <c r="AV427" s="98"/>
      <c r="AW427" s="98"/>
      <c r="AX427" s="98"/>
      <c r="AY427" s="98"/>
      <c r="AZ427" s="98"/>
      <c r="BA427" s="217"/>
      <c r="BB427" s="98"/>
      <c r="BC427" s="98"/>
      <c r="BD427" s="98"/>
      <c r="BE427" s="98"/>
      <c r="BF427" s="98"/>
      <c r="BG427" s="219"/>
      <c r="BH427" s="219"/>
      <c r="BI427" s="219"/>
      <c r="BJ427" s="26"/>
      <c r="BK427" s="21"/>
      <c r="BL427" s="21"/>
      <c r="BM427" s="22"/>
      <c r="BN427" s="21"/>
      <c r="BO427" s="21"/>
      <c r="BP427" s="22"/>
      <c r="BQ427" s="21"/>
      <c r="BR427" s="21"/>
      <c r="BS427" s="22"/>
      <c r="BT42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27" s="109" t="str">
        <f>IF(ISNUMBER(tblParticipants[[#This Row],[SvcStartDate]]),IF(AND(tblParticipants[[#This Row],[EnrollQtr]]=1,tblParticipants[[#This Row],[SvcStartDate]]&lt;DATE(conProgYear,7,1)),1,""),"")</f>
        <v/>
      </c>
      <c r="BV42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27" s="232" t="str">
        <f t="shared" ca="1" si="6"/>
        <v/>
      </c>
      <c r="BX427" s="9">
        <f>IF(SUM(IF(tblParticipants[[#This Row],[AmIndOrAkNtv]]=1,1,0),IF(tblParticipants[[#This Row],[Asian]]=1,1,0),IF(tblParticipants[[#This Row],[BlkOrAfAmer]]=1,1,0),IF(tblParticipants[[#This Row],[NtvHawOrPacIsl]]=1,1,0),IF(tblParticipants[[#This Row],[White]]=1,1,0))&gt;1,1,0)</f>
        <v>0</v>
      </c>
      <c r="BY42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2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2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27" s="11">
        <f>IF(tblParticipants[[#This Row],[EarnWg2Qae]]=1,IFERROR(tblParticipants[[#This Row],[HoursPerWk2Qae]]*tblParticipants[[#This Row],[HrlyWg2Qae]]*13,0),0)</f>
        <v>0</v>
      </c>
      <c r="CC427" s="11">
        <f>IF(tblParticipants[[#This Row],[EarnWg3Qae]]=1,IFERROR(tblParticipants[[#This Row],[HoursPerWk3Qae]]*tblParticipants[[#This Row],[HrlyWg3Qae]]*13,0),0)</f>
        <v>0</v>
      </c>
      <c r="CD427" s="9">
        <f>IFERROR(IF(SUM(tblParticipants[[#This Row],[EarnWg1Qae]],tblParticipants[[#This Row],[EarnWg2Qae]],tblParticipants[[#This Row],[EarnWg3Qae]])=3,1,0),0)</f>
        <v>0</v>
      </c>
      <c r="CE427" s="12">
        <f>IF(tblParticipants[[#This Row],[EmplAll3Qae]]=1,tblParticipants[[#This Row],[Earnings2Qae]]+tblParticipants[[#This Row],[Earnings3Qae]],0)</f>
        <v>0</v>
      </c>
      <c r="CF427" s="407"/>
    </row>
    <row r="428" spans="1:84" x14ac:dyDescent="0.3">
      <c r="A428" s="19"/>
      <c r="B428" s="19"/>
      <c r="C428" s="20"/>
      <c r="D428" s="20"/>
      <c r="E428" s="26"/>
      <c r="F428" s="26"/>
      <c r="G428" s="26"/>
      <c r="H428" s="26"/>
      <c r="I428" s="26"/>
      <c r="J428" s="26"/>
      <c r="K428" s="26"/>
      <c r="L428" s="26"/>
      <c r="M428" s="20"/>
      <c r="N428" s="26"/>
      <c r="O428" s="22"/>
      <c r="P428" s="21"/>
      <c r="Q428" s="23"/>
      <c r="R428" s="21"/>
      <c r="S428" s="21"/>
      <c r="T428" s="21"/>
      <c r="U428" s="21"/>
      <c r="V428" s="21"/>
      <c r="W428" s="24"/>
      <c r="X428" s="20"/>
      <c r="Y428" s="20"/>
      <c r="Z428" s="21"/>
      <c r="AA428" s="21"/>
      <c r="AB428" s="21"/>
      <c r="AC428" s="21"/>
      <c r="AD428" s="21"/>
      <c r="AE428" s="21"/>
      <c r="AF428" s="21"/>
      <c r="AG428" s="21"/>
      <c r="AH428" s="21"/>
      <c r="AI428" s="25"/>
      <c r="AJ428" s="20"/>
      <c r="AK428" s="21"/>
      <c r="AL428" s="20"/>
      <c r="AM428" s="20"/>
      <c r="AN428" s="20"/>
      <c r="AO428" s="20"/>
      <c r="AP428" s="446"/>
      <c r="AQ428" s="20"/>
      <c r="AR428" s="20"/>
      <c r="AS428" s="20"/>
      <c r="AT428" s="20"/>
      <c r="AU428" s="26"/>
      <c r="AV428" s="98"/>
      <c r="AW428" s="98"/>
      <c r="AX428" s="98"/>
      <c r="AY428" s="98"/>
      <c r="AZ428" s="98"/>
      <c r="BA428" s="217"/>
      <c r="BB428" s="98"/>
      <c r="BC428" s="98"/>
      <c r="BD428" s="98"/>
      <c r="BE428" s="98"/>
      <c r="BF428" s="98"/>
      <c r="BG428" s="219"/>
      <c r="BH428" s="219"/>
      <c r="BI428" s="219"/>
      <c r="BJ428" s="26"/>
      <c r="BK428" s="21"/>
      <c r="BL428" s="21"/>
      <c r="BM428" s="22"/>
      <c r="BN428" s="21"/>
      <c r="BO428" s="21"/>
      <c r="BP428" s="22"/>
      <c r="BQ428" s="21"/>
      <c r="BR428" s="21"/>
      <c r="BS428" s="22"/>
      <c r="BT42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28" s="109" t="str">
        <f>IF(ISNUMBER(tblParticipants[[#This Row],[SvcStartDate]]),IF(AND(tblParticipants[[#This Row],[EnrollQtr]]=1,tblParticipants[[#This Row],[SvcStartDate]]&lt;DATE(conProgYear,7,1)),1,""),"")</f>
        <v/>
      </c>
      <c r="BV42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28" s="232" t="str">
        <f t="shared" ca="1" si="6"/>
        <v/>
      </c>
      <c r="BX428" s="9">
        <f>IF(SUM(IF(tblParticipants[[#This Row],[AmIndOrAkNtv]]=1,1,0),IF(tblParticipants[[#This Row],[Asian]]=1,1,0),IF(tblParticipants[[#This Row],[BlkOrAfAmer]]=1,1,0),IF(tblParticipants[[#This Row],[NtvHawOrPacIsl]]=1,1,0),IF(tblParticipants[[#This Row],[White]]=1,1,0))&gt;1,1,0)</f>
        <v>0</v>
      </c>
      <c r="BY42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2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2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28" s="11">
        <f>IF(tblParticipants[[#This Row],[EarnWg2Qae]]=1,IFERROR(tblParticipants[[#This Row],[HoursPerWk2Qae]]*tblParticipants[[#This Row],[HrlyWg2Qae]]*13,0),0)</f>
        <v>0</v>
      </c>
      <c r="CC428" s="11">
        <f>IF(tblParticipants[[#This Row],[EarnWg3Qae]]=1,IFERROR(tblParticipants[[#This Row],[HoursPerWk3Qae]]*tblParticipants[[#This Row],[HrlyWg3Qae]]*13,0),0)</f>
        <v>0</v>
      </c>
      <c r="CD428" s="9">
        <f>IFERROR(IF(SUM(tblParticipants[[#This Row],[EarnWg1Qae]],tblParticipants[[#This Row],[EarnWg2Qae]],tblParticipants[[#This Row],[EarnWg3Qae]])=3,1,0),0)</f>
        <v>0</v>
      </c>
      <c r="CE428" s="12">
        <f>IF(tblParticipants[[#This Row],[EmplAll3Qae]]=1,tblParticipants[[#This Row],[Earnings2Qae]]+tblParticipants[[#This Row],[Earnings3Qae]],0)</f>
        <v>0</v>
      </c>
      <c r="CF428" s="407"/>
    </row>
    <row r="429" spans="1:84" x14ac:dyDescent="0.3">
      <c r="A429" s="19"/>
      <c r="B429" s="19"/>
      <c r="C429" s="20"/>
      <c r="D429" s="20"/>
      <c r="E429" s="26"/>
      <c r="F429" s="26"/>
      <c r="G429" s="26"/>
      <c r="H429" s="26"/>
      <c r="I429" s="26"/>
      <c r="J429" s="26"/>
      <c r="K429" s="26"/>
      <c r="L429" s="26"/>
      <c r="M429" s="20"/>
      <c r="N429" s="26"/>
      <c r="O429" s="22"/>
      <c r="P429" s="21"/>
      <c r="Q429" s="23"/>
      <c r="R429" s="21"/>
      <c r="S429" s="21"/>
      <c r="T429" s="21"/>
      <c r="U429" s="21"/>
      <c r="V429" s="21"/>
      <c r="W429" s="24"/>
      <c r="X429" s="20"/>
      <c r="Y429" s="20"/>
      <c r="Z429" s="21"/>
      <c r="AA429" s="21"/>
      <c r="AB429" s="21"/>
      <c r="AC429" s="21"/>
      <c r="AD429" s="21"/>
      <c r="AE429" s="21"/>
      <c r="AF429" s="21"/>
      <c r="AG429" s="21"/>
      <c r="AH429" s="21"/>
      <c r="AI429" s="25"/>
      <c r="AJ429" s="20"/>
      <c r="AK429" s="21"/>
      <c r="AL429" s="20"/>
      <c r="AM429" s="20"/>
      <c r="AN429" s="20"/>
      <c r="AO429" s="20"/>
      <c r="AP429" s="446"/>
      <c r="AQ429" s="20"/>
      <c r="AR429" s="20"/>
      <c r="AS429" s="20"/>
      <c r="AT429" s="20"/>
      <c r="AU429" s="26"/>
      <c r="AV429" s="98"/>
      <c r="AW429" s="98"/>
      <c r="AX429" s="98"/>
      <c r="AY429" s="98"/>
      <c r="AZ429" s="98"/>
      <c r="BA429" s="217"/>
      <c r="BB429" s="98"/>
      <c r="BC429" s="98"/>
      <c r="BD429" s="98"/>
      <c r="BE429" s="98"/>
      <c r="BF429" s="98"/>
      <c r="BG429" s="219"/>
      <c r="BH429" s="219"/>
      <c r="BI429" s="219"/>
      <c r="BJ429" s="26"/>
      <c r="BK429" s="21"/>
      <c r="BL429" s="21"/>
      <c r="BM429" s="22"/>
      <c r="BN429" s="21"/>
      <c r="BO429" s="21"/>
      <c r="BP429" s="22"/>
      <c r="BQ429" s="21"/>
      <c r="BR429" s="21"/>
      <c r="BS429" s="22"/>
      <c r="BT42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29" s="109" t="str">
        <f>IF(ISNUMBER(tblParticipants[[#This Row],[SvcStartDate]]),IF(AND(tblParticipants[[#This Row],[EnrollQtr]]=1,tblParticipants[[#This Row],[SvcStartDate]]&lt;DATE(conProgYear,7,1)),1,""),"")</f>
        <v/>
      </c>
      <c r="BV42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29" s="232" t="str">
        <f t="shared" ca="1" si="6"/>
        <v/>
      </c>
      <c r="BX429" s="9">
        <f>IF(SUM(IF(tblParticipants[[#This Row],[AmIndOrAkNtv]]=1,1,0),IF(tblParticipants[[#This Row],[Asian]]=1,1,0),IF(tblParticipants[[#This Row],[BlkOrAfAmer]]=1,1,0),IF(tblParticipants[[#This Row],[NtvHawOrPacIsl]]=1,1,0),IF(tblParticipants[[#This Row],[White]]=1,1,0))&gt;1,1,0)</f>
        <v>0</v>
      </c>
      <c r="BY42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2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2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29" s="11">
        <f>IF(tblParticipants[[#This Row],[EarnWg2Qae]]=1,IFERROR(tblParticipants[[#This Row],[HoursPerWk2Qae]]*tblParticipants[[#This Row],[HrlyWg2Qae]]*13,0),0)</f>
        <v>0</v>
      </c>
      <c r="CC429" s="11">
        <f>IF(tblParticipants[[#This Row],[EarnWg3Qae]]=1,IFERROR(tblParticipants[[#This Row],[HoursPerWk3Qae]]*tblParticipants[[#This Row],[HrlyWg3Qae]]*13,0),0)</f>
        <v>0</v>
      </c>
      <c r="CD429" s="9">
        <f>IFERROR(IF(SUM(tblParticipants[[#This Row],[EarnWg1Qae]],tblParticipants[[#This Row],[EarnWg2Qae]],tblParticipants[[#This Row],[EarnWg3Qae]])=3,1,0),0)</f>
        <v>0</v>
      </c>
      <c r="CE429" s="12">
        <f>IF(tblParticipants[[#This Row],[EmplAll3Qae]]=1,tblParticipants[[#This Row],[Earnings2Qae]]+tblParticipants[[#This Row],[Earnings3Qae]],0)</f>
        <v>0</v>
      </c>
      <c r="CF429" s="407"/>
    </row>
    <row r="430" spans="1:84" x14ac:dyDescent="0.3">
      <c r="A430" s="19"/>
      <c r="B430" s="19"/>
      <c r="C430" s="20"/>
      <c r="D430" s="20"/>
      <c r="E430" s="26"/>
      <c r="F430" s="26"/>
      <c r="G430" s="26"/>
      <c r="H430" s="26"/>
      <c r="I430" s="26"/>
      <c r="J430" s="26"/>
      <c r="K430" s="26"/>
      <c r="L430" s="26"/>
      <c r="M430" s="20"/>
      <c r="N430" s="26"/>
      <c r="O430" s="22"/>
      <c r="P430" s="21"/>
      <c r="Q430" s="23"/>
      <c r="R430" s="21"/>
      <c r="S430" s="21"/>
      <c r="T430" s="21"/>
      <c r="U430" s="21"/>
      <c r="V430" s="21"/>
      <c r="W430" s="24"/>
      <c r="X430" s="20"/>
      <c r="Y430" s="20"/>
      <c r="Z430" s="21"/>
      <c r="AA430" s="21"/>
      <c r="AB430" s="21"/>
      <c r="AC430" s="21"/>
      <c r="AD430" s="21"/>
      <c r="AE430" s="21"/>
      <c r="AF430" s="21"/>
      <c r="AG430" s="21"/>
      <c r="AH430" s="21"/>
      <c r="AI430" s="25"/>
      <c r="AJ430" s="20"/>
      <c r="AK430" s="21"/>
      <c r="AL430" s="20"/>
      <c r="AM430" s="20"/>
      <c r="AN430" s="20"/>
      <c r="AO430" s="20"/>
      <c r="AP430" s="446"/>
      <c r="AQ430" s="20"/>
      <c r="AR430" s="20"/>
      <c r="AS430" s="20"/>
      <c r="AT430" s="20"/>
      <c r="AU430" s="26"/>
      <c r="AV430" s="98"/>
      <c r="AW430" s="98"/>
      <c r="AX430" s="98"/>
      <c r="AY430" s="98"/>
      <c r="AZ430" s="98"/>
      <c r="BA430" s="217"/>
      <c r="BB430" s="98"/>
      <c r="BC430" s="98"/>
      <c r="BD430" s="98"/>
      <c r="BE430" s="98"/>
      <c r="BF430" s="98"/>
      <c r="BG430" s="219"/>
      <c r="BH430" s="219"/>
      <c r="BI430" s="219"/>
      <c r="BJ430" s="26"/>
      <c r="BK430" s="21"/>
      <c r="BL430" s="21"/>
      <c r="BM430" s="22"/>
      <c r="BN430" s="21"/>
      <c r="BO430" s="21"/>
      <c r="BP430" s="22"/>
      <c r="BQ430" s="21"/>
      <c r="BR430" s="21"/>
      <c r="BS430" s="22"/>
      <c r="BT43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30" s="109" t="str">
        <f>IF(ISNUMBER(tblParticipants[[#This Row],[SvcStartDate]]),IF(AND(tblParticipants[[#This Row],[EnrollQtr]]=1,tblParticipants[[#This Row],[SvcStartDate]]&lt;DATE(conProgYear,7,1)),1,""),"")</f>
        <v/>
      </c>
      <c r="BV43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30" s="232" t="str">
        <f t="shared" ca="1" si="6"/>
        <v/>
      </c>
      <c r="BX430" s="9">
        <f>IF(SUM(IF(tblParticipants[[#This Row],[AmIndOrAkNtv]]=1,1,0),IF(tblParticipants[[#This Row],[Asian]]=1,1,0),IF(tblParticipants[[#This Row],[BlkOrAfAmer]]=1,1,0),IF(tblParticipants[[#This Row],[NtvHawOrPacIsl]]=1,1,0),IF(tblParticipants[[#This Row],[White]]=1,1,0))&gt;1,1,0)</f>
        <v>0</v>
      </c>
      <c r="BY43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3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3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30" s="11">
        <f>IF(tblParticipants[[#This Row],[EarnWg2Qae]]=1,IFERROR(tblParticipants[[#This Row],[HoursPerWk2Qae]]*tblParticipants[[#This Row],[HrlyWg2Qae]]*13,0),0)</f>
        <v>0</v>
      </c>
      <c r="CC430" s="11">
        <f>IF(tblParticipants[[#This Row],[EarnWg3Qae]]=1,IFERROR(tblParticipants[[#This Row],[HoursPerWk3Qae]]*tblParticipants[[#This Row],[HrlyWg3Qae]]*13,0),0)</f>
        <v>0</v>
      </c>
      <c r="CD430" s="9">
        <f>IFERROR(IF(SUM(tblParticipants[[#This Row],[EarnWg1Qae]],tblParticipants[[#This Row],[EarnWg2Qae]],tblParticipants[[#This Row],[EarnWg3Qae]])=3,1,0),0)</f>
        <v>0</v>
      </c>
      <c r="CE430" s="12">
        <f>IF(tblParticipants[[#This Row],[EmplAll3Qae]]=1,tblParticipants[[#This Row],[Earnings2Qae]]+tblParticipants[[#This Row],[Earnings3Qae]],0)</f>
        <v>0</v>
      </c>
      <c r="CF430" s="407"/>
    </row>
    <row r="431" spans="1:84" x14ac:dyDescent="0.3">
      <c r="A431" s="19"/>
      <c r="B431" s="19"/>
      <c r="C431" s="20"/>
      <c r="D431" s="20"/>
      <c r="E431" s="26"/>
      <c r="F431" s="26"/>
      <c r="G431" s="26"/>
      <c r="H431" s="26"/>
      <c r="I431" s="26"/>
      <c r="J431" s="26"/>
      <c r="K431" s="26"/>
      <c r="L431" s="26"/>
      <c r="M431" s="20"/>
      <c r="N431" s="26"/>
      <c r="O431" s="22"/>
      <c r="P431" s="21"/>
      <c r="Q431" s="23"/>
      <c r="R431" s="21"/>
      <c r="S431" s="21"/>
      <c r="T431" s="21"/>
      <c r="U431" s="21"/>
      <c r="V431" s="21"/>
      <c r="W431" s="24"/>
      <c r="X431" s="20"/>
      <c r="Y431" s="20"/>
      <c r="Z431" s="21"/>
      <c r="AA431" s="21"/>
      <c r="AB431" s="21"/>
      <c r="AC431" s="21"/>
      <c r="AD431" s="21"/>
      <c r="AE431" s="21"/>
      <c r="AF431" s="21"/>
      <c r="AG431" s="21"/>
      <c r="AH431" s="21"/>
      <c r="AI431" s="25"/>
      <c r="AJ431" s="20"/>
      <c r="AK431" s="21"/>
      <c r="AL431" s="20"/>
      <c r="AM431" s="20"/>
      <c r="AN431" s="20"/>
      <c r="AO431" s="20"/>
      <c r="AP431" s="446"/>
      <c r="AQ431" s="20"/>
      <c r="AR431" s="20"/>
      <c r="AS431" s="20"/>
      <c r="AT431" s="20"/>
      <c r="AU431" s="26"/>
      <c r="AV431" s="98"/>
      <c r="AW431" s="98"/>
      <c r="AX431" s="98"/>
      <c r="AY431" s="98"/>
      <c r="AZ431" s="98"/>
      <c r="BA431" s="217"/>
      <c r="BB431" s="98"/>
      <c r="BC431" s="98"/>
      <c r="BD431" s="98"/>
      <c r="BE431" s="98"/>
      <c r="BF431" s="98"/>
      <c r="BG431" s="219"/>
      <c r="BH431" s="219"/>
      <c r="BI431" s="219"/>
      <c r="BJ431" s="26"/>
      <c r="BK431" s="21"/>
      <c r="BL431" s="21"/>
      <c r="BM431" s="22"/>
      <c r="BN431" s="21"/>
      <c r="BO431" s="21"/>
      <c r="BP431" s="22"/>
      <c r="BQ431" s="21"/>
      <c r="BR431" s="21"/>
      <c r="BS431" s="22"/>
      <c r="BT43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31" s="109" t="str">
        <f>IF(ISNUMBER(tblParticipants[[#This Row],[SvcStartDate]]),IF(AND(tblParticipants[[#This Row],[EnrollQtr]]=1,tblParticipants[[#This Row],[SvcStartDate]]&lt;DATE(conProgYear,7,1)),1,""),"")</f>
        <v/>
      </c>
      <c r="BV43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31" s="232" t="str">
        <f t="shared" ca="1" si="6"/>
        <v/>
      </c>
      <c r="BX431" s="9">
        <f>IF(SUM(IF(tblParticipants[[#This Row],[AmIndOrAkNtv]]=1,1,0),IF(tblParticipants[[#This Row],[Asian]]=1,1,0),IF(tblParticipants[[#This Row],[BlkOrAfAmer]]=1,1,0),IF(tblParticipants[[#This Row],[NtvHawOrPacIsl]]=1,1,0),IF(tblParticipants[[#This Row],[White]]=1,1,0))&gt;1,1,0)</f>
        <v>0</v>
      </c>
      <c r="BY43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3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3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31" s="11">
        <f>IF(tblParticipants[[#This Row],[EarnWg2Qae]]=1,IFERROR(tblParticipants[[#This Row],[HoursPerWk2Qae]]*tblParticipants[[#This Row],[HrlyWg2Qae]]*13,0),0)</f>
        <v>0</v>
      </c>
      <c r="CC431" s="11">
        <f>IF(tblParticipants[[#This Row],[EarnWg3Qae]]=1,IFERROR(tblParticipants[[#This Row],[HoursPerWk3Qae]]*tblParticipants[[#This Row],[HrlyWg3Qae]]*13,0),0)</f>
        <v>0</v>
      </c>
      <c r="CD431" s="9">
        <f>IFERROR(IF(SUM(tblParticipants[[#This Row],[EarnWg1Qae]],tblParticipants[[#This Row],[EarnWg2Qae]],tblParticipants[[#This Row],[EarnWg3Qae]])=3,1,0),0)</f>
        <v>0</v>
      </c>
      <c r="CE431" s="12">
        <f>IF(tblParticipants[[#This Row],[EmplAll3Qae]]=1,tblParticipants[[#This Row],[Earnings2Qae]]+tblParticipants[[#This Row],[Earnings3Qae]],0)</f>
        <v>0</v>
      </c>
      <c r="CF431" s="407"/>
    </row>
    <row r="432" spans="1:84" x14ac:dyDescent="0.3">
      <c r="A432" s="19"/>
      <c r="B432" s="19"/>
      <c r="C432" s="20"/>
      <c r="D432" s="20"/>
      <c r="E432" s="26"/>
      <c r="F432" s="26"/>
      <c r="G432" s="26"/>
      <c r="H432" s="26"/>
      <c r="I432" s="26"/>
      <c r="J432" s="26"/>
      <c r="K432" s="26"/>
      <c r="L432" s="26"/>
      <c r="M432" s="20"/>
      <c r="N432" s="26"/>
      <c r="O432" s="22"/>
      <c r="P432" s="21"/>
      <c r="Q432" s="23"/>
      <c r="R432" s="21"/>
      <c r="S432" s="21"/>
      <c r="T432" s="21"/>
      <c r="U432" s="21"/>
      <c r="V432" s="21"/>
      <c r="W432" s="24"/>
      <c r="X432" s="20"/>
      <c r="Y432" s="20"/>
      <c r="Z432" s="21"/>
      <c r="AA432" s="21"/>
      <c r="AB432" s="21"/>
      <c r="AC432" s="21"/>
      <c r="AD432" s="21"/>
      <c r="AE432" s="21"/>
      <c r="AF432" s="21"/>
      <c r="AG432" s="21"/>
      <c r="AH432" s="21"/>
      <c r="AI432" s="25"/>
      <c r="AJ432" s="20"/>
      <c r="AK432" s="21"/>
      <c r="AL432" s="20"/>
      <c r="AM432" s="20"/>
      <c r="AN432" s="20"/>
      <c r="AO432" s="20"/>
      <c r="AP432" s="446"/>
      <c r="AQ432" s="20"/>
      <c r="AR432" s="20"/>
      <c r="AS432" s="20"/>
      <c r="AT432" s="20"/>
      <c r="AU432" s="26"/>
      <c r="AV432" s="98"/>
      <c r="AW432" s="98"/>
      <c r="AX432" s="98"/>
      <c r="AY432" s="98"/>
      <c r="AZ432" s="98"/>
      <c r="BA432" s="217"/>
      <c r="BB432" s="98"/>
      <c r="BC432" s="98"/>
      <c r="BD432" s="98"/>
      <c r="BE432" s="98"/>
      <c r="BF432" s="98"/>
      <c r="BG432" s="219"/>
      <c r="BH432" s="219"/>
      <c r="BI432" s="219"/>
      <c r="BJ432" s="26"/>
      <c r="BK432" s="21"/>
      <c r="BL432" s="21"/>
      <c r="BM432" s="22"/>
      <c r="BN432" s="21"/>
      <c r="BO432" s="21"/>
      <c r="BP432" s="22"/>
      <c r="BQ432" s="21"/>
      <c r="BR432" s="21"/>
      <c r="BS432" s="22"/>
      <c r="BT43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32" s="109" t="str">
        <f>IF(ISNUMBER(tblParticipants[[#This Row],[SvcStartDate]]),IF(AND(tblParticipants[[#This Row],[EnrollQtr]]=1,tblParticipants[[#This Row],[SvcStartDate]]&lt;DATE(conProgYear,7,1)),1,""),"")</f>
        <v/>
      </c>
      <c r="BV43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32" s="232" t="str">
        <f t="shared" ca="1" si="6"/>
        <v/>
      </c>
      <c r="BX432" s="9">
        <f>IF(SUM(IF(tblParticipants[[#This Row],[AmIndOrAkNtv]]=1,1,0),IF(tblParticipants[[#This Row],[Asian]]=1,1,0),IF(tblParticipants[[#This Row],[BlkOrAfAmer]]=1,1,0),IF(tblParticipants[[#This Row],[NtvHawOrPacIsl]]=1,1,0),IF(tblParticipants[[#This Row],[White]]=1,1,0))&gt;1,1,0)</f>
        <v>0</v>
      </c>
      <c r="BY43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3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3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32" s="11">
        <f>IF(tblParticipants[[#This Row],[EarnWg2Qae]]=1,IFERROR(tblParticipants[[#This Row],[HoursPerWk2Qae]]*tblParticipants[[#This Row],[HrlyWg2Qae]]*13,0),0)</f>
        <v>0</v>
      </c>
      <c r="CC432" s="11">
        <f>IF(tblParticipants[[#This Row],[EarnWg3Qae]]=1,IFERROR(tblParticipants[[#This Row],[HoursPerWk3Qae]]*tblParticipants[[#This Row],[HrlyWg3Qae]]*13,0),0)</f>
        <v>0</v>
      </c>
      <c r="CD432" s="9">
        <f>IFERROR(IF(SUM(tblParticipants[[#This Row],[EarnWg1Qae]],tblParticipants[[#This Row],[EarnWg2Qae]],tblParticipants[[#This Row],[EarnWg3Qae]])=3,1,0),0)</f>
        <v>0</v>
      </c>
      <c r="CE432" s="12">
        <f>IF(tblParticipants[[#This Row],[EmplAll3Qae]]=1,tblParticipants[[#This Row],[Earnings2Qae]]+tblParticipants[[#This Row],[Earnings3Qae]],0)</f>
        <v>0</v>
      </c>
      <c r="CF432" s="407"/>
    </row>
    <row r="433" spans="1:84" x14ac:dyDescent="0.3">
      <c r="A433" s="19"/>
      <c r="B433" s="19"/>
      <c r="C433" s="20"/>
      <c r="D433" s="20"/>
      <c r="E433" s="26"/>
      <c r="F433" s="26"/>
      <c r="G433" s="26"/>
      <c r="H433" s="26"/>
      <c r="I433" s="26"/>
      <c r="J433" s="26"/>
      <c r="K433" s="26"/>
      <c r="L433" s="26"/>
      <c r="M433" s="20"/>
      <c r="N433" s="26"/>
      <c r="O433" s="22"/>
      <c r="P433" s="21"/>
      <c r="Q433" s="23"/>
      <c r="R433" s="21"/>
      <c r="S433" s="21"/>
      <c r="T433" s="21"/>
      <c r="U433" s="21"/>
      <c r="V433" s="21"/>
      <c r="W433" s="24"/>
      <c r="X433" s="20"/>
      <c r="Y433" s="20"/>
      <c r="Z433" s="21"/>
      <c r="AA433" s="21"/>
      <c r="AB433" s="21"/>
      <c r="AC433" s="21"/>
      <c r="AD433" s="21"/>
      <c r="AE433" s="21"/>
      <c r="AF433" s="21"/>
      <c r="AG433" s="21"/>
      <c r="AH433" s="21"/>
      <c r="AI433" s="25"/>
      <c r="AJ433" s="20"/>
      <c r="AK433" s="21"/>
      <c r="AL433" s="20"/>
      <c r="AM433" s="20"/>
      <c r="AN433" s="20"/>
      <c r="AO433" s="20"/>
      <c r="AP433" s="446"/>
      <c r="AQ433" s="20"/>
      <c r="AR433" s="20"/>
      <c r="AS433" s="20"/>
      <c r="AT433" s="20"/>
      <c r="AU433" s="26"/>
      <c r="AV433" s="98"/>
      <c r="AW433" s="98"/>
      <c r="AX433" s="98"/>
      <c r="AY433" s="98"/>
      <c r="AZ433" s="98"/>
      <c r="BA433" s="217"/>
      <c r="BB433" s="98"/>
      <c r="BC433" s="98"/>
      <c r="BD433" s="98"/>
      <c r="BE433" s="98"/>
      <c r="BF433" s="98"/>
      <c r="BG433" s="219"/>
      <c r="BH433" s="219"/>
      <c r="BI433" s="219"/>
      <c r="BJ433" s="26"/>
      <c r="BK433" s="21"/>
      <c r="BL433" s="21"/>
      <c r="BM433" s="22"/>
      <c r="BN433" s="21"/>
      <c r="BO433" s="21"/>
      <c r="BP433" s="22"/>
      <c r="BQ433" s="21"/>
      <c r="BR433" s="21"/>
      <c r="BS433" s="22"/>
      <c r="BT43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33" s="109" t="str">
        <f>IF(ISNUMBER(tblParticipants[[#This Row],[SvcStartDate]]),IF(AND(tblParticipants[[#This Row],[EnrollQtr]]=1,tblParticipants[[#This Row],[SvcStartDate]]&lt;DATE(conProgYear,7,1)),1,""),"")</f>
        <v/>
      </c>
      <c r="BV43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33" s="232" t="str">
        <f t="shared" ca="1" si="6"/>
        <v/>
      </c>
      <c r="BX433" s="9">
        <f>IF(SUM(IF(tblParticipants[[#This Row],[AmIndOrAkNtv]]=1,1,0),IF(tblParticipants[[#This Row],[Asian]]=1,1,0),IF(tblParticipants[[#This Row],[BlkOrAfAmer]]=1,1,0),IF(tblParticipants[[#This Row],[NtvHawOrPacIsl]]=1,1,0),IF(tblParticipants[[#This Row],[White]]=1,1,0))&gt;1,1,0)</f>
        <v>0</v>
      </c>
      <c r="BY43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3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3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33" s="11">
        <f>IF(tblParticipants[[#This Row],[EarnWg2Qae]]=1,IFERROR(tblParticipants[[#This Row],[HoursPerWk2Qae]]*tblParticipants[[#This Row],[HrlyWg2Qae]]*13,0),0)</f>
        <v>0</v>
      </c>
      <c r="CC433" s="11">
        <f>IF(tblParticipants[[#This Row],[EarnWg3Qae]]=1,IFERROR(tblParticipants[[#This Row],[HoursPerWk3Qae]]*tblParticipants[[#This Row],[HrlyWg3Qae]]*13,0),0)</f>
        <v>0</v>
      </c>
      <c r="CD433" s="9">
        <f>IFERROR(IF(SUM(tblParticipants[[#This Row],[EarnWg1Qae]],tblParticipants[[#This Row],[EarnWg2Qae]],tblParticipants[[#This Row],[EarnWg3Qae]])=3,1,0),0)</f>
        <v>0</v>
      </c>
      <c r="CE433" s="12">
        <f>IF(tblParticipants[[#This Row],[EmplAll3Qae]]=1,tblParticipants[[#This Row],[Earnings2Qae]]+tblParticipants[[#This Row],[Earnings3Qae]],0)</f>
        <v>0</v>
      </c>
      <c r="CF433" s="407"/>
    </row>
    <row r="434" spans="1:84" x14ac:dyDescent="0.3">
      <c r="A434" s="19"/>
      <c r="B434" s="19"/>
      <c r="C434" s="20"/>
      <c r="D434" s="20"/>
      <c r="E434" s="26"/>
      <c r="F434" s="26"/>
      <c r="G434" s="26"/>
      <c r="H434" s="26"/>
      <c r="I434" s="26"/>
      <c r="J434" s="26"/>
      <c r="K434" s="26"/>
      <c r="L434" s="26"/>
      <c r="M434" s="20"/>
      <c r="N434" s="26"/>
      <c r="O434" s="22"/>
      <c r="P434" s="21"/>
      <c r="Q434" s="23"/>
      <c r="R434" s="21"/>
      <c r="S434" s="21"/>
      <c r="T434" s="21"/>
      <c r="U434" s="21"/>
      <c r="V434" s="21"/>
      <c r="W434" s="24"/>
      <c r="X434" s="20"/>
      <c r="Y434" s="20"/>
      <c r="Z434" s="21"/>
      <c r="AA434" s="21"/>
      <c r="AB434" s="21"/>
      <c r="AC434" s="21"/>
      <c r="AD434" s="21"/>
      <c r="AE434" s="21"/>
      <c r="AF434" s="21"/>
      <c r="AG434" s="21"/>
      <c r="AH434" s="21"/>
      <c r="AI434" s="25"/>
      <c r="AJ434" s="20"/>
      <c r="AK434" s="21"/>
      <c r="AL434" s="20"/>
      <c r="AM434" s="20"/>
      <c r="AN434" s="20"/>
      <c r="AO434" s="20"/>
      <c r="AP434" s="446"/>
      <c r="AQ434" s="20"/>
      <c r="AR434" s="20"/>
      <c r="AS434" s="20"/>
      <c r="AT434" s="20"/>
      <c r="AU434" s="26"/>
      <c r="AV434" s="98"/>
      <c r="AW434" s="98"/>
      <c r="AX434" s="98"/>
      <c r="AY434" s="98"/>
      <c r="AZ434" s="98"/>
      <c r="BA434" s="217"/>
      <c r="BB434" s="98"/>
      <c r="BC434" s="98"/>
      <c r="BD434" s="98"/>
      <c r="BE434" s="98"/>
      <c r="BF434" s="98"/>
      <c r="BG434" s="219"/>
      <c r="BH434" s="219"/>
      <c r="BI434" s="219"/>
      <c r="BJ434" s="26"/>
      <c r="BK434" s="21"/>
      <c r="BL434" s="21"/>
      <c r="BM434" s="22"/>
      <c r="BN434" s="21"/>
      <c r="BO434" s="21"/>
      <c r="BP434" s="22"/>
      <c r="BQ434" s="21"/>
      <c r="BR434" s="21"/>
      <c r="BS434" s="22"/>
      <c r="BT43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34" s="109" t="str">
        <f>IF(ISNUMBER(tblParticipants[[#This Row],[SvcStartDate]]),IF(AND(tblParticipants[[#This Row],[EnrollQtr]]=1,tblParticipants[[#This Row],[SvcStartDate]]&lt;DATE(conProgYear,7,1)),1,""),"")</f>
        <v/>
      </c>
      <c r="BV43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34" s="232" t="str">
        <f t="shared" ca="1" si="6"/>
        <v/>
      </c>
      <c r="BX434" s="9">
        <f>IF(SUM(IF(tblParticipants[[#This Row],[AmIndOrAkNtv]]=1,1,0),IF(tblParticipants[[#This Row],[Asian]]=1,1,0),IF(tblParticipants[[#This Row],[BlkOrAfAmer]]=1,1,0),IF(tblParticipants[[#This Row],[NtvHawOrPacIsl]]=1,1,0),IF(tblParticipants[[#This Row],[White]]=1,1,0))&gt;1,1,0)</f>
        <v>0</v>
      </c>
      <c r="BY43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3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3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34" s="11">
        <f>IF(tblParticipants[[#This Row],[EarnWg2Qae]]=1,IFERROR(tblParticipants[[#This Row],[HoursPerWk2Qae]]*tblParticipants[[#This Row],[HrlyWg2Qae]]*13,0),0)</f>
        <v>0</v>
      </c>
      <c r="CC434" s="11">
        <f>IF(tblParticipants[[#This Row],[EarnWg3Qae]]=1,IFERROR(tblParticipants[[#This Row],[HoursPerWk3Qae]]*tblParticipants[[#This Row],[HrlyWg3Qae]]*13,0),0)</f>
        <v>0</v>
      </c>
      <c r="CD434" s="9">
        <f>IFERROR(IF(SUM(tblParticipants[[#This Row],[EarnWg1Qae]],tblParticipants[[#This Row],[EarnWg2Qae]],tblParticipants[[#This Row],[EarnWg3Qae]])=3,1,0),0)</f>
        <v>0</v>
      </c>
      <c r="CE434" s="12">
        <f>IF(tblParticipants[[#This Row],[EmplAll3Qae]]=1,tblParticipants[[#This Row],[Earnings2Qae]]+tblParticipants[[#This Row],[Earnings3Qae]],0)</f>
        <v>0</v>
      </c>
      <c r="CF434" s="407"/>
    </row>
    <row r="435" spans="1:84" x14ac:dyDescent="0.3">
      <c r="A435" s="19"/>
      <c r="B435" s="19"/>
      <c r="C435" s="20"/>
      <c r="D435" s="20"/>
      <c r="E435" s="26"/>
      <c r="F435" s="26"/>
      <c r="G435" s="26"/>
      <c r="H435" s="26"/>
      <c r="I435" s="26"/>
      <c r="J435" s="26"/>
      <c r="K435" s="26"/>
      <c r="L435" s="26"/>
      <c r="M435" s="20"/>
      <c r="N435" s="26"/>
      <c r="O435" s="22"/>
      <c r="P435" s="21"/>
      <c r="Q435" s="23"/>
      <c r="R435" s="21"/>
      <c r="S435" s="21"/>
      <c r="T435" s="21"/>
      <c r="U435" s="21"/>
      <c r="V435" s="21"/>
      <c r="W435" s="24"/>
      <c r="X435" s="20"/>
      <c r="Y435" s="20"/>
      <c r="Z435" s="21"/>
      <c r="AA435" s="21"/>
      <c r="AB435" s="21"/>
      <c r="AC435" s="21"/>
      <c r="AD435" s="21"/>
      <c r="AE435" s="21"/>
      <c r="AF435" s="21"/>
      <c r="AG435" s="21"/>
      <c r="AH435" s="21"/>
      <c r="AI435" s="25"/>
      <c r="AJ435" s="20"/>
      <c r="AK435" s="21"/>
      <c r="AL435" s="20"/>
      <c r="AM435" s="20"/>
      <c r="AN435" s="20"/>
      <c r="AO435" s="20"/>
      <c r="AP435" s="446"/>
      <c r="AQ435" s="20"/>
      <c r="AR435" s="20"/>
      <c r="AS435" s="20"/>
      <c r="AT435" s="20"/>
      <c r="AU435" s="26"/>
      <c r="AV435" s="98"/>
      <c r="AW435" s="98"/>
      <c r="AX435" s="98"/>
      <c r="AY435" s="98"/>
      <c r="AZ435" s="98"/>
      <c r="BA435" s="217"/>
      <c r="BB435" s="98"/>
      <c r="BC435" s="98"/>
      <c r="BD435" s="98"/>
      <c r="BE435" s="98"/>
      <c r="BF435" s="98"/>
      <c r="BG435" s="219"/>
      <c r="BH435" s="219"/>
      <c r="BI435" s="219"/>
      <c r="BJ435" s="26"/>
      <c r="BK435" s="21"/>
      <c r="BL435" s="21"/>
      <c r="BM435" s="22"/>
      <c r="BN435" s="21"/>
      <c r="BO435" s="21"/>
      <c r="BP435" s="22"/>
      <c r="BQ435" s="21"/>
      <c r="BR435" s="21"/>
      <c r="BS435" s="22"/>
      <c r="BT43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35" s="109" t="str">
        <f>IF(ISNUMBER(tblParticipants[[#This Row],[SvcStartDate]]),IF(AND(tblParticipants[[#This Row],[EnrollQtr]]=1,tblParticipants[[#This Row],[SvcStartDate]]&lt;DATE(conProgYear,7,1)),1,""),"")</f>
        <v/>
      </c>
      <c r="BV43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35" s="232" t="str">
        <f t="shared" ca="1" si="6"/>
        <v/>
      </c>
      <c r="BX435" s="9">
        <f>IF(SUM(IF(tblParticipants[[#This Row],[AmIndOrAkNtv]]=1,1,0),IF(tblParticipants[[#This Row],[Asian]]=1,1,0),IF(tblParticipants[[#This Row],[BlkOrAfAmer]]=1,1,0),IF(tblParticipants[[#This Row],[NtvHawOrPacIsl]]=1,1,0),IF(tblParticipants[[#This Row],[White]]=1,1,0))&gt;1,1,0)</f>
        <v>0</v>
      </c>
      <c r="BY43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3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3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35" s="11">
        <f>IF(tblParticipants[[#This Row],[EarnWg2Qae]]=1,IFERROR(tblParticipants[[#This Row],[HoursPerWk2Qae]]*tblParticipants[[#This Row],[HrlyWg2Qae]]*13,0),0)</f>
        <v>0</v>
      </c>
      <c r="CC435" s="11">
        <f>IF(tblParticipants[[#This Row],[EarnWg3Qae]]=1,IFERROR(tblParticipants[[#This Row],[HoursPerWk3Qae]]*tblParticipants[[#This Row],[HrlyWg3Qae]]*13,0),0)</f>
        <v>0</v>
      </c>
      <c r="CD435" s="9">
        <f>IFERROR(IF(SUM(tblParticipants[[#This Row],[EarnWg1Qae]],tblParticipants[[#This Row],[EarnWg2Qae]],tblParticipants[[#This Row],[EarnWg3Qae]])=3,1,0),0)</f>
        <v>0</v>
      </c>
      <c r="CE435" s="12">
        <f>IF(tblParticipants[[#This Row],[EmplAll3Qae]]=1,tblParticipants[[#This Row],[Earnings2Qae]]+tblParticipants[[#This Row],[Earnings3Qae]],0)</f>
        <v>0</v>
      </c>
      <c r="CF435" s="407"/>
    </row>
    <row r="436" spans="1:84" x14ac:dyDescent="0.3">
      <c r="A436" s="19"/>
      <c r="B436" s="19"/>
      <c r="C436" s="20"/>
      <c r="D436" s="20"/>
      <c r="E436" s="26"/>
      <c r="F436" s="26"/>
      <c r="G436" s="26"/>
      <c r="H436" s="26"/>
      <c r="I436" s="26"/>
      <c r="J436" s="26"/>
      <c r="K436" s="26"/>
      <c r="L436" s="26"/>
      <c r="M436" s="20"/>
      <c r="N436" s="26"/>
      <c r="O436" s="22"/>
      <c r="P436" s="21"/>
      <c r="Q436" s="23"/>
      <c r="R436" s="21"/>
      <c r="S436" s="21"/>
      <c r="T436" s="21"/>
      <c r="U436" s="21"/>
      <c r="V436" s="21"/>
      <c r="W436" s="24"/>
      <c r="X436" s="20"/>
      <c r="Y436" s="20"/>
      <c r="Z436" s="21"/>
      <c r="AA436" s="21"/>
      <c r="AB436" s="21"/>
      <c r="AC436" s="21"/>
      <c r="AD436" s="21"/>
      <c r="AE436" s="21"/>
      <c r="AF436" s="21"/>
      <c r="AG436" s="21"/>
      <c r="AH436" s="21"/>
      <c r="AI436" s="25"/>
      <c r="AJ436" s="20"/>
      <c r="AK436" s="21"/>
      <c r="AL436" s="20"/>
      <c r="AM436" s="20"/>
      <c r="AN436" s="20"/>
      <c r="AO436" s="20"/>
      <c r="AP436" s="446"/>
      <c r="AQ436" s="20"/>
      <c r="AR436" s="20"/>
      <c r="AS436" s="20"/>
      <c r="AT436" s="20"/>
      <c r="AU436" s="26"/>
      <c r="AV436" s="98"/>
      <c r="AW436" s="98"/>
      <c r="AX436" s="98"/>
      <c r="AY436" s="98"/>
      <c r="AZ436" s="98"/>
      <c r="BA436" s="217"/>
      <c r="BB436" s="98"/>
      <c r="BC436" s="98"/>
      <c r="BD436" s="98"/>
      <c r="BE436" s="98"/>
      <c r="BF436" s="98"/>
      <c r="BG436" s="219"/>
      <c r="BH436" s="219"/>
      <c r="BI436" s="219"/>
      <c r="BJ436" s="26"/>
      <c r="BK436" s="21"/>
      <c r="BL436" s="21"/>
      <c r="BM436" s="22"/>
      <c r="BN436" s="21"/>
      <c r="BO436" s="21"/>
      <c r="BP436" s="22"/>
      <c r="BQ436" s="21"/>
      <c r="BR436" s="21"/>
      <c r="BS436" s="22"/>
      <c r="BT43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36" s="109" t="str">
        <f>IF(ISNUMBER(tblParticipants[[#This Row],[SvcStartDate]]),IF(AND(tblParticipants[[#This Row],[EnrollQtr]]=1,tblParticipants[[#This Row],[SvcStartDate]]&lt;DATE(conProgYear,7,1)),1,""),"")</f>
        <v/>
      </c>
      <c r="BV43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36" s="232" t="str">
        <f t="shared" ca="1" si="6"/>
        <v/>
      </c>
      <c r="BX436" s="9">
        <f>IF(SUM(IF(tblParticipants[[#This Row],[AmIndOrAkNtv]]=1,1,0),IF(tblParticipants[[#This Row],[Asian]]=1,1,0),IF(tblParticipants[[#This Row],[BlkOrAfAmer]]=1,1,0),IF(tblParticipants[[#This Row],[NtvHawOrPacIsl]]=1,1,0),IF(tblParticipants[[#This Row],[White]]=1,1,0))&gt;1,1,0)</f>
        <v>0</v>
      </c>
      <c r="BY43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3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3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36" s="11">
        <f>IF(tblParticipants[[#This Row],[EarnWg2Qae]]=1,IFERROR(tblParticipants[[#This Row],[HoursPerWk2Qae]]*tblParticipants[[#This Row],[HrlyWg2Qae]]*13,0),0)</f>
        <v>0</v>
      </c>
      <c r="CC436" s="11">
        <f>IF(tblParticipants[[#This Row],[EarnWg3Qae]]=1,IFERROR(tblParticipants[[#This Row],[HoursPerWk3Qae]]*tblParticipants[[#This Row],[HrlyWg3Qae]]*13,0),0)</f>
        <v>0</v>
      </c>
      <c r="CD436" s="9">
        <f>IFERROR(IF(SUM(tblParticipants[[#This Row],[EarnWg1Qae]],tblParticipants[[#This Row],[EarnWg2Qae]],tblParticipants[[#This Row],[EarnWg3Qae]])=3,1,0),0)</f>
        <v>0</v>
      </c>
      <c r="CE436" s="12">
        <f>IF(tblParticipants[[#This Row],[EmplAll3Qae]]=1,tblParticipants[[#This Row],[Earnings2Qae]]+tblParticipants[[#This Row],[Earnings3Qae]],0)</f>
        <v>0</v>
      </c>
      <c r="CF436" s="407"/>
    </row>
    <row r="437" spans="1:84" x14ac:dyDescent="0.3">
      <c r="A437" s="19"/>
      <c r="B437" s="19"/>
      <c r="C437" s="20"/>
      <c r="D437" s="20"/>
      <c r="E437" s="26"/>
      <c r="F437" s="26"/>
      <c r="G437" s="26"/>
      <c r="H437" s="26"/>
      <c r="I437" s="26"/>
      <c r="J437" s="26"/>
      <c r="K437" s="26"/>
      <c r="L437" s="26"/>
      <c r="M437" s="20"/>
      <c r="N437" s="26"/>
      <c r="O437" s="22"/>
      <c r="P437" s="21"/>
      <c r="Q437" s="23"/>
      <c r="R437" s="21"/>
      <c r="S437" s="21"/>
      <c r="T437" s="21"/>
      <c r="U437" s="21"/>
      <c r="V437" s="21"/>
      <c r="W437" s="24"/>
      <c r="X437" s="20"/>
      <c r="Y437" s="20"/>
      <c r="Z437" s="21"/>
      <c r="AA437" s="21"/>
      <c r="AB437" s="21"/>
      <c r="AC437" s="21"/>
      <c r="AD437" s="21"/>
      <c r="AE437" s="21"/>
      <c r="AF437" s="21"/>
      <c r="AG437" s="21"/>
      <c r="AH437" s="21"/>
      <c r="AI437" s="25"/>
      <c r="AJ437" s="20"/>
      <c r="AK437" s="21"/>
      <c r="AL437" s="20"/>
      <c r="AM437" s="20"/>
      <c r="AN437" s="20"/>
      <c r="AO437" s="20"/>
      <c r="AP437" s="446"/>
      <c r="AQ437" s="20"/>
      <c r="AR437" s="20"/>
      <c r="AS437" s="20"/>
      <c r="AT437" s="20"/>
      <c r="AU437" s="26"/>
      <c r="AV437" s="98"/>
      <c r="AW437" s="98"/>
      <c r="AX437" s="98"/>
      <c r="AY437" s="98"/>
      <c r="AZ437" s="98"/>
      <c r="BA437" s="217"/>
      <c r="BB437" s="98"/>
      <c r="BC437" s="98"/>
      <c r="BD437" s="98"/>
      <c r="BE437" s="98"/>
      <c r="BF437" s="98"/>
      <c r="BG437" s="219"/>
      <c r="BH437" s="219"/>
      <c r="BI437" s="219"/>
      <c r="BJ437" s="26"/>
      <c r="BK437" s="21"/>
      <c r="BL437" s="21"/>
      <c r="BM437" s="22"/>
      <c r="BN437" s="21"/>
      <c r="BO437" s="21"/>
      <c r="BP437" s="22"/>
      <c r="BQ437" s="21"/>
      <c r="BR437" s="21"/>
      <c r="BS437" s="22"/>
      <c r="BT43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37" s="109" t="str">
        <f>IF(ISNUMBER(tblParticipants[[#This Row],[SvcStartDate]]),IF(AND(tblParticipants[[#This Row],[EnrollQtr]]=1,tblParticipants[[#This Row],[SvcStartDate]]&lt;DATE(conProgYear,7,1)),1,""),"")</f>
        <v/>
      </c>
      <c r="BV43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37" s="232" t="str">
        <f t="shared" ca="1" si="6"/>
        <v/>
      </c>
      <c r="BX437" s="9">
        <f>IF(SUM(IF(tblParticipants[[#This Row],[AmIndOrAkNtv]]=1,1,0),IF(tblParticipants[[#This Row],[Asian]]=1,1,0),IF(tblParticipants[[#This Row],[BlkOrAfAmer]]=1,1,0),IF(tblParticipants[[#This Row],[NtvHawOrPacIsl]]=1,1,0),IF(tblParticipants[[#This Row],[White]]=1,1,0))&gt;1,1,0)</f>
        <v>0</v>
      </c>
      <c r="BY43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3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3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37" s="11">
        <f>IF(tblParticipants[[#This Row],[EarnWg2Qae]]=1,IFERROR(tblParticipants[[#This Row],[HoursPerWk2Qae]]*tblParticipants[[#This Row],[HrlyWg2Qae]]*13,0),0)</f>
        <v>0</v>
      </c>
      <c r="CC437" s="11">
        <f>IF(tblParticipants[[#This Row],[EarnWg3Qae]]=1,IFERROR(tblParticipants[[#This Row],[HoursPerWk3Qae]]*tblParticipants[[#This Row],[HrlyWg3Qae]]*13,0),0)</f>
        <v>0</v>
      </c>
      <c r="CD437" s="9">
        <f>IFERROR(IF(SUM(tblParticipants[[#This Row],[EarnWg1Qae]],tblParticipants[[#This Row],[EarnWg2Qae]],tblParticipants[[#This Row],[EarnWg3Qae]])=3,1,0),0)</f>
        <v>0</v>
      </c>
      <c r="CE437" s="12">
        <f>IF(tblParticipants[[#This Row],[EmplAll3Qae]]=1,tblParticipants[[#This Row],[Earnings2Qae]]+tblParticipants[[#This Row],[Earnings3Qae]],0)</f>
        <v>0</v>
      </c>
      <c r="CF437" s="407"/>
    </row>
    <row r="438" spans="1:84" x14ac:dyDescent="0.3">
      <c r="A438" s="19"/>
      <c r="B438" s="19"/>
      <c r="C438" s="20"/>
      <c r="D438" s="20"/>
      <c r="E438" s="26"/>
      <c r="F438" s="26"/>
      <c r="G438" s="26"/>
      <c r="H438" s="26"/>
      <c r="I438" s="26"/>
      <c r="J438" s="26"/>
      <c r="K438" s="26"/>
      <c r="L438" s="26"/>
      <c r="M438" s="20"/>
      <c r="N438" s="26"/>
      <c r="O438" s="22"/>
      <c r="P438" s="21"/>
      <c r="Q438" s="23"/>
      <c r="R438" s="21"/>
      <c r="S438" s="21"/>
      <c r="T438" s="21"/>
      <c r="U438" s="21"/>
      <c r="V438" s="21"/>
      <c r="W438" s="24"/>
      <c r="X438" s="20"/>
      <c r="Y438" s="20"/>
      <c r="Z438" s="21"/>
      <c r="AA438" s="21"/>
      <c r="AB438" s="21"/>
      <c r="AC438" s="21"/>
      <c r="AD438" s="21"/>
      <c r="AE438" s="21"/>
      <c r="AF438" s="21"/>
      <c r="AG438" s="21"/>
      <c r="AH438" s="21"/>
      <c r="AI438" s="25"/>
      <c r="AJ438" s="20"/>
      <c r="AK438" s="21"/>
      <c r="AL438" s="20"/>
      <c r="AM438" s="20"/>
      <c r="AN438" s="20"/>
      <c r="AO438" s="20"/>
      <c r="AP438" s="446"/>
      <c r="AQ438" s="20"/>
      <c r="AR438" s="20"/>
      <c r="AS438" s="20"/>
      <c r="AT438" s="20"/>
      <c r="AU438" s="26"/>
      <c r="AV438" s="98"/>
      <c r="AW438" s="98"/>
      <c r="AX438" s="98"/>
      <c r="AY438" s="98"/>
      <c r="AZ438" s="98"/>
      <c r="BA438" s="217"/>
      <c r="BB438" s="98"/>
      <c r="BC438" s="98"/>
      <c r="BD438" s="98"/>
      <c r="BE438" s="98"/>
      <c r="BF438" s="98"/>
      <c r="BG438" s="219"/>
      <c r="BH438" s="219"/>
      <c r="BI438" s="219"/>
      <c r="BJ438" s="26"/>
      <c r="BK438" s="21"/>
      <c r="BL438" s="21"/>
      <c r="BM438" s="22"/>
      <c r="BN438" s="21"/>
      <c r="BO438" s="21"/>
      <c r="BP438" s="22"/>
      <c r="BQ438" s="21"/>
      <c r="BR438" s="21"/>
      <c r="BS438" s="22"/>
      <c r="BT43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38" s="109" t="str">
        <f>IF(ISNUMBER(tblParticipants[[#This Row],[SvcStartDate]]),IF(AND(tblParticipants[[#This Row],[EnrollQtr]]=1,tblParticipants[[#This Row],[SvcStartDate]]&lt;DATE(conProgYear,7,1)),1,""),"")</f>
        <v/>
      </c>
      <c r="BV43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38" s="232" t="str">
        <f t="shared" ca="1" si="6"/>
        <v/>
      </c>
      <c r="BX438" s="9">
        <f>IF(SUM(IF(tblParticipants[[#This Row],[AmIndOrAkNtv]]=1,1,0),IF(tblParticipants[[#This Row],[Asian]]=1,1,0),IF(tblParticipants[[#This Row],[BlkOrAfAmer]]=1,1,0),IF(tblParticipants[[#This Row],[NtvHawOrPacIsl]]=1,1,0),IF(tblParticipants[[#This Row],[White]]=1,1,0))&gt;1,1,0)</f>
        <v>0</v>
      </c>
      <c r="BY43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3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3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38" s="11">
        <f>IF(tblParticipants[[#This Row],[EarnWg2Qae]]=1,IFERROR(tblParticipants[[#This Row],[HoursPerWk2Qae]]*tblParticipants[[#This Row],[HrlyWg2Qae]]*13,0),0)</f>
        <v>0</v>
      </c>
      <c r="CC438" s="11">
        <f>IF(tblParticipants[[#This Row],[EarnWg3Qae]]=1,IFERROR(tblParticipants[[#This Row],[HoursPerWk3Qae]]*tblParticipants[[#This Row],[HrlyWg3Qae]]*13,0),0)</f>
        <v>0</v>
      </c>
      <c r="CD438" s="9">
        <f>IFERROR(IF(SUM(tblParticipants[[#This Row],[EarnWg1Qae]],tblParticipants[[#This Row],[EarnWg2Qae]],tblParticipants[[#This Row],[EarnWg3Qae]])=3,1,0),0)</f>
        <v>0</v>
      </c>
      <c r="CE438" s="12">
        <f>IF(tblParticipants[[#This Row],[EmplAll3Qae]]=1,tblParticipants[[#This Row],[Earnings2Qae]]+tblParticipants[[#This Row],[Earnings3Qae]],0)</f>
        <v>0</v>
      </c>
      <c r="CF438" s="407"/>
    </row>
    <row r="439" spans="1:84" x14ac:dyDescent="0.3">
      <c r="A439" s="19"/>
      <c r="B439" s="19"/>
      <c r="C439" s="20"/>
      <c r="D439" s="20"/>
      <c r="E439" s="26"/>
      <c r="F439" s="26"/>
      <c r="G439" s="26"/>
      <c r="H439" s="26"/>
      <c r="I439" s="26"/>
      <c r="J439" s="26"/>
      <c r="K439" s="26"/>
      <c r="L439" s="26"/>
      <c r="M439" s="20"/>
      <c r="N439" s="26"/>
      <c r="O439" s="22"/>
      <c r="P439" s="21"/>
      <c r="Q439" s="23"/>
      <c r="R439" s="21"/>
      <c r="S439" s="21"/>
      <c r="T439" s="21"/>
      <c r="U439" s="21"/>
      <c r="V439" s="21"/>
      <c r="W439" s="24"/>
      <c r="X439" s="20"/>
      <c r="Y439" s="20"/>
      <c r="Z439" s="21"/>
      <c r="AA439" s="21"/>
      <c r="AB439" s="21"/>
      <c r="AC439" s="21"/>
      <c r="AD439" s="21"/>
      <c r="AE439" s="21"/>
      <c r="AF439" s="21"/>
      <c r="AG439" s="21"/>
      <c r="AH439" s="21"/>
      <c r="AI439" s="25"/>
      <c r="AJ439" s="20"/>
      <c r="AK439" s="21"/>
      <c r="AL439" s="20"/>
      <c r="AM439" s="20"/>
      <c r="AN439" s="20"/>
      <c r="AO439" s="20"/>
      <c r="AP439" s="446"/>
      <c r="AQ439" s="20"/>
      <c r="AR439" s="20"/>
      <c r="AS439" s="20"/>
      <c r="AT439" s="20"/>
      <c r="AU439" s="26"/>
      <c r="AV439" s="98"/>
      <c r="AW439" s="98"/>
      <c r="AX439" s="98"/>
      <c r="AY439" s="98"/>
      <c r="AZ439" s="98"/>
      <c r="BA439" s="217"/>
      <c r="BB439" s="98"/>
      <c r="BC439" s="98"/>
      <c r="BD439" s="98"/>
      <c r="BE439" s="98"/>
      <c r="BF439" s="98"/>
      <c r="BG439" s="219"/>
      <c r="BH439" s="219"/>
      <c r="BI439" s="219"/>
      <c r="BJ439" s="26"/>
      <c r="BK439" s="21"/>
      <c r="BL439" s="21"/>
      <c r="BM439" s="22"/>
      <c r="BN439" s="21"/>
      <c r="BO439" s="21"/>
      <c r="BP439" s="22"/>
      <c r="BQ439" s="21"/>
      <c r="BR439" s="21"/>
      <c r="BS439" s="22"/>
      <c r="BT43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39" s="109" t="str">
        <f>IF(ISNUMBER(tblParticipants[[#This Row],[SvcStartDate]]),IF(AND(tblParticipants[[#This Row],[EnrollQtr]]=1,tblParticipants[[#This Row],[SvcStartDate]]&lt;DATE(conProgYear,7,1)),1,""),"")</f>
        <v/>
      </c>
      <c r="BV43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39" s="232" t="str">
        <f t="shared" ca="1" si="6"/>
        <v/>
      </c>
      <c r="BX439" s="9">
        <f>IF(SUM(IF(tblParticipants[[#This Row],[AmIndOrAkNtv]]=1,1,0),IF(tblParticipants[[#This Row],[Asian]]=1,1,0),IF(tblParticipants[[#This Row],[BlkOrAfAmer]]=1,1,0),IF(tblParticipants[[#This Row],[NtvHawOrPacIsl]]=1,1,0),IF(tblParticipants[[#This Row],[White]]=1,1,0))&gt;1,1,0)</f>
        <v>0</v>
      </c>
      <c r="BY43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3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3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39" s="11">
        <f>IF(tblParticipants[[#This Row],[EarnWg2Qae]]=1,IFERROR(tblParticipants[[#This Row],[HoursPerWk2Qae]]*tblParticipants[[#This Row],[HrlyWg2Qae]]*13,0),0)</f>
        <v>0</v>
      </c>
      <c r="CC439" s="11">
        <f>IF(tblParticipants[[#This Row],[EarnWg3Qae]]=1,IFERROR(tblParticipants[[#This Row],[HoursPerWk3Qae]]*tblParticipants[[#This Row],[HrlyWg3Qae]]*13,0),0)</f>
        <v>0</v>
      </c>
      <c r="CD439" s="9">
        <f>IFERROR(IF(SUM(tblParticipants[[#This Row],[EarnWg1Qae]],tblParticipants[[#This Row],[EarnWg2Qae]],tblParticipants[[#This Row],[EarnWg3Qae]])=3,1,0),0)</f>
        <v>0</v>
      </c>
      <c r="CE439" s="12">
        <f>IF(tblParticipants[[#This Row],[EmplAll3Qae]]=1,tblParticipants[[#This Row],[Earnings2Qae]]+tblParticipants[[#This Row],[Earnings3Qae]],0)</f>
        <v>0</v>
      </c>
      <c r="CF439" s="407"/>
    </row>
    <row r="440" spans="1:84" x14ac:dyDescent="0.3">
      <c r="A440" s="19"/>
      <c r="B440" s="19"/>
      <c r="C440" s="20"/>
      <c r="D440" s="20"/>
      <c r="E440" s="26"/>
      <c r="F440" s="26"/>
      <c r="G440" s="26"/>
      <c r="H440" s="26"/>
      <c r="I440" s="26"/>
      <c r="J440" s="26"/>
      <c r="K440" s="26"/>
      <c r="L440" s="26"/>
      <c r="M440" s="20"/>
      <c r="N440" s="26"/>
      <c r="O440" s="22"/>
      <c r="P440" s="21"/>
      <c r="Q440" s="23"/>
      <c r="R440" s="21"/>
      <c r="S440" s="21"/>
      <c r="T440" s="21"/>
      <c r="U440" s="21"/>
      <c r="V440" s="21"/>
      <c r="W440" s="24"/>
      <c r="X440" s="20"/>
      <c r="Y440" s="20"/>
      <c r="Z440" s="21"/>
      <c r="AA440" s="21"/>
      <c r="AB440" s="21"/>
      <c r="AC440" s="21"/>
      <c r="AD440" s="21"/>
      <c r="AE440" s="21"/>
      <c r="AF440" s="21"/>
      <c r="AG440" s="21"/>
      <c r="AH440" s="21"/>
      <c r="AI440" s="25"/>
      <c r="AJ440" s="20"/>
      <c r="AK440" s="21"/>
      <c r="AL440" s="20"/>
      <c r="AM440" s="20"/>
      <c r="AN440" s="20"/>
      <c r="AO440" s="20"/>
      <c r="AP440" s="446"/>
      <c r="AQ440" s="20"/>
      <c r="AR440" s="20"/>
      <c r="AS440" s="20"/>
      <c r="AT440" s="20"/>
      <c r="AU440" s="26"/>
      <c r="AV440" s="98"/>
      <c r="AW440" s="98"/>
      <c r="AX440" s="98"/>
      <c r="AY440" s="98"/>
      <c r="AZ440" s="98"/>
      <c r="BA440" s="217"/>
      <c r="BB440" s="98"/>
      <c r="BC440" s="98"/>
      <c r="BD440" s="98"/>
      <c r="BE440" s="98"/>
      <c r="BF440" s="98"/>
      <c r="BG440" s="219"/>
      <c r="BH440" s="219"/>
      <c r="BI440" s="219"/>
      <c r="BJ440" s="26"/>
      <c r="BK440" s="21"/>
      <c r="BL440" s="21"/>
      <c r="BM440" s="22"/>
      <c r="BN440" s="21"/>
      <c r="BO440" s="21"/>
      <c r="BP440" s="22"/>
      <c r="BQ440" s="21"/>
      <c r="BR440" s="21"/>
      <c r="BS440" s="22"/>
      <c r="BT44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40" s="109" t="str">
        <f>IF(ISNUMBER(tblParticipants[[#This Row],[SvcStartDate]]),IF(AND(tblParticipants[[#This Row],[EnrollQtr]]=1,tblParticipants[[#This Row],[SvcStartDate]]&lt;DATE(conProgYear,7,1)),1,""),"")</f>
        <v/>
      </c>
      <c r="BV44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40" s="232" t="str">
        <f t="shared" ca="1" si="6"/>
        <v/>
      </c>
      <c r="BX440" s="9">
        <f>IF(SUM(IF(tblParticipants[[#This Row],[AmIndOrAkNtv]]=1,1,0),IF(tblParticipants[[#This Row],[Asian]]=1,1,0),IF(tblParticipants[[#This Row],[BlkOrAfAmer]]=1,1,0),IF(tblParticipants[[#This Row],[NtvHawOrPacIsl]]=1,1,0),IF(tblParticipants[[#This Row],[White]]=1,1,0))&gt;1,1,0)</f>
        <v>0</v>
      </c>
      <c r="BY44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4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4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40" s="11">
        <f>IF(tblParticipants[[#This Row],[EarnWg2Qae]]=1,IFERROR(tblParticipants[[#This Row],[HoursPerWk2Qae]]*tblParticipants[[#This Row],[HrlyWg2Qae]]*13,0),0)</f>
        <v>0</v>
      </c>
      <c r="CC440" s="11">
        <f>IF(tblParticipants[[#This Row],[EarnWg3Qae]]=1,IFERROR(tblParticipants[[#This Row],[HoursPerWk3Qae]]*tblParticipants[[#This Row],[HrlyWg3Qae]]*13,0),0)</f>
        <v>0</v>
      </c>
      <c r="CD440" s="9">
        <f>IFERROR(IF(SUM(tblParticipants[[#This Row],[EarnWg1Qae]],tblParticipants[[#This Row],[EarnWg2Qae]],tblParticipants[[#This Row],[EarnWg3Qae]])=3,1,0),0)</f>
        <v>0</v>
      </c>
      <c r="CE440" s="12">
        <f>IF(tblParticipants[[#This Row],[EmplAll3Qae]]=1,tblParticipants[[#This Row],[Earnings2Qae]]+tblParticipants[[#This Row],[Earnings3Qae]],0)</f>
        <v>0</v>
      </c>
      <c r="CF440" s="407"/>
    </row>
    <row r="441" spans="1:84" x14ac:dyDescent="0.3">
      <c r="A441" s="19"/>
      <c r="B441" s="19"/>
      <c r="C441" s="20"/>
      <c r="D441" s="20"/>
      <c r="E441" s="26"/>
      <c r="F441" s="26"/>
      <c r="G441" s="26"/>
      <c r="H441" s="26"/>
      <c r="I441" s="26"/>
      <c r="J441" s="26"/>
      <c r="K441" s="26"/>
      <c r="L441" s="26"/>
      <c r="M441" s="20"/>
      <c r="N441" s="26"/>
      <c r="O441" s="22"/>
      <c r="P441" s="21"/>
      <c r="Q441" s="23"/>
      <c r="R441" s="21"/>
      <c r="S441" s="21"/>
      <c r="T441" s="21"/>
      <c r="U441" s="21"/>
      <c r="V441" s="21"/>
      <c r="W441" s="24"/>
      <c r="X441" s="20"/>
      <c r="Y441" s="20"/>
      <c r="Z441" s="21"/>
      <c r="AA441" s="21"/>
      <c r="AB441" s="21"/>
      <c r="AC441" s="21"/>
      <c r="AD441" s="21"/>
      <c r="AE441" s="21"/>
      <c r="AF441" s="21"/>
      <c r="AG441" s="21"/>
      <c r="AH441" s="21"/>
      <c r="AI441" s="25"/>
      <c r="AJ441" s="20"/>
      <c r="AK441" s="21"/>
      <c r="AL441" s="20"/>
      <c r="AM441" s="20"/>
      <c r="AN441" s="20"/>
      <c r="AO441" s="20"/>
      <c r="AP441" s="446"/>
      <c r="AQ441" s="20"/>
      <c r="AR441" s="20"/>
      <c r="AS441" s="20"/>
      <c r="AT441" s="20"/>
      <c r="AU441" s="26"/>
      <c r="AV441" s="98"/>
      <c r="AW441" s="98"/>
      <c r="AX441" s="98"/>
      <c r="AY441" s="98"/>
      <c r="AZ441" s="98"/>
      <c r="BA441" s="217"/>
      <c r="BB441" s="98"/>
      <c r="BC441" s="98"/>
      <c r="BD441" s="98"/>
      <c r="BE441" s="98"/>
      <c r="BF441" s="98"/>
      <c r="BG441" s="219"/>
      <c r="BH441" s="219"/>
      <c r="BI441" s="219"/>
      <c r="BJ441" s="26"/>
      <c r="BK441" s="21"/>
      <c r="BL441" s="21"/>
      <c r="BM441" s="22"/>
      <c r="BN441" s="21"/>
      <c r="BO441" s="21"/>
      <c r="BP441" s="22"/>
      <c r="BQ441" s="21"/>
      <c r="BR441" s="21"/>
      <c r="BS441" s="22"/>
      <c r="BT44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41" s="109" t="str">
        <f>IF(ISNUMBER(tblParticipants[[#This Row],[SvcStartDate]]),IF(AND(tblParticipants[[#This Row],[EnrollQtr]]=1,tblParticipants[[#This Row],[SvcStartDate]]&lt;DATE(conProgYear,7,1)),1,""),"")</f>
        <v/>
      </c>
      <c r="BV44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41" s="232" t="str">
        <f t="shared" ca="1" si="6"/>
        <v/>
      </c>
      <c r="BX441" s="9">
        <f>IF(SUM(IF(tblParticipants[[#This Row],[AmIndOrAkNtv]]=1,1,0),IF(tblParticipants[[#This Row],[Asian]]=1,1,0),IF(tblParticipants[[#This Row],[BlkOrAfAmer]]=1,1,0),IF(tblParticipants[[#This Row],[NtvHawOrPacIsl]]=1,1,0),IF(tblParticipants[[#This Row],[White]]=1,1,0))&gt;1,1,0)</f>
        <v>0</v>
      </c>
      <c r="BY44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4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4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41" s="11">
        <f>IF(tblParticipants[[#This Row],[EarnWg2Qae]]=1,IFERROR(tblParticipants[[#This Row],[HoursPerWk2Qae]]*tblParticipants[[#This Row],[HrlyWg2Qae]]*13,0),0)</f>
        <v>0</v>
      </c>
      <c r="CC441" s="11">
        <f>IF(tblParticipants[[#This Row],[EarnWg3Qae]]=1,IFERROR(tblParticipants[[#This Row],[HoursPerWk3Qae]]*tblParticipants[[#This Row],[HrlyWg3Qae]]*13,0),0)</f>
        <v>0</v>
      </c>
      <c r="CD441" s="9">
        <f>IFERROR(IF(SUM(tblParticipants[[#This Row],[EarnWg1Qae]],tblParticipants[[#This Row],[EarnWg2Qae]],tblParticipants[[#This Row],[EarnWg3Qae]])=3,1,0),0)</f>
        <v>0</v>
      </c>
      <c r="CE441" s="12">
        <f>IF(tblParticipants[[#This Row],[EmplAll3Qae]]=1,tblParticipants[[#This Row],[Earnings2Qae]]+tblParticipants[[#This Row],[Earnings3Qae]],0)</f>
        <v>0</v>
      </c>
      <c r="CF441" s="407"/>
    </row>
    <row r="442" spans="1:84" x14ac:dyDescent="0.3">
      <c r="A442" s="19"/>
      <c r="B442" s="19"/>
      <c r="C442" s="20"/>
      <c r="D442" s="20"/>
      <c r="E442" s="26"/>
      <c r="F442" s="26"/>
      <c r="G442" s="26"/>
      <c r="H442" s="26"/>
      <c r="I442" s="26"/>
      <c r="J442" s="26"/>
      <c r="K442" s="26"/>
      <c r="L442" s="26"/>
      <c r="M442" s="20"/>
      <c r="N442" s="26"/>
      <c r="O442" s="22"/>
      <c r="P442" s="21"/>
      <c r="Q442" s="23"/>
      <c r="R442" s="21"/>
      <c r="S442" s="21"/>
      <c r="T442" s="21"/>
      <c r="U442" s="21"/>
      <c r="V442" s="21"/>
      <c r="W442" s="24"/>
      <c r="X442" s="20"/>
      <c r="Y442" s="20"/>
      <c r="Z442" s="21"/>
      <c r="AA442" s="21"/>
      <c r="AB442" s="21"/>
      <c r="AC442" s="21"/>
      <c r="AD442" s="21"/>
      <c r="AE442" s="21"/>
      <c r="AF442" s="21"/>
      <c r="AG442" s="21"/>
      <c r="AH442" s="21"/>
      <c r="AI442" s="25"/>
      <c r="AJ442" s="20"/>
      <c r="AK442" s="21"/>
      <c r="AL442" s="20"/>
      <c r="AM442" s="20"/>
      <c r="AN442" s="20"/>
      <c r="AO442" s="20"/>
      <c r="AP442" s="446"/>
      <c r="AQ442" s="20"/>
      <c r="AR442" s="20"/>
      <c r="AS442" s="20"/>
      <c r="AT442" s="20"/>
      <c r="AU442" s="26"/>
      <c r="AV442" s="98"/>
      <c r="AW442" s="98"/>
      <c r="AX442" s="98"/>
      <c r="AY442" s="98"/>
      <c r="AZ442" s="98"/>
      <c r="BA442" s="217"/>
      <c r="BB442" s="98"/>
      <c r="BC442" s="98"/>
      <c r="BD442" s="98"/>
      <c r="BE442" s="98"/>
      <c r="BF442" s="98"/>
      <c r="BG442" s="219"/>
      <c r="BH442" s="219"/>
      <c r="BI442" s="219"/>
      <c r="BJ442" s="26"/>
      <c r="BK442" s="21"/>
      <c r="BL442" s="21"/>
      <c r="BM442" s="22"/>
      <c r="BN442" s="21"/>
      <c r="BO442" s="21"/>
      <c r="BP442" s="22"/>
      <c r="BQ442" s="21"/>
      <c r="BR442" s="21"/>
      <c r="BS442" s="22"/>
      <c r="BT44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42" s="109" t="str">
        <f>IF(ISNUMBER(tblParticipants[[#This Row],[SvcStartDate]]),IF(AND(tblParticipants[[#This Row],[EnrollQtr]]=1,tblParticipants[[#This Row],[SvcStartDate]]&lt;DATE(conProgYear,7,1)),1,""),"")</f>
        <v/>
      </c>
      <c r="BV44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42" s="232" t="str">
        <f t="shared" ca="1" si="6"/>
        <v/>
      </c>
      <c r="BX442" s="9">
        <f>IF(SUM(IF(tblParticipants[[#This Row],[AmIndOrAkNtv]]=1,1,0),IF(tblParticipants[[#This Row],[Asian]]=1,1,0),IF(tblParticipants[[#This Row],[BlkOrAfAmer]]=1,1,0),IF(tblParticipants[[#This Row],[NtvHawOrPacIsl]]=1,1,0),IF(tblParticipants[[#This Row],[White]]=1,1,0))&gt;1,1,0)</f>
        <v>0</v>
      </c>
      <c r="BY44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4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4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42" s="11">
        <f>IF(tblParticipants[[#This Row],[EarnWg2Qae]]=1,IFERROR(tblParticipants[[#This Row],[HoursPerWk2Qae]]*tblParticipants[[#This Row],[HrlyWg2Qae]]*13,0),0)</f>
        <v>0</v>
      </c>
      <c r="CC442" s="11">
        <f>IF(tblParticipants[[#This Row],[EarnWg3Qae]]=1,IFERROR(tblParticipants[[#This Row],[HoursPerWk3Qae]]*tblParticipants[[#This Row],[HrlyWg3Qae]]*13,0),0)</f>
        <v>0</v>
      </c>
      <c r="CD442" s="9">
        <f>IFERROR(IF(SUM(tblParticipants[[#This Row],[EarnWg1Qae]],tblParticipants[[#This Row],[EarnWg2Qae]],tblParticipants[[#This Row],[EarnWg3Qae]])=3,1,0),0)</f>
        <v>0</v>
      </c>
      <c r="CE442" s="12">
        <f>IF(tblParticipants[[#This Row],[EmplAll3Qae]]=1,tblParticipants[[#This Row],[Earnings2Qae]]+tblParticipants[[#This Row],[Earnings3Qae]],0)</f>
        <v>0</v>
      </c>
      <c r="CF442" s="407"/>
    </row>
    <row r="443" spans="1:84" x14ac:dyDescent="0.3">
      <c r="A443" s="19"/>
      <c r="B443" s="19"/>
      <c r="C443" s="20"/>
      <c r="D443" s="20"/>
      <c r="E443" s="26"/>
      <c r="F443" s="26"/>
      <c r="G443" s="26"/>
      <c r="H443" s="26"/>
      <c r="I443" s="26"/>
      <c r="J443" s="26"/>
      <c r="K443" s="26"/>
      <c r="L443" s="26"/>
      <c r="M443" s="20"/>
      <c r="N443" s="26"/>
      <c r="O443" s="22"/>
      <c r="P443" s="21"/>
      <c r="Q443" s="23"/>
      <c r="R443" s="21"/>
      <c r="S443" s="21"/>
      <c r="T443" s="21"/>
      <c r="U443" s="21"/>
      <c r="V443" s="21"/>
      <c r="W443" s="24"/>
      <c r="X443" s="20"/>
      <c r="Y443" s="20"/>
      <c r="Z443" s="21"/>
      <c r="AA443" s="21"/>
      <c r="AB443" s="21"/>
      <c r="AC443" s="21"/>
      <c r="AD443" s="21"/>
      <c r="AE443" s="21"/>
      <c r="AF443" s="21"/>
      <c r="AG443" s="21"/>
      <c r="AH443" s="21"/>
      <c r="AI443" s="25"/>
      <c r="AJ443" s="20"/>
      <c r="AK443" s="21"/>
      <c r="AL443" s="20"/>
      <c r="AM443" s="20"/>
      <c r="AN443" s="20"/>
      <c r="AO443" s="20"/>
      <c r="AP443" s="446"/>
      <c r="AQ443" s="20"/>
      <c r="AR443" s="20"/>
      <c r="AS443" s="20"/>
      <c r="AT443" s="20"/>
      <c r="AU443" s="26"/>
      <c r="AV443" s="98"/>
      <c r="AW443" s="98"/>
      <c r="AX443" s="98"/>
      <c r="AY443" s="98"/>
      <c r="AZ443" s="98"/>
      <c r="BA443" s="217"/>
      <c r="BB443" s="98"/>
      <c r="BC443" s="98"/>
      <c r="BD443" s="98"/>
      <c r="BE443" s="98"/>
      <c r="BF443" s="98"/>
      <c r="BG443" s="219"/>
      <c r="BH443" s="219"/>
      <c r="BI443" s="219"/>
      <c r="BJ443" s="26"/>
      <c r="BK443" s="21"/>
      <c r="BL443" s="21"/>
      <c r="BM443" s="22"/>
      <c r="BN443" s="21"/>
      <c r="BO443" s="21"/>
      <c r="BP443" s="22"/>
      <c r="BQ443" s="21"/>
      <c r="BR443" s="21"/>
      <c r="BS443" s="22"/>
      <c r="BT44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43" s="109" t="str">
        <f>IF(ISNUMBER(tblParticipants[[#This Row],[SvcStartDate]]),IF(AND(tblParticipants[[#This Row],[EnrollQtr]]=1,tblParticipants[[#This Row],[SvcStartDate]]&lt;DATE(conProgYear,7,1)),1,""),"")</f>
        <v/>
      </c>
      <c r="BV44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43" s="232" t="str">
        <f t="shared" ca="1" si="6"/>
        <v/>
      </c>
      <c r="BX443" s="9">
        <f>IF(SUM(IF(tblParticipants[[#This Row],[AmIndOrAkNtv]]=1,1,0),IF(tblParticipants[[#This Row],[Asian]]=1,1,0),IF(tblParticipants[[#This Row],[BlkOrAfAmer]]=1,1,0),IF(tblParticipants[[#This Row],[NtvHawOrPacIsl]]=1,1,0),IF(tblParticipants[[#This Row],[White]]=1,1,0))&gt;1,1,0)</f>
        <v>0</v>
      </c>
      <c r="BY44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4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4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43" s="11">
        <f>IF(tblParticipants[[#This Row],[EarnWg2Qae]]=1,IFERROR(tblParticipants[[#This Row],[HoursPerWk2Qae]]*tblParticipants[[#This Row],[HrlyWg2Qae]]*13,0),0)</f>
        <v>0</v>
      </c>
      <c r="CC443" s="11">
        <f>IF(tblParticipants[[#This Row],[EarnWg3Qae]]=1,IFERROR(tblParticipants[[#This Row],[HoursPerWk3Qae]]*tblParticipants[[#This Row],[HrlyWg3Qae]]*13,0),0)</f>
        <v>0</v>
      </c>
      <c r="CD443" s="9">
        <f>IFERROR(IF(SUM(tblParticipants[[#This Row],[EarnWg1Qae]],tblParticipants[[#This Row],[EarnWg2Qae]],tblParticipants[[#This Row],[EarnWg3Qae]])=3,1,0),0)</f>
        <v>0</v>
      </c>
      <c r="CE443" s="12">
        <f>IF(tblParticipants[[#This Row],[EmplAll3Qae]]=1,tblParticipants[[#This Row],[Earnings2Qae]]+tblParticipants[[#This Row],[Earnings3Qae]],0)</f>
        <v>0</v>
      </c>
      <c r="CF443" s="407"/>
    </row>
    <row r="444" spans="1:84" x14ac:dyDescent="0.3">
      <c r="A444" s="19"/>
      <c r="B444" s="19"/>
      <c r="C444" s="20"/>
      <c r="D444" s="20"/>
      <c r="E444" s="26"/>
      <c r="F444" s="26"/>
      <c r="G444" s="26"/>
      <c r="H444" s="26"/>
      <c r="I444" s="26"/>
      <c r="J444" s="26"/>
      <c r="K444" s="26"/>
      <c r="L444" s="26"/>
      <c r="M444" s="20"/>
      <c r="N444" s="26"/>
      <c r="O444" s="22"/>
      <c r="P444" s="21"/>
      <c r="Q444" s="23"/>
      <c r="R444" s="21"/>
      <c r="S444" s="21"/>
      <c r="T444" s="21"/>
      <c r="U444" s="21"/>
      <c r="V444" s="21"/>
      <c r="W444" s="24"/>
      <c r="X444" s="20"/>
      <c r="Y444" s="20"/>
      <c r="Z444" s="21"/>
      <c r="AA444" s="21"/>
      <c r="AB444" s="21"/>
      <c r="AC444" s="21"/>
      <c r="AD444" s="21"/>
      <c r="AE444" s="21"/>
      <c r="AF444" s="21"/>
      <c r="AG444" s="21"/>
      <c r="AH444" s="21"/>
      <c r="AI444" s="25"/>
      <c r="AJ444" s="20"/>
      <c r="AK444" s="21"/>
      <c r="AL444" s="20"/>
      <c r="AM444" s="20"/>
      <c r="AN444" s="20"/>
      <c r="AO444" s="20"/>
      <c r="AP444" s="446"/>
      <c r="AQ444" s="20"/>
      <c r="AR444" s="20"/>
      <c r="AS444" s="20"/>
      <c r="AT444" s="20"/>
      <c r="AU444" s="26"/>
      <c r="AV444" s="98"/>
      <c r="AW444" s="98"/>
      <c r="AX444" s="98"/>
      <c r="AY444" s="98"/>
      <c r="AZ444" s="98"/>
      <c r="BA444" s="217"/>
      <c r="BB444" s="98"/>
      <c r="BC444" s="98"/>
      <c r="BD444" s="98"/>
      <c r="BE444" s="98"/>
      <c r="BF444" s="98"/>
      <c r="BG444" s="219"/>
      <c r="BH444" s="219"/>
      <c r="BI444" s="219"/>
      <c r="BJ444" s="26"/>
      <c r="BK444" s="21"/>
      <c r="BL444" s="21"/>
      <c r="BM444" s="22"/>
      <c r="BN444" s="21"/>
      <c r="BO444" s="21"/>
      <c r="BP444" s="22"/>
      <c r="BQ444" s="21"/>
      <c r="BR444" s="21"/>
      <c r="BS444" s="22"/>
      <c r="BT44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44" s="109" t="str">
        <f>IF(ISNUMBER(tblParticipants[[#This Row],[SvcStartDate]]),IF(AND(tblParticipants[[#This Row],[EnrollQtr]]=1,tblParticipants[[#This Row],[SvcStartDate]]&lt;DATE(conProgYear,7,1)),1,""),"")</f>
        <v/>
      </c>
      <c r="BV44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44" s="232" t="str">
        <f t="shared" ca="1" si="6"/>
        <v/>
      </c>
      <c r="BX444" s="9">
        <f>IF(SUM(IF(tblParticipants[[#This Row],[AmIndOrAkNtv]]=1,1,0),IF(tblParticipants[[#This Row],[Asian]]=1,1,0),IF(tblParticipants[[#This Row],[BlkOrAfAmer]]=1,1,0),IF(tblParticipants[[#This Row],[NtvHawOrPacIsl]]=1,1,0),IF(tblParticipants[[#This Row],[White]]=1,1,0))&gt;1,1,0)</f>
        <v>0</v>
      </c>
      <c r="BY44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4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4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44" s="11">
        <f>IF(tblParticipants[[#This Row],[EarnWg2Qae]]=1,IFERROR(tblParticipants[[#This Row],[HoursPerWk2Qae]]*tblParticipants[[#This Row],[HrlyWg2Qae]]*13,0),0)</f>
        <v>0</v>
      </c>
      <c r="CC444" s="11">
        <f>IF(tblParticipants[[#This Row],[EarnWg3Qae]]=1,IFERROR(tblParticipants[[#This Row],[HoursPerWk3Qae]]*tblParticipants[[#This Row],[HrlyWg3Qae]]*13,0),0)</f>
        <v>0</v>
      </c>
      <c r="CD444" s="9">
        <f>IFERROR(IF(SUM(tblParticipants[[#This Row],[EarnWg1Qae]],tblParticipants[[#This Row],[EarnWg2Qae]],tblParticipants[[#This Row],[EarnWg3Qae]])=3,1,0),0)</f>
        <v>0</v>
      </c>
      <c r="CE444" s="12">
        <f>IF(tblParticipants[[#This Row],[EmplAll3Qae]]=1,tblParticipants[[#This Row],[Earnings2Qae]]+tblParticipants[[#This Row],[Earnings3Qae]],0)</f>
        <v>0</v>
      </c>
      <c r="CF444" s="407"/>
    </row>
    <row r="445" spans="1:84" x14ac:dyDescent="0.3">
      <c r="A445" s="19"/>
      <c r="B445" s="19"/>
      <c r="C445" s="20"/>
      <c r="D445" s="20"/>
      <c r="E445" s="26"/>
      <c r="F445" s="26"/>
      <c r="G445" s="26"/>
      <c r="H445" s="26"/>
      <c r="I445" s="26"/>
      <c r="J445" s="26"/>
      <c r="K445" s="26"/>
      <c r="L445" s="26"/>
      <c r="M445" s="20"/>
      <c r="N445" s="26"/>
      <c r="O445" s="22"/>
      <c r="P445" s="21"/>
      <c r="Q445" s="23"/>
      <c r="R445" s="21"/>
      <c r="S445" s="21"/>
      <c r="T445" s="21"/>
      <c r="U445" s="21"/>
      <c r="V445" s="21"/>
      <c r="W445" s="24"/>
      <c r="X445" s="20"/>
      <c r="Y445" s="20"/>
      <c r="Z445" s="21"/>
      <c r="AA445" s="21"/>
      <c r="AB445" s="21"/>
      <c r="AC445" s="21"/>
      <c r="AD445" s="21"/>
      <c r="AE445" s="21"/>
      <c r="AF445" s="21"/>
      <c r="AG445" s="21"/>
      <c r="AH445" s="21"/>
      <c r="AI445" s="25"/>
      <c r="AJ445" s="20"/>
      <c r="AK445" s="21"/>
      <c r="AL445" s="20"/>
      <c r="AM445" s="20"/>
      <c r="AN445" s="20"/>
      <c r="AO445" s="20"/>
      <c r="AP445" s="446"/>
      <c r="AQ445" s="20"/>
      <c r="AR445" s="20"/>
      <c r="AS445" s="20"/>
      <c r="AT445" s="20"/>
      <c r="AU445" s="26"/>
      <c r="AV445" s="98"/>
      <c r="AW445" s="98"/>
      <c r="AX445" s="98"/>
      <c r="AY445" s="98"/>
      <c r="AZ445" s="98"/>
      <c r="BA445" s="217"/>
      <c r="BB445" s="98"/>
      <c r="BC445" s="98"/>
      <c r="BD445" s="98"/>
      <c r="BE445" s="98"/>
      <c r="BF445" s="98"/>
      <c r="BG445" s="219"/>
      <c r="BH445" s="219"/>
      <c r="BI445" s="219"/>
      <c r="BJ445" s="26"/>
      <c r="BK445" s="21"/>
      <c r="BL445" s="21"/>
      <c r="BM445" s="22"/>
      <c r="BN445" s="21"/>
      <c r="BO445" s="21"/>
      <c r="BP445" s="22"/>
      <c r="BQ445" s="21"/>
      <c r="BR445" s="21"/>
      <c r="BS445" s="22"/>
      <c r="BT44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45" s="109" t="str">
        <f>IF(ISNUMBER(tblParticipants[[#This Row],[SvcStartDate]]),IF(AND(tblParticipants[[#This Row],[EnrollQtr]]=1,tblParticipants[[#This Row],[SvcStartDate]]&lt;DATE(conProgYear,7,1)),1,""),"")</f>
        <v/>
      </c>
      <c r="BV44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45" s="232" t="str">
        <f t="shared" ca="1" si="6"/>
        <v/>
      </c>
      <c r="BX445" s="9">
        <f>IF(SUM(IF(tblParticipants[[#This Row],[AmIndOrAkNtv]]=1,1,0),IF(tblParticipants[[#This Row],[Asian]]=1,1,0),IF(tblParticipants[[#This Row],[BlkOrAfAmer]]=1,1,0),IF(tblParticipants[[#This Row],[NtvHawOrPacIsl]]=1,1,0),IF(tblParticipants[[#This Row],[White]]=1,1,0))&gt;1,1,0)</f>
        <v>0</v>
      </c>
      <c r="BY44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4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4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45" s="11">
        <f>IF(tblParticipants[[#This Row],[EarnWg2Qae]]=1,IFERROR(tblParticipants[[#This Row],[HoursPerWk2Qae]]*tblParticipants[[#This Row],[HrlyWg2Qae]]*13,0),0)</f>
        <v>0</v>
      </c>
      <c r="CC445" s="11">
        <f>IF(tblParticipants[[#This Row],[EarnWg3Qae]]=1,IFERROR(tblParticipants[[#This Row],[HoursPerWk3Qae]]*tblParticipants[[#This Row],[HrlyWg3Qae]]*13,0),0)</f>
        <v>0</v>
      </c>
      <c r="CD445" s="9">
        <f>IFERROR(IF(SUM(tblParticipants[[#This Row],[EarnWg1Qae]],tblParticipants[[#This Row],[EarnWg2Qae]],tblParticipants[[#This Row],[EarnWg3Qae]])=3,1,0),0)</f>
        <v>0</v>
      </c>
      <c r="CE445" s="12">
        <f>IF(tblParticipants[[#This Row],[EmplAll3Qae]]=1,tblParticipants[[#This Row],[Earnings2Qae]]+tblParticipants[[#This Row],[Earnings3Qae]],0)</f>
        <v>0</v>
      </c>
      <c r="CF445" s="407"/>
    </row>
    <row r="446" spans="1:84" x14ac:dyDescent="0.3">
      <c r="A446" s="19"/>
      <c r="B446" s="19"/>
      <c r="C446" s="20"/>
      <c r="D446" s="20"/>
      <c r="E446" s="26"/>
      <c r="F446" s="26"/>
      <c r="G446" s="26"/>
      <c r="H446" s="26"/>
      <c r="I446" s="26"/>
      <c r="J446" s="26"/>
      <c r="K446" s="26"/>
      <c r="L446" s="26"/>
      <c r="M446" s="20"/>
      <c r="N446" s="26"/>
      <c r="O446" s="22"/>
      <c r="P446" s="21"/>
      <c r="Q446" s="23"/>
      <c r="R446" s="21"/>
      <c r="S446" s="21"/>
      <c r="T446" s="21"/>
      <c r="U446" s="21"/>
      <c r="V446" s="21"/>
      <c r="W446" s="24"/>
      <c r="X446" s="20"/>
      <c r="Y446" s="20"/>
      <c r="Z446" s="21"/>
      <c r="AA446" s="21"/>
      <c r="AB446" s="21"/>
      <c r="AC446" s="21"/>
      <c r="AD446" s="21"/>
      <c r="AE446" s="21"/>
      <c r="AF446" s="21"/>
      <c r="AG446" s="21"/>
      <c r="AH446" s="21"/>
      <c r="AI446" s="25"/>
      <c r="AJ446" s="20"/>
      <c r="AK446" s="21"/>
      <c r="AL446" s="20"/>
      <c r="AM446" s="20"/>
      <c r="AN446" s="20"/>
      <c r="AO446" s="20"/>
      <c r="AP446" s="446"/>
      <c r="AQ446" s="20"/>
      <c r="AR446" s="20"/>
      <c r="AS446" s="20"/>
      <c r="AT446" s="20"/>
      <c r="AU446" s="26"/>
      <c r="AV446" s="98"/>
      <c r="AW446" s="98"/>
      <c r="AX446" s="98"/>
      <c r="AY446" s="98"/>
      <c r="AZ446" s="98"/>
      <c r="BA446" s="217"/>
      <c r="BB446" s="98"/>
      <c r="BC446" s="98"/>
      <c r="BD446" s="98"/>
      <c r="BE446" s="98"/>
      <c r="BF446" s="98"/>
      <c r="BG446" s="219"/>
      <c r="BH446" s="219"/>
      <c r="BI446" s="219"/>
      <c r="BJ446" s="26"/>
      <c r="BK446" s="21"/>
      <c r="BL446" s="21"/>
      <c r="BM446" s="22"/>
      <c r="BN446" s="21"/>
      <c r="BO446" s="21"/>
      <c r="BP446" s="22"/>
      <c r="BQ446" s="21"/>
      <c r="BR446" s="21"/>
      <c r="BS446" s="22"/>
      <c r="BT44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46" s="109" t="str">
        <f>IF(ISNUMBER(tblParticipants[[#This Row],[SvcStartDate]]),IF(AND(tblParticipants[[#This Row],[EnrollQtr]]=1,tblParticipants[[#This Row],[SvcStartDate]]&lt;DATE(conProgYear,7,1)),1,""),"")</f>
        <v/>
      </c>
      <c r="BV44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46" s="232" t="str">
        <f t="shared" ca="1" si="6"/>
        <v/>
      </c>
      <c r="BX446" s="9">
        <f>IF(SUM(IF(tblParticipants[[#This Row],[AmIndOrAkNtv]]=1,1,0),IF(tblParticipants[[#This Row],[Asian]]=1,1,0),IF(tblParticipants[[#This Row],[BlkOrAfAmer]]=1,1,0),IF(tblParticipants[[#This Row],[NtvHawOrPacIsl]]=1,1,0),IF(tblParticipants[[#This Row],[White]]=1,1,0))&gt;1,1,0)</f>
        <v>0</v>
      </c>
      <c r="BY44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4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4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46" s="11">
        <f>IF(tblParticipants[[#This Row],[EarnWg2Qae]]=1,IFERROR(tblParticipants[[#This Row],[HoursPerWk2Qae]]*tblParticipants[[#This Row],[HrlyWg2Qae]]*13,0),0)</f>
        <v>0</v>
      </c>
      <c r="CC446" s="11">
        <f>IF(tblParticipants[[#This Row],[EarnWg3Qae]]=1,IFERROR(tblParticipants[[#This Row],[HoursPerWk3Qae]]*tblParticipants[[#This Row],[HrlyWg3Qae]]*13,0),0)</f>
        <v>0</v>
      </c>
      <c r="CD446" s="9">
        <f>IFERROR(IF(SUM(tblParticipants[[#This Row],[EarnWg1Qae]],tblParticipants[[#This Row],[EarnWg2Qae]],tblParticipants[[#This Row],[EarnWg3Qae]])=3,1,0),0)</f>
        <v>0</v>
      </c>
      <c r="CE446" s="12">
        <f>IF(tblParticipants[[#This Row],[EmplAll3Qae]]=1,tblParticipants[[#This Row],[Earnings2Qae]]+tblParticipants[[#This Row],[Earnings3Qae]],0)</f>
        <v>0</v>
      </c>
      <c r="CF446" s="407"/>
    </row>
    <row r="447" spans="1:84" x14ac:dyDescent="0.3">
      <c r="A447" s="19"/>
      <c r="B447" s="19"/>
      <c r="C447" s="20"/>
      <c r="D447" s="20"/>
      <c r="E447" s="26"/>
      <c r="F447" s="26"/>
      <c r="G447" s="26"/>
      <c r="H447" s="26"/>
      <c r="I447" s="26"/>
      <c r="J447" s="26"/>
      <c r="K447" s="26"/>
      <c r="L447" s="26"/>
      <c r="M447" s="20"/>
      <c r="N447" s="26"/>
      <c r="O447" s="22"/>
      <c r="P447" s="21"/>
      <c r="Q447" s="23"/>
      <c r="R447" s="21"/>
      <c r="S447" s="21"/>
      <c r="T447" s="21"/>
      <c r="U447" s="21"/>
      <c r="V447" s="21"/>
      <c r="W447" s="24"/>
      <c r="X447" s="20"/>
      <c r="Y447" s="20"/>
      <c r="Z447" s="21"/>
      <c r="AA447" s="21"/>
      <c r="AB447" s="21"/>
      <c r="AC447" s="21"/>
      <c r="AD447" s="21"/>
      <c r="AE447" s="21"/>
      <c r="AF447" s="21"/>
      <c r="AG447" s="21"/>
      <c r="AH447" s="21"/>
      <c r="AI447" s="25"/>
      <c r="AJ447" s="20"/>
      <c r="AK447" s="21"/>
      <c r="AL447" s="20"/>
      <c r="AM447" s="20"/>
      <c r="AN447" s="20"/>
      <c r="AO447" s="20"/>
      <c r="AP447" s="446"/>
      <c r="AQ447" s="20"/>
      <c r="AR447" s="20"/>
      <c r="AS447" s="20"/>
      <c r="AT447" s="20"/>
      <c r="AU447" s="26"/>
      <c r="AV447" s="98"/>
      <c r="AW447" s="98"/>
      <c r="AX447" s="98"/>
      <c r="AY447" s="98"/>
      <c r="AZ447" s="98"/>
      <c r="BA447" s="217"/>
      <c r="BB447" s="98"/>
      <c r="BC447" s="98"/>
      <c r="BD447" s="98"/>
      <c r="BE447" s="98"/>
      <c r="BF447" s="98"/>
      <c r="BG447" s="219"/>
      <c r="BH447" s="219"/>
      <c r="BI447" s="219"/>
      <c r="BJ447" s="26"/>
      <c r="BK447" s="21"/>
      <c r="BL447" s="21"/>
      <c r="BM447" s="22"/>
      <c r="BN447" s="21"/>
      <c r="BO447" s="21"/>
      <c r="BP447" s="22"/>
      <c r="BQ447" s="21"/>
      <c r="BR447" s="21"/>
      <c r="BS447" s="22"/>
      <c r="BT44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47" s="109" t="str">
        <f>IF(ISNUMBER(tblParticipants[[#This Row],[SvcStartDate]]),IF(AND(tblParticipants[[#This Row],[EnrollQtr]]=1,tblParticipants[[#This Row],[SvcStartDate]]&lt;DATE(conProgYear,7,1)),1,""),"")</f>
        <v/>
      </c>
      <c r="BV44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47" s="232" t="str">
        <f t="shared" ca="1" si="6"/>
        <v/>
      </c>
      <c r="BX447" s="9">
        <f>IF(SUM(IF(tblParticipants[[#This Row],[AmIndOrAkNtv]]=1,1,0),IF(tblParticipants[[#This Row],[Asian]]=1,1,0),IF(tblParticipants[[#This Row],[BlkOrAfAmer]]=1,1,0),IF(tblParticipants[[#This Row],[NtvHawOrPacIsl]]=1,1,0),IF(tblParticipants[[#This Row],[White]]=1,1,0))&gt;1,1,0)</f>
        <v>0</v>
      </c>
      <c r="BY44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4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4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47" s="11">
        <f>IF(tblParticipants[[#This Row],[EarnWg2Qae]]=1,IFERROR(tblParticipants[[#This Row],[HoursPerWk2Qae]]*tblParticipants[[#This Row],[HrlyWg2Qae]]*13,0),0)</f>
        <v>0</v>
      </c>
      <c r="CC447" s="11">
        <f>IF(tblParticipants[[#This Row],[EarnWg3Qae]]=1,IFERROR(tblParticipants[[#This Row],[HoursPerWk3Qae]]*tblParticipants[[#This Row],[HrlyWg3Qae]]*13,0),0)</f>
        <v>0</v>
      </c>
      <c r="CD447" s="9">
        <f>IFERROR(IF(SUM(tblParticipants[[#This Row],[EarnWg1Qae]],tblParticipants[[#This Row],[EarnWg2Qae]],tblParticipants[[#This Row],[EarnWg3Qae]])=3,1,0),0)</f>
        <v>0</v>
      </c>
      <c r="CE447" s="12">
        <f>IF(tblParticipants[[#This Row],[EmplAll3Qae]]=1,tblParticipants[[#This Row],[Earnings2Qae]]+tblParticipants[[#This Row],[Earnings3Qae]],0)</f>
        <v>0</v>
      </c>
      <c r="CF447" s="407"/>
    </row>
    <row r="448" spans="1:84" x14ac:dyDescent="0.3">
      <c r="A448" s="19"/>
      <c r="B448" s="19"/>
      <c r="C448" s="20"/>
      <c r="D448" s="20"/>
      <c r="E448" s="26"/>
      <c r="F448" s="26"/>
      <c r="G448" s="26"/>
      <c r="H448" s="26"/>
      <c r="I448" s="26"/>
      <c r="J448" s="26"/>
      <c r="K448" s="26"/>
      <c r="L448" s="26"/>
      <c r="M448" s="20"/>
      <c r="N448" s="26"/>
      <c r="O448" s="22"/>
      <c r="P448" s="21"/>
      <c r="Q448" s="23"/>
      <c r="R448" s="21"/>
      <c r="S448" s="21"/>
      <c r="T448" s="21"/>
      <c r="U448" s="21"/>
      <c r="V448" s="21"/>
      <c r="W448" s="24"/>
      <c r="X448" s="20"/>
      <c r="Y448" s="20"/>
      <c r="Z448" s="21"/>
      <c r="AA448" s="21"/>
      <c r="AB448" s="21"/>
      <c r="AC448" s="21"/>
      <c r="AD448" s="21"/>
      <c r="AE448" s="21"/>
      <c r="AF448" s="21"/>
      <c r="AG448" s="21"/>
      <c r="AH448" s="21"/>
      <c r="AI448" s="25"/>
      <c r="AJ448" s="20"/>
      <c r="AK448" s="21"/>
      <c r="AL448" s="20"/>
      <c r="AM448" s="20"/>
      <c r="AN448" s="20"/>
      <c r="AO448" s="20"/>
      <c r="AP448" s="446"/>
      <c r="AQ448" s="20"/>
      <c r="AR448" s="20"/>
      <c r="AS448" s="20"/>
      <c r="AT448" s="20"/>
      <c r="AU448" s="26"/>
      <c r="AV448" s="98"/>
      <c r="AW448" s="98"/>
      <c r="AX448" s="98"/>
      <c r="AY448" s="98"/>
      <c r="AZ448" s="98"/>
      <c r="BA448" s="217"/>
      <c r="BB448" s="98"/>
      <c r="BC448" s="98"/>
      <c r="BD448" s="98"/>
      <c r="BE448" s="98"/>
      <c r="BF448" s="98"/>
      <c r="BG448" s="219"/>
      <c r="BH448" s="219"/>
      <c r="BI448" s="219"/>
      <c r="BJ448" s="26"/>
      <c r="BK448" s="21"/>
      <c r="BL448" s="21"/>
      <c r="BM448" s="22"/>
      <c r="BN448" s="21"/>
      <c r="BO448" s="21"/>
      <c r="BP448" s="22"/>
      <c r="BQ448" s="21"/>
      <c r="BR448" s="21"/>
      <c r="BS448" s="22"/>
      <c r="BT44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48" s="109" t="str">
        <f>IF(ISNUMBER(tblParticipants[[#This Row],[SvcStartDate]]),IF(AND(tblParticipants[[#This Row],[EnrollQtr]]=1,tblParticipants[[#This Row],[SvcStartDate]]&lt;DATE(conProgYear,7,1)),1,""),"")</f>
        <v/>
      </c>
      <c r="BV44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48" s="232" t="str">
        <f t="shared" ca="1" si="6"/>
        <v/>
      </c>
      <c r="BX448" s="9">
        <f>IF(SUM(IF(tblParticipants[[#This Row],[AmIndOrAkNtv]]=1,1,0),IF(tblParticipants[[#This Row],[Asian]]=1,1,0),IF(tblParticipants[[#This Row],[BlkOrAfAmer]]=1,1,0),IF(tblParticipants[[#This Row],[NtvHawOrPacIsl]]=1,1,0),IF(tblParticipants[[#This Row],[White]]=1,1,0))&gt;1,1,0)</f>
        <v>0</v>
      </c>
      <c r="BY44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4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4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48" s="11">
        <f>IF(tblParticipants[[#This Row],[EarnWg2Qae]]=1,IFERROR(tblParticipants[[#This Row],[HoursPerWk2Qae]]*tblParticipants[[#This Row],[HrlyWg2Qae]]*13,0),0)</f>
        <v>0</v>
      </c>
      <c r="CC448" s="11">
        <f>IF(tblParticipants[[#This Row],[EarnWg3Qae]]=1,IFERROR(tblParticipants[[#This Row],[HoursPerWk3Qae]]*tblParticipants[[#This Row],[HrlyWg3Qae]]*13,0),0)</f>
        <v>0</v>
      </c>
      <c r="CD448" s="9">
        <f>IFERROR(IF(SUM(tblParticipants[[#This Row],[EarnWg1Qae]],tblParticipants[[#This Row],[EarnWg2Qae]],tblParticipants[[#This Row],[EarnWg3Qae]])=3,1,0),0)</f>
        <v>0</v>
      </c>
      <c r="CE448" s="12">
        <f>IF(tblParticipants[[#This Row],[EmplAll3Qae]]=1,tblParticipants[[#This Row],[Earnings2Qae]]+tblParticipants[[#This Row],[Earnings3Qae]],0)</f>
        <v>0</v>
      </c>
      <c r="CF448" s="407"/>
    </row>
    <row r="449" spans="1:84" x14ac:dyDescent="0.3">
      <c r="A449" s="19"/>
      <c r="B449" s="19"/>
      <c r="C449" s="20"/>
      <c r="D449" s="20"/>
      <c r="E449" s="26"/>
      <c r="F449" s="26"/>
      <c r="G449" s="26"/>
      <c r="H449" s="26"/>
      <c r="I449" s="26"/>
      <c r="J449" s="26"/>
      <c r="K449" s="26"/>
      <c r="L449" s="26"/>
      <c r="M449" s="20"/>
      <c r="N449" s="26"/>
      <c r="O449" s="22"/>
      <c r="P449" s="21"/>
      <c r="Q449" s="23"/>
      <c r="R449" s="21"/>
      <c r="S449" s="21"/>
      <c r="T449" s="21"/>
      <c r="U449" s="21"/>
      <c r="V449" s="21"/>
      <c r="W449" s="24"/>
      <c r="X449" s="20"/>
      <c r="Y449" s="20"/>
      <c r="Z449" s="21"/>
      <c r="AA449" s="21"/>
      <c r="AB449" s="21"/>
      <c r="AC449" s="21"/>
      <c r="AD449" s="21"/>
      <c r="AE449" s="21"/>
      <c r="AF449" s="21"/>
      <c r="AG449" s="21"/>
      <c r="AH449" s="21"/>
      <c r="AI449" s="25"/>
      <c r="AJ449" s="20"/>
      <c r="AK449" s="21"/>
      <c r="AL449" s="20"/>
      <c r="AM449" s="20"/>
      <c r="AN449" s="20"/>
      <c r="AO449" s="20"/>
      <c r="AP449" s="446"/>
      <c r="AQ449" s="20"/>
      <c r="AR449" s="20"/>
      <c r="AS449" s="20"/>
      <c r="AT449" s="20"/>
      <c r="AU449" s="26"/>
      <c r="AV449" s="98"/>
      <c r="AW449" s="98"/>
      <c r="AX449" s="98"/>
      <c r="AY449" s="98"/>
      <c r="AZ449" s="98"/>
      <c r="BA449" s="217"/>
      <c r="BB449" s="98"/>
      <c r="BC449" s="98"/>
      <c r="BD449" s="98"/>
      <c r="BE449" s="98"/>
      <c r="BF449" s="98"/>
      <c r="BG449" s="219"/>
      <c r="BH449" s="219"/>
      <c r="BI449" s="219"/>
      <c r="BJ449" s="26"/>
      <c r="BK449" s="21"/>
      <c r="BL449" s="21"/>
      <c r="BM449" s="22"/>
      <c r="BN449" s="21"/>
      <c r="BO449" s="21"/>
      <c r="BP449" s="22"/>
      <c r="BQ449" s="21"/>
      <c r="BR449" s="21"/>
      <c r="BS449" s="22"/>
      <c r="BT44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49" s="109" t="str">
        <f>IF(ISNUMBER(tblParticipants[[#This Row],[SvcStartDate]]),IF(AND(tblParticipants[[#This Row],[EnrollQtr]]=1,tblParticipants[[#This Row],[SvcStartDate]]&lt;DATE(conProgYear,7,1)),1,""),"")</f>
        <v/>
      </c>
      <c r="BV44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49" s="232" t="str">
        <f t="shared" ca="1" si="6"/>
        <v/>
      </c>
      <c r="BX449" s="9">
        <f>IF(SUM(IF(tblParticipants[[#This Row],[AmIndOrAkNtv]]=1,1,0),IF(tblParticipants[[#This Row],[Asian]]=1,1,0),IF(tblParticipants[[#This Row],[BlkOrAfAmer]]=1,1,0),IF(tblParticipants[[#This Row],[NtvHawOrPacIsl]]=1,1,0),IF(tblParticipants[[#This Row],[White]]=1,1,0))&gt;1,1,0)</f>
        <v>0</v>
      </c>
      <c r="BY44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4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4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49" s="11">
        <f>IF(tblParticipants[[#This Row],[EarnWg2Qae]]=1,IFERROR(tblParticipants[[#This Row],[HoursPerWk2Qae]]*tblParticipants[[#This Row],[HrlyWg2Qae]]*13,0),0)</f>
        <v>0</v>
      </c>
      <c r="CC449" s="11">
        <f>IF(tblParticipants[[#This Row],[EarnWg3Qae]]=1,IFERROR(tblParticipants[[#This Row],[HoursPerWk3Qae]]*tblParticipants[[#This Row],[HrlyWg3Qae]]*13,0),0)</f>
        <v>0</v>
      </c>
      <c r="CD449" s="9">
        <f>IFERROR(IF(SUM(tblParticipants[[#This Row],[EarnWg1Qae]],tblParticipants[[#This Row],[EarnWg2Qae]],tblParticipants[[#This Row],[EarnWg3Qae]])=3,1,0),0)</f>
        <v>0</v>
      </c>
      <c r="CE449" s="12">
        <f>IF(tblParticipants[[#This Row],[EmplAll3Qae]]=1,tblParticipants[[#This Row],[Earnings2Qae]]+tblParticipants[[#This Row],[Earnings3Qae]],0)</f>
        <v>0</v>
      </c>
      <c r="CF449" s="407"/>
    </row>
    <row r="450" spans="1:84" x14ac:dyDescent="0.3">
      <c r="A450" s="19"/>
      <c r="B450" s="19"/>
      <c r="C450" s="20"/>
      <c r="D450" s="20"/>
      <c r="E450" s="26"/>
      <c r="F450" s="26"/>
      <c r="G450" s="26"/>
      <c r="H450" s="26"/>
      <c r="I450" s="26"/>
      <c r="J450" s="26"/>
      <c r="K450" s="26"/>
      <c r="L450" s="26"/>
      <c r="M450" s="20"/>
      <c r="N450" s="26"/>
      <c r="O450" s="22"/>
      <c r="P450" s="21"/>
      <c r="Q450" s="23"/>
      <c r="R450" s="21"/>
      <c r="S450" s="21"/>
      <c r="T450" s="21"/>
      <c r="U450" s="21"/>
      <c r="V450" s="21"/>
      <c r="W450" s="24"/>
      <c r="X450" s="20"/>
      <c r="Y450" s="20"/>
      <c r="Z450" s="21"/>
      <c r="AA450" s="21"/>
      <c r="AB450" s="21"/>
      <c r="AC450" s="21"/>
      <c r="AD450" s="21"/>
      <c r="AE450" s="21"/>
      <c r="AF450" s="21"/>
      <c r="AG450" s="21"/>
      <c r="AH450" s="21"/>
      <c r="AI450" s="25"/>
      <c r="AJ450" s="20"/>
      <c r="AK450" s="21"/>
      <c r="AL450" s="20"/>
      <c r="AM450" s="20"/>
      <c r="AN450" s="20"/>
      <c r="AO450" s="20"/>
      <c r="AP450" s="446"/>
      <c r="AQ450" s="20"/>
      <c r="AR450" s="20"/>
      <c r="AS450" s="20"/>
      <c r="AT450" s="20"/>
      <c r="AU450" s="26"/>
      <c r="AV450" s="98"/>
      <c r="AW450" s="98"/>
      <c r="AX450" s="98"/>
      <c r="AY450" s="98"/>
      <c r="AZ450" s="98"/>
      <c r="BA450" s="217"/>
      <c r="BB450" s="98"/>
      <c r="BC450" s="98"/>
      <c r="BD450" s="98"/>
      <c r="BE450" s="98"/>
      <c r="BF450" s="98"/>
      <c r="BG450" s="219"/>
      <c r="BH450" s="219"/>
      <c r="BI450" s="219"/>
      <c r="BJ450" s="26"/>
      <c r="BK450" s="21"/>
      <c r="BL450" s="21"/>
      <c r="BM450" s="22"/>
      <c r="BN450" s="21"/>
      <c r="BO450" s="21"/>
      <c r="BP450" s="22"/>
      <c r="BQ450" s="21"/>
      <c r="BR450" s="21"/>
      <c r="BS450" s="22"/>
      <c r="BT45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50" s="109" t="str">
        <f>IF(ISNUMBER(tblParticipants[[#This Row],[SvcStartDate]]),IF(AND(tblParticipants[[#This Row],[EnrollQtr]]=1,tblParticipants[[#This Row],[SvcStartDate]]&lt;DATE(conProgYear,7,1)),1,""),"")</f>
        <v/>
      </c>
      <c r="BV45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50" s="232" t="str">
        <f t="shared" ca="1" si="6"/>
        <v/>
      </c>
      <c r="BX450" s="9">
        <f>IF(SUM(IF(tblParticipants[[#This Row],[AmIndOrAkNtv]]=1,1,0),IF(tblParticipants[[#This Row],[Asian]]=1,1,0),IF(tblParticipants[[#This Row],[BlkOrAfAmer]]=1,1,0),IF(tblParticipants[[#This Row],[NtvHawOrPacIsl]]=1,1,0),IF(tblParticipants[[#This Row],[White]]=1,1,0))&gt;1,1,0)</f>
        <v>0</v>
      </c>
      <c r="BY45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5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5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50" s="11">
        <f>IF(tblParticipants[[#This Row],[EarnWg2Qae]]=1,IFERROR(tblParticipants[[#This Row],[HoursPerWk2Qae]]*tblParticipants[[#This Row],[HrlyWg2Qae]]*13,0),0)</f>
        <v>0</v>
      </c>
      <c r="CC450" s="11">
        <f>IF(tblParticipants[[#This Row],[EarnWg3Qae]]=1,IFERROR(tblParticipants[[#This Row],[HoursPerWk3Qae]]*tblParticipants[[#This Row],[HrlyWg3Qae]]*13,0),0)</f>
        <v>0</v>
      </c>
      <c r="CD450" s="9">
        <f>IFERROR(IF(SUM(tblParticipants[[#This Row],[EarnWg1Qae]],tblParticipants[[#This Row],[EarnWg2Qae]],tblParticipants[[#This Row],[EarnWg3Qae]])=3,1,0),0)</f>
        <v>0</v>
      </c>
      <c r="CE450" s="12">
        <f>IF(tblParticipants[[#This Row],[EmplAll3Qae]]=1,tblParticipants[[#This Row],[Earnings2Qae]]+tblParticipants[[#This Row],[Earnings3Qae]],0)</f>
        <v>0</v>
      </c>
      <c r="CF450" s="407"/>
    </row>
    <row r="451" spans="1:84" x14ac:dyDescent="0.3">
      <c r="A451" s="19"/>
      <c r="B451" s="19"/>
      <c r="C451" s="20"/>
      <c r="D451" s="20"/>
      <c r="E451" s="26"/>
      <c r="F451" s="26"/>
      <c r="G451" s="26"/>
      <c r="H451" s="26"/>
      <c r="I451" s="26"/>
      <c r="J451" s="26"/>
      <c r="K451" s="26"/>
      <c r="L451" s="26"/>
      <c r="M451" s="20"/>
      <c r="N451" s="26"/>
      <c r="O451" s="22"/>
      <c r="P451" s="21"/>
      <c r="Q451" s="23"/>
      <c r="R451" s="21"/>
      <c r="S451" s="21"/>
      <c r="T451" s="21"/>
      <c r="U451" s="21"/>
      <c r="V451" s="21"/>
      <c r="W451" s="24"/>
      <c r="X451" s="20"/>
      <c r="Y451" s="20"/>
      <c r="Z451" s="21"/>
      <c r="AA451" s="21"/>
      <c r="AB451" s="21"/>
      <c r="AC451" s="21"/>
      <c r="AD451" s="21"/>
      <c r="AE451" s="21"/>
      <c r="AF451" s="21"/>
      <c r="AG451" s="21"/>
      <c r="AH451" s="21"/>
      <c r="AI451" s="25"/>
      <c r="AJ451" s="20"/>
      <c r="AK451" s="21"/>
      <c r="AL451" s="20"/>
      <c r="AM451" s="20"/>
      <c r="AN451" s="20"/>
      <c r="AO451" s="20"/>
      <c r="AP451" s="446"/>
      <c r="AQ451" s="20"/>
      <c r="AR451" s="20"/>
      <c r="AS451" s="20"/>
      <c r="AT451" s="20"/>
      <c r="AU451" s="26"/>
      <c r="AV451" s="98"/>
      <c r="AW451" s="98"/>
      <c r="AX451" s="98"/>
      <c r="AY451" s="98"/>
      <c r="AZ451" s="98"/>
      <c r="BA451" s="217"/>
      <c r="BB451" s="98"/>
      <c r="BC451" s="98"/>
      <c r="BD451" s="98"/>
      <c r="BE451" s="98"/>
      <c r="BF451" s="98"/>
      <c r="BG451" s="219"/>
      <c r="BH451" s="219"/>
      <c r="BI451" s="219"/>
      <c r="BJ451" s="26"/>
      <c r="BK451" s="21"/>
      <c r="BL451" s="21"/>
      <c r="BM451" s="22"/>
      <c r="BN451" s="21"/>
      <c r="BO451" s="21"/>
      <c r="BP451" s="22"/>
      <c r="BQ451" s="21"/>
      <c r="BR451" s="21"/>
      <c r="BS451" s="22"/>
      <c r="BT45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51" s="109" t="str">
        <f>IF(ISNUMBER(tblParticipants[[#This Row],[SvcStartDate]]),IF(AND(tblParticipants[[#This Row],[EnrollQtr]]=1,tblParticipants[[#This Row],[SvcStartDate]]&lt;DATE(conProgYear,7,1)),1,""),"")</f>
        <v/>
      </c>
      <c r="BV45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51" s="232" t="str">
        <f t="shared" ca="1" si="6"/>
        <v/>
      </c>
      <c r="BX451" s="9">
        <f>IF(SUM(IF(tblParticipants[[#This Row],[AmIndOrAkNtv]]=1,1,0),IF(tblParticipants[[#This Row],[Asian]]=1,1,0),IF(tblParticipants[[#This Row],[BlkOrAfAmer]]=1,1,0),IF(tblParticipants[[#This Row],[NtvHawOrPacIsl]]=1,1,0),IF(tblParticipants[[#This Row],[White]]=1,1,0))&gt;1,1,0)</f>
        <v>0</v>
      </c>
      <c r="BY45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5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5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51" s="11">
        <f>IF(tblParticipants[[#This Row],[EarnWg2Qae]]=1,IFERROR(tblParticipants[[#This Row],[HoursPerWk2Qae]]*tblParticipants[[#This Row],[HrlyWg2Qae]]*13,0),0)</f>
        <v>0</v>
      </c>
      <c r="CC451" s="11">
        <f>IF(tblParticipants[[#This Row],[EarnWg3Qae]]=1,IFERROR(tblParticipants[[#This Row],[HoursPerWk3Qae]]*tblParticipants[[#This Row],[HrlyWg3Qae]]*13,0),0)</f>
        <v>0</v>
      </c>
      <c r="CD451" s="9">
        <f>IFERROR(IF(SUM(tblParticipants[[#This Row],[EarnWg1Qae]],tblParticipants[[#This Row],[EarnWg2Qae]],tblParticipants[[#This Row],[EarnWg3Qae]])=3,1,0),0)</f>
        <v>0</v>
      </c>
      <c r="CE451" s="12">
        <f>IF(tblParticipants[[#This Row],[EmplAll3Qae]]=1,tblParticipants[[#This Row],[Earnings2Qae]]+tblParticipants[[#This Row],[Earnings3Qae]],0)</f>
        <v>0</v>
      </c>
      <c r="CF451" s="407"/>
    </row>
    <row r="452" spans="1:84" x14ac:dyDescent="0.3">
      <c r="A452" s="19"/>
      <c r="B452" s="19"/>
      <c r="C452" s="20"/>
      <c r="D452" s="20"/>
      <c r="E452" s="26"/>
      <c r="F452" s="26"/>
      <c r="G452" s="26"/>
      <c r="H452" s="26"/>
      <c r="I452" s="26"/>
      <c r="J452" s="26"/>
      <c r="K452" s="26"/>
      <c r="L452" s="26"/>
      <c r="M452" s="20"/>
      <c r="N452" s="26"/>
      <c r="O452" s="22"/>
      <c r="P452" s="21"/>
      <c r="Q452" s="23"/>
      <c r="R452" s="21"/>
      <c r="S452" s="21"/>
      <c r="T452" s="21"/>
      <c r="U452" s="21"/>
      <c r="V452" s="21"/>
      <c r="W452" s="24"/>
      <c r="X452" s="20"/>
      <c r="Y452" s="20"/>
      <c r="Z452" s="21"/>
      <c r="AA452" s="21"/>
      <c r="AB452" s="21"/>
      <c r="AC452" s="21"/>
      <c r="AD452" s="21"/>
      <c r="AE452" s="21"/>
      <c r="AF452" s="21"/>
      <c r="AG452" s="21"/>
      <c r="AH452" s="21"/>
      <c r="AI452" s="25"/>
      <c r="AJ452" s="20"/>
      <c r="AK452" s="21"/>
      <c r="AL452" s="20"/>
      <c r="AM452" s="20"/>
      <c r="AN452" s="20"/>
      <c r="AO452" s="20"/>
      <c r="AP452" s="446"/>
      <c r="AQ452" s="20"/>
      <c r="AR452" s="20"/>
      <c r="AS452" s="20"/>
      <c r="AT452" s="20"/>
      <c r="AU452" s="26"/>
      <c r="AV452" s="98"/>
      <c r="AW452" s="98"/>
      <c r="AX452" s="98"/>
      <c r="AY452" s="98"/>
      <c r="AZ452" s="98"/>
      <c r="BA452" s="217"/>
      <c r="BB452" s="98"/>
      <c r="BC452" s="98"/>
      <c r="BD452" s="98"/>
      <c r="BE452" s="98"/>
      <c r="BF452" s="98"/>
      <c r="BG452" s="219"/>
      <c r="BH452" s="219"/>
      <c r="BI452" s="219"/>
      <c r="BJ452" s="26"/>
      <c r="BK452" s="21"/>
      <c r="BL452" s="21"/>
      <c r="BM452" s="22"/>
      <c r="BN452" s="21"/>
      <c r="BO452" s="21"/>
      <c r="BP452" s="22"/>
      <c r="BQ452" s="21"/>
      <c r="BR452" s="21"/>
      <c r="BS452" s="22"/>
      <c r="BT45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52" s="109" t="str">
        <f>IF(ISNUMBER(tblParticipants[[#This Row],[SvcStartDate]]),IF(AND(tblParticipants[[#This Row],[EnrollQtr]]=1,tblParticipants[[#This Row],[SvcStartDate]]&lt;DATE(conProgYear,7,1)),1,""),"")</f>
        <v/>
      </c>
      <c r="BV45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52" s="232" t="str">
        <f t="shared" ca="1" si="6"/>
        <v/>
      </c>
      <c r="BX452" s="9">
        <f>IF(SUM(IF(tblParticipants[[#This Row],[AmIndOrAkNtv]]=1,1,0),IF(tblParticipants[[#This Row],[Asian]]=1,1,0),IF(tblParticipants[[#This Row],[BlkOrAfAmer]]=1,1,0),IF(tblParticipants[[#This Row],[NtvHawOrPacIsl]]=1,1,0),IF(tblParticipants[[#This Row],[White]]=1,1,0))&gt;1,1,0)</f>
        <v>0</v>
      </c>
      <c r="BY45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5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5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52" s="11">
        <f>IF(tblParticipants[[#This Row],[EarnWg2Qae]]=1,IFERROR(tblParticipants[[#This Row],[HoursPerWk2Qae]]*tblParticipants[[#This Row],[HrlyWg2Qae]]*13,0),0)</f>
        <v>0</v>
      </c>
      <c r="CC452" s="11">
        <f>IF(tblParticipants[[#This Row],[EarnWg3Qae]]=1,IFERROR(tblParticipants[[#This Row],[HoursPerWk3Qae]]*tblParticipants[[#This Row],[HrlyWg3Qae]]*13,0),0)</f>
        <v>0</v>
      </c>
      <c r="CD452" s="9">
        <f>IFERROR(IF(SUM(tblParticipants[[#This Row],[EarnWg1Qae]],tblParticipants[[#This Row],[EarnWg2Qae]],tblParticipants[[#This Row],[EarnWg3Qae]])=3,1,0),0)</f>
        <v>0</v>
      </c>
      <c r="CE452" s="12">
        <f>IF(tblParticipants[[#This Row],[EmplAll3Qae]]=1,tblParticipants[[#This Row],[Earnings2Qae]]+tblParticipants[[#This Row],[Earnings3Qae]],0)</f>
        <v>0</v>
      </c>
      <c r="CF452" s="407"/>
    </row>
    <row r="453" spans="1:84" x14ac:dyDescent="0.3">
      <c r="A453" s="19"/>
      <c r="B453" s="19"/>
      <c r="C453" s="20"/>
      <c r="D453" s="20"/>
      <c r="E453" s="26"/>
      <c r="F453" s="26"/>
      <c r="G453" s="26"/>
      <c r="H453" s="26"/>
      <c r="I453" s="26"/>
      <c r="J453" s="26"/>
      <c r="K453" s="26"/>
      <c r="L453" s="26"/>
      <c r="M453" s="20"/>
      <c r="N453" s="26"/>
      <c r="O453" s="22"/>
      <c r="P453" s="21"/>
      <c r="Q453" s="23"/>
      <c r="R453" s="21"/>
      <c r="S453" s="21"/>
      <c r="T453" s="21"/>
      <c r="U453" s="21"/>
      <c r="V453" s="21"/>
      <c r="W453" s="24"/>
      <c r="X453" s="20"/>
      <c r="Y453" s="20"/>
      <c r="Z453" s="21"/>
      <c r="AA453" s="21"/>
      <c r="AB453" s="21"/>
      <c r="AC453" s="21"/>
      <c r="AD453" s="21"/>
      <c r="AE453" s="21"/>
      <c r="AF453" s="21"/>
      <c r="AG453" s="21"/>
      <c r="AH453" s="21"/>
      <c r="AI453" s="25"/>
      <c r="AJ453" s="20"/>
      <c r="AK453" s="21"/>
      <c r="AL453" s="20"/>
      <c r="AM453" s="20"/>
      <c r="AN453" s="20"/>
      <c r="AO453" s="20"/>
      <c r="AP453" s="446"/>
      <c r="AQ453" s="20"/>
      <c r="AR453" s="20"/>
      <c r="AS453" s="20"/>
      <c r="AT453" s="20"/>
      <c r="AU453" s="26"/>
      <c r="AV453" s="98"/>
      <c r="AW453" s="98"/>
      <c r="AX453" s="98"/>
      <c r="AY453" s="98"/>
      <c r="AZ453" s="98"/>
      <c r="BA453" s="217"/>
      <c r="BB453" s="98"/>
      <c r="BC453" s="98"/>
      <c r="BD453" s="98"/>
      <c r="BE453" s="98"/>
      <c r="BF453" s="98"/>
      <c r="BG453" s="219"/>
      <c r="BH453" s="219"/>
      <c r="BI453" s="219"/>
      <c r="BJ453" s="26"/>
      <c r="BK453" s="21"/>
      <c r="BL453" s="21"/>
      <c r="BM453" s="22"/>
      <c r="BN453" s="21"/>
      <c r="BO453" s="21"/>
      <c r="BP453" s="22"/>
      <c r="BQ453" s="21"/>
      <c r="BR453" s="21"/>
      <c r="BS453" s="22"/>
      <c r="BT45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53" s="109" t="str">
        <f>IF(ISNUMBER(tblParticipants[[#This Row],[SvcStartDate]]),IF(AND(tblParticipants[[#This Row],[EnrollQtr]]=1,tblParticipants[[#This Row],[SvcStartDate]]&lt;DATE(conProgYear,7,1)),1,""),"")</f>
        <v/>
      </c>
      <c r="BV45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53" s="232" t="str">
        <f t="shared" ref="BW453:BW504" ca="1" si="7">IF(NOT(ISBLANK(INDIRECT("tblParticipants[@PlacedInEmp]"))),IF(INDIRECT("tblParticipants[@PlacedInEmp]")=1,IF(NOT(ISBLANK(INDIRECT("tblParticipants[@SvcEndDate]"))),IF(ISNUMBER(INDIRECT("tblParticipants[@SvcEndDate]")),IF(AND(INDIRECT("tblParticipants[@SvcEndDate]")&gt;=DATE(conProgYear,7,1),INDIRECT("tblParticipants[@SvcEndDate]")&lt;=DATE(conProgYear+1,6,30)),INDIRECT("tblParticipants[@ExitQtr]"),"ERR"),"ERR"),"ERR"),""),"")</f>
        <v/>
      </c>
      <c r="BX453" s="9">
        <f>IF(SUM(IF(tblParticipants[[#This Row],[AmIndOrAkNtv]]=1,1,0),IF(tblParticipants[[#This Row],[Asian]]=1,1,0),IF(tblParticipants[[#This Row],[BlkOrAfAmer]]=1,1,0),IF(tblParticipants[[#This Row],[NtvHawOrPacIsl]]=1,1,0),IF(tblParticipants[[#This Row],[White]]=1,1,0))&gt;1,1,0)</f>
        <v>0</v>
      </c>
      <c r="BY45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5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5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53" s="11">
        <f>IF(tblParticipants[[#This Row],[EarnWg2Qae]]=1,IFERROR(tblParticipants[[#This Row],[HoursPerWk2Qae]]*tblParticipants[[#This Row],[HrlyWg2Qae]]*13,0),0)</f>
        <v>0</v>
      </c>
      <c r="CC453" s="11">
        <f>IF(tblParticipants[[#This Row],[EarnWg3Qae]]=1,IFERROR(tblParticipants[[#This Row],[HoursPerWk3Qae]]*tblParticipants[[#This Row],[HrlyWg3Qae]]*13,0),0)</f>
        <v>0</v>
      </c>
      <c r="CD453" s="9">
        <f>IFERROR(IF(SUM(tblParticipants[[#This Row],[EarnWg1Qae]],tblParticipants[[#This Row],[EarnWg2Qae]],tblParticipants[[#This Row],[EarnWg3Qae]])=3,1,0),0)</f>
        <v>0</v>
      </c>
      <c r="CE453" s="12">
        <f>IF(tblParticipants[[#This Row],[EmplAll3Qae]]=1,tblParticipants[[#This Row],[Earnings2Qae]]+tblParticipants[[#This Row],[Earnings3Qae]],0)</f>
        <v>0</v>
      </c>
      <c r="CF453" s="407"/>
    </row>
    <row r="454" spans="1:84" x14ac:dyDescent="0.3">
      <c r="A454" s="19"/>
      <c r="B454" s="19"/>
      <c r="C454" s="20"/>
      <c r="D454" s="20"/>
      <c r="E454" s="26"/>
      <c r="F454" s="26"/>
      <c r="G454" s="26"/>
      <c r="H454" s="26"/>
      <c r="I454" s="26"/>
      <c r="J454" s="26"/>
      <c r="K454" s="26"/>
      <c r="L454" s="26"/>
      <c r="M454" s="20"/>
      <c r="N454" s="26"/>
      <c r="O454" s="22"/>
      <c r="P454" s="21"/>
      <c r="Q454" s="23"/>
      <c r="R454" s="21"/>
      <c r="S454" s="21"/>
      <c r="T454" s="21"/>
      <c r="U454" s="21"/>
      <c r="V454" s="21"/>
      <c r="W454" s="24"/>
      <c r="X454" s="20"/>
      <c r="Y454" s="20"/>
      <c r="Z454" s="21"/>
      <c r="AA454" s="21"/>
      <c r="AB454" s="21"/>
      <c r="AC454" s="21"/>
      <c r="AD454" s="21"/>
      <c r="AE454" s="21"/>
      <c r="AF454" s="21"/>
      <c r="AG454" s="21"/>
      <c r="AH454" s="21"/>
      <c r="AI454" s="25"/>
      <c r="AJ454" s="20"/>
      <c r="AK454" s="21"/>
      <c r="AL454" s="20"/>
      <c r="AM454" s="20"/>
      <c r="AN454" s="20"/>
      <c r="AO454" s="20"/>
      <c r="AP454" s="446"/>
      <c r="AQ454" s="20"/>
      <c r="AR454" s="20"/>
      <c r="AS454" s="20"/>
      <c r="AT454" s="20"/>
      <c r="AU454" s="26"/>
      <c r="AV454" s="98"/>
      <c r="AW454" s="98"/>
      <c r="AX454" s="98"/>
      <c r="AY454" s="98"/>
      <c r="AZ454" s="98"/>
      <c r="BA454" s="217"/>
      <c r="BB454" s="98"/>
      <c r="BC454" s="98"/>
      <c r="BD454" s="98"/>
      <c r="BE454" s="98"/>
      <c r="BF454" s="98"/>
      <c r="BG454" s="219"/>
      <c r="BH454" s="219"/>
      <c r="BI454" s="219"/>
      <c r="BJ454" s="26"/>
      <c r="BK454" s="21"/>
      <c r="BL454" s="21"/>
      <c r="BM454" s="22"/>
      <c r="BN454" s="21"/>
      <c r="BO454" s="21"/>
      <c r="BP454" s="22"/>
      <c r="BQ454" s="21"/>
      <c r="BR454" s="21"/>
      <c r="BS454" s="22"/>
      <c r="BT45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54" s="109" t="str">
        <f>IF(ISNUMBER(tblParticipants[[#This Row],[SvcStartDate]]),IF(AND(tblParticipants[[#This Row],[EnrollQtr]]=1,tblParticipants[[#This Row],[SvcStartDate]]&lt;DATE(conProgYear,7,1)),1,""),"")</f>
        <v/>
      </c>
      <c r="BV45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54" s="232" t="str">
        <f t="shared" ca="1" si="7"/>
        <v/>
      </c>
      <c r="BX454" s="9">
        <f>IF(SUM(IF(tblParticipants[[#This Row],[AmIndOrAkNtv]]=1,1,0),IF(tblParticipants[[#This Row],[Asian]]=1,1,0),IF(tblParticipants[[#This Row],[BlkOrAfAmer]]=1,1,0),IF(tblParticipants[[#This Row],[NtvHawOrPacIsl]]=1,1,0),IF(tblParticipants[[#This Row],[White]]=1,1,0))&gt;1,1,0)</f>
        <v>0</v>
      </c>
      <c r="BY45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5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5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54" s="11">
        <f>IF(tblParticipants[[#This Row],[EarnWg2Qae]]=1,IFERROR(tblParticipants[[#This Row],[HoursPerWk2Qae]]*tblParticipants[[#This Row],[HrlyWg2Qae]]*13,0),0)</f>
        <v>0</v>
      </c>
      <c r="CC454" s="11">
        <f>IF(tblParticipants[[#This Row],[EarnWg3Qae]]=1,IFERROR(tblParticipants[[#This Row],[HoursPerWk3Qae]]*tblParticipants[[#This Row],[HrlyWg3Qae]]*13,0),0)</f>
        <v>0</v>
      </c>
      <c r="CD454" s="9">
        <f>IFERROR(IF(SUM(tblParticipants[[#This Row],[EarnWg1Qae]],tblParticipants[[#This Row],[EarnWg2Qae]],tblParticipants[[#This Row],[EarnWg3Qae]])=3,1,0),0)</f>
        <v>0</v>
      </c>
      <c r="CE454" s="12">
        <f>IF(tblParticipants[[#This Row],[EmplAll3Qae]]=1,tblParticipants[[#This Row],[Earnings2Qae]]+tblParticipants[[#This Row],[Earnings3Qae]],0)</f>
        <v>0</v>
      </c>
      <c r="CF454" s="407"/>
    </row>
    <row r="455" spans="1:84" x14ac:dyDescent="0.3">
      <c r="A455" s="19"/>
      <c r="B455" s="19"/>
      <c r="C455" s="20"/>
      <c r="D455" s="20"/>
      <c r="E455" s="26"/>
      <c r="F455" s="26"/>
      <c r="G455" s="26"/>
      <c r="H455" s="26"/>
      <c r="I455" s="26"/>
      <c r="J455" s="26"/>
      <c r="K455" s="26"/>
      <c r="L455" s="26"/>
      <c r="M455" s="20"/>
      <c r="N455" s="26"/>
      <c r="O455" s="22"/>
      <c r="P455" s="21"/>
      <c r="Q455" s="23"/>
      <c r="R455" s="21"/>
      <c r="S455" s="21"/>
      <c r="T455" s="21"/>
      <c r="U455" s="21"/>
      <c r="V455" s="21"/>
      <c r="W455" s="24"/>
      <c r="X455" s="20"/>
      <c r="Y455" s="20"/>
      <c r="Z455" s="21"/>
      <c r="AA455" s="21"/>
      <c r="AB455" s="21"/>
      <c r="AC455" s="21"/>
      <c r="AD455" s="21"/>
      <c r="AE455" s="21"/>
      <c r="AF455" s="21"/>
      <c r="AG455" s="21"/>
      <c r="AH455" s="21"/>
      <c r="AI455" s="25"/>
      <c r="AJ455" s="20"/>
      <c r="AK455" s="21"/>
      <c r="AL455" s="20"/>
      <c r="AM455" s="20"/>
      <c r="AN455" s="20"/>
      <c r="AO455" s="20"/>
      <c r="AP455" s="446"/>
      <c r="AQ455" s="20"/>
      <c r="AR455" s="20"/>
      <c r="AS455" s="20"/>
      <c r="AT455" s="20"/>
      <c r="AU455" s="26"/>
      <c r="AV455" s="98"/>
      <c r="AW455" s="98"/>
      <c r="AX455" s="98"/>
      <c r="AY455" s="98"/>
      <c r="AZ455" s="98"/>
      <c r="BA455" s="217"/>
      <c r="BB455" s="98"/>
      <c r="BC455" s="98"/>
      <c r="BD455" s="98"/>
      <c r="BE455" s="98"/>
      <c r="BF455" s="98"/>
      <c r="BG455" s="219"/>
      <c r="BH455" s="219"/>
      <c r="BI455" s="219"/>
      <c r="BJ455" s="26"/>
      <c r="BK455" s="21"/>
      <c r="BL455" s="21"/>
      <c r="BM455" s="22"/>
      <c r="BN455" s="21"/>
      <c r="BO455" s="21"/>
      <c r="BP455" s="22"/>
      <c r="BQ455" s="21"/>
      <c r="BR455" s="21"/>
      <c r="BS455" s="22"/>
      <c r="BT45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55" s="109" t="str">
        <f>IF(ISNUMBER(tblParticipants[[#This Row],[SvcStartDate]]),IF(AND(tblParticipants[[#This Row],[EnrollQtr]]=1,tblParticipants[[#This Row],[SvcStartDate]]&lt;DATE(conProgYear,7,1)),1,""),"")</f>
        <v/>
      </c>
      <c r="BV45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55" s="232" t="str">
        <f t="shared" ca="1" si="7"/>
        <v/>
      </c>
      <c r="BX455" s="9">
        <f>IF(SUM(IF(tblParticipants[[#This Row],[AmIndOrAkNtv]]=1,1,0),IF(tblParticipants[[#This Row],[Asian]]=1,1,0),IF(tblParticipants[[#This Row],[BlkOrAfAmer]]=1,1,0),IF(tblParticipants[[#This Row],[NtvHawOrPacIsl]]=1,1,0),IF(tblParticipants[[#This Row],[White]]=1,1,0))&gt;1,1,0)</f>
        <v>0</v>
      </c>
      <c r="BY45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5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5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55" s="11">
        <f>IF(tblParticipants[[#This Row],[EarnWg2Qae]]=1,IFERROR(tblParticipants[[#This Row],[HoursPerWk2Qae]]*tblParticipants[[#This Row],[HrlyWg2Qae]]*13,0),0)</f>
        <v>0</v>
      </c>
      <c r="CC455" s="11">
        <f>IF(tblParticipants[[#This Row],[EarnWg3Qae]]=1,IFERROR(tblParticipants[[#This Row],[HoursPerWk3Qae]]*tblParticipants[[#This Row],[HrlyWg3Qae]]*13,0),0)</f>
        <v>0</v>
      </c>
      <c r="CD455" s="9">
        <f>IFERROR(IF(SUM(tblParticipants[[#This Row],[EarnWg1Qae]],tblParticipants[[#This Row],[EarnWg2Qae]],tblParticipants[[#This Row],[EarnWg3Qae]])=3,1,0),0)</f>
        <v>0</v>
      </c>
      <c r="CE455" s="12">
        <f>IF(tblParticipants[[#This Row],[EmplAll3Qae]]=1,tblParticipants[[#This Row],[Earnings2Qae]]+tblParticipants[[#This Row],[Earnings3Qae]],0)</f>
        <v>0</v>
      </c>
      <c r="CF455" s="407"/>
    </row>
    <row r="456" spans="1:84" x14ac:dyDescent="0.3">
      <c r="A456" s="19"/>
      <c r="B456" s="19"/>
      <c r="C456" s="20"/>
      <c r="D456" s="20"/>
      <c r="E456" s="26"/>
      <c r="F456" s="26"/>
      <c r="G456" s="26"/>
      <c r="H456" s="26"/>
      <c r="I456" s="26"/>
      <c r="J456" s="26"/>
      <c r="K456" s="26"/>
      <c r="L456" s="26"/>
      <c r="M456" s="20"/>
      <c r="N456" s="26"/>
      <c r="O456" s="22"/>
      <c r="P456" s="21"/>
      <c r="Q456" s="23"/>
      <c r="R456" s="21"/>
      <c r="S456" s="21"/>
      <c r="T456" s="21"/>
      <c r="U456" s="21"/>
      <c r="V456" s="21"/>
      <c r="W456" s="24"/>
      <c r="X456" s="20"/>
      <c r="Y456" s="20"/>
      <c r="Z456" s="21"/>
      <c r="AA456" s="21"/>
      <c r="AB456" s="21"/>
      <c r="AC456" s="21"/>
      <c r="AD456" s="21"/>
      <c r="AE456" s="21"/>
      <c r="AF456" s="21"/>
      <c r="AG456" s="21"/>
      <c r="AH456" s="21"/>
      <c r="AI456" s="25"/>
      <c r="AJ456" s="20"/>
      <c r="AK456" s="21"/>
      <c r="AL456" s="20"/>
      <c r="AM456" s="20"/>
      <c r="AN456" s="20"/>
      <c r="AO456" s="20"/>
      <c r="AP456" s="446"/>
      <c r="AQ456" s="20"/>
      <c r="AR456" s="20"/>
      <c r="AS456" s="20"/>
      <c r="AT456" s="20"/>
      <c r="AU456" s="26"/>
      <c r="AV456" s="98"/>
      <c r="AW456" s="98"/>
      <c r="AX456" s="98"/>
      <c r="AY456" s="98"/>
      <c r="AZ456" s="98"/>
      <c r="BA456" s="217"/>
      <c r="BB456" s="98"/>
      <c r="BC456" s="98"/>
      <c r="BD456" s="98"/>
      <c r="BE456" s="98"/>
      <c r="BF456" s="98"/>
      <c r="BG456" s="219"/>
      <c r="BH456" s="219"/>
      <c r="BI456" s="219"/>
      <c r="BJ456" s="26"/>
      <c r="BK456" s="21"/>
      <c r="BL456" s="21"/>
      <c r="BM456" s="22"/>
      <c r="BN456" s="21"/>
      <c r="BO456" s="21"/>
      <c r="BP456" s="22"/>
      <c r="BQ456" s="21"/>
      <c r="BR456" s="21"/>
      <c r="BS456" s="22"/>
      <c r="BT45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56" s="109" t="str">
        <f>IF(ISNUMBER(tblParticipants[[#This Row],[SvcStartDate]]),IF(AND(tblParticipants[[#This Row],[EnrollQtr]]=1,tblParticipants[[#This Row],[SvcStartDate]]&lt;DATE(conProgYear,7,1)),1,""),"")</f>
        <v/>
      </c>
      <c r="BV45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56" s="232" t="str">
        <f t="shared" ca="1" si="7"/>
        <v/>
      </c>
      <c r="BX456" s="9">
        <f>IF(SUM(IF(tblParticipants[[#This Row],[AmIndOrAkNtv]]=1,1,0),IF(tblParticipants[[#This Row],[Asian]]=1,1,0),IF(tblParticipants[[#This Row],[BlkOrAfAmer]]=1,1,0),IF(tblParticipants[[#This Row],[NtvHawOrPacIsl]]=1,1,0),IF(tblParticipants[[#This Row],[White]]=1,1,0))&gt;1,1,0)</f>
        <v>0</v>
      </c>
      <c r="BY45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5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5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56" s="11">
        <f>IF(tblParticipants[[#This Row],[EarnWg2Qae]]=1,IFERROR(tblParticipants[[#This Row],[HoursPerWk2Qae]]*tblParticipants[[#This Row],[HrlyWg2Qae]]*13,0),0)</f>
        <v>0</v>
      </c>
      <c r="CC456" s="11">
        <f>IF(tblParticipants[[#This Row],[EarnWg3Qae]]=1,IFERROR(tblParticipants[[#This Row],[HoursPerWk3Qae]]*tblParticipants[[#This Row],[HrlyWg3Qae]]*13,0),0)</f>
        <v>0</v>
      </c>
      <c r="CD456" s="9">
        <f>IFERROR(IF(SUM(tblParticipants[[#This Row],[EarnWg1Qae]],tblParticipants[[#This Row],[EarnWg2Qae]],tblParticipants[[#This Row],[EarnWg3Qae]])=3,1,0),0)</f>
        <v>0</v>
      </c>
      <c r="CE456" s="12">
        <f>IF(tblParticipants[[#This Row],[EmplAll3Qae]]=1,tblParticipants[[#This Row],[Earnings2Qae]]+tblParticipants[[#This Row],[Earnings3Qae]],0)</f>
        <v>0</v>
      </c>
      <c r="CF456" s="407"/>
    </row>
    <row r="457" spans="1:84" x14ac:dyDescent="0.3">
      <c r="A457" s="19"/>
      <c r="B457" s="19"/>
      <c r="C457" s="20"/>
      <c r="D457" s="20"/>
      <c r="E457" s="26"/>
      <c r="F457" s="26"/>
      <c r="G457" s="26"/>
      <c r="H457" s="26"/>
      <c r="I457" s="26"/>
      <c r="J457" s="26"/>
      <c r="K457" s="26"/>
      <c r="L457" s="26"/>
      <c r="M457" s="20"/>
      <c r="N457" s="26"/>
      <c r="O457" s="22"/>
      <c r="P457" s="21"/>
      <c r="Q457" s="23"/>
      <c r="R457" s="21"/>
      <c r="S457" s="21"/>
      <c r="T457" s="21"/>
      <c r="U457" s="21"/>
      <c r="V457" s="21"/>
      <c r="W457" s="24"/>
      <c r="X457" s="20"/>
      <c r="Y457" s="20"/>
      <c r="Z457" s="21"/>
      <c r="AA457" s="21"/>
      <c r="AB457" s="21"/>
      <c r="AC457" s="21"/>
      <c r="AD457" s="21"/>
      <c r="AE457" s="21"/>
      <c r="AF457" s="21"/>
      <c r="AG457" s="21"/>
      <c r="AH457" s="21"/>
      <c r="AI457" s="25"/>
      <c r="AJ457" s="20"/>
      <c r="AK457" s="21"/>
      <c r="AL457" s="20"/>
      <c r="AM457" s="20"/>
      <c r="AN457" s="20"/>
      <c r="AO457" s="20"/>
      <c r="AP457" s="446"/>
      <c r="AQ457" s="20"/>
      <c r="AR457" s="20"/>
      <c r="AS457" s="20"/>
      <c r="AT457" s="20"/>
      <c r="AU457" s="26"/>
      <c r="AV457" s="98"/>
      <c r="AW457" s="98"/>
      <c r="AX457" s="98"/>
      <c r="AY457" s="98"/>
      <c r="AZ457" s="98"/>
      <c r="BA457" s="217"/>
      <c r="BB457" s="98"/>
      <c r="BC457" s="98"/>
      <c r="BD457" s="98"/>
      <c r="BE457" s="98"/>
      <c r="BF457" s="98"/>
      <c r="BG457" s="219"/>
      <c r="BH457" s="219"/>
      <c r="BI457" s="219"/>
      <c r="BJ457" s="26"/>
      <c r="BK457" s="21"/>
      <c r="BL457" s="21"/>
      <c r="BM457" s="22"/>
      <c r="BN457" s="21"/>
      <c r="BO457" s="21"/>
      <c r="BP457" s="22"/>
      <c r="BQ457" s="21"/>
      <c r="BR457" s="21"/>
      <c r="BS457" s="22"/>
      <c r="BT45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57" s="109" t="str">
        <f>IF(ISNUMBER(tblParticipants[[#This Row],[SvcStartDate]]),IF(AND(tblParticipants[[#This Row],[EnrollQtr]]=1,tblParticipants[[#This Row],[SvcStartDate]]&lt;DATE(conProgYear,7,1)),1,""),"")</f>
        <v/>
      </c>
      <c r="BV45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57" s="232" t="str">
        <f t="shared" ca="1" si="7"/>
        <v/>
      </c>
      <c r="BX457" s="9">
        <f>IF(SUM(IF(tblParticipants[[#This Row],[AmIndOrAkNtv]]=1,1,0),IF(tblParticipants[[#This Row],[Asian]]=1,1,0),IF(tblParticipants[[#This Row],[BlkOrAfAmer]]=1,1,0),IF(tblParticipants[[#This Row],[NtvHawOrPacIsl]]=1,1,0),IF(tblParticipants[[#This Row],[White]]=1,1,0))&gt;1,1,0)</f>
        <v>0</v>
      </c>
      <c r="BY45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5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5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57" s="11">
        <f>IF(tblParticipants[[#This Row],[EarnWg2Qae]]=1,IFERROR(tblParticipants[[#This Row],[HoursPerWk2Qae]]*tblParticipants[[#This Row],[HrlyWg2Qae]]*13,0),0)</f>
        <v>0</v>
      </c>
      <c r="CC457" s="11">
        <f>IF(tblParticipants[[#This Row],[EarnWg3Qae]]=1,IFERROR(tblParticipants[[#This Row],[HoursPerWk3Qae]]*tblParticipants[[#This Row],[HrlyWg3Qae]]*13,0),0)</f>
        <v>0</v>
      </c>
      <c r="CD457" s="9">
        <f>IFERROR(IF(SUM(tblParticipants[[#This Row],[EarnWg1Qae]],tblParticipants[[#This Row],[EarnWg2Qae]],tblParticipants[[#This Row],[EarnWg3Qae]])=3,1,0),0)</f>
        <v>0</v>
      </c>
      <c r="CE457" s="12">
        <f>IF(tblParticipants[[#This Row],[EmplAll3Qae]]=1,tblParticipants[[#This Row],[Earnings2Qae]]+tblParticipants[[#This Row],[Earnings3Qae]],0)</f>
        <v>0</v>
      </c>
      <c r="CF457" s="407"/>
    </row>
    <row r="458" spans="1:84" x14ac:dyDescent="0.3">
      <c r="A458" s="19"/>
      <c r="B458" s="19"/>
      <c r="C458" s="20"/>
      <c r="D458" s="20"/>
      <c r="E458" s="26"/>
      <c r="F458" s="26"/>
      <c r="G458" s="26"/>
      <c r="H458" s="26"/>
      <c r="I458" s="26"/>
      <c r="J458" s="26"/>
      <c r="K458" s="26"/>
      <c r="L458" s="26"/>
      <c r="M458" s="20"/>
      <c r="N458" s="26"/>
      <c r="O458" s="22"/>
      <c r="P458" s="21"/>
      <c r="Q458" s="23"/>
      <c r="R458" s="21"/>
      <c r="S458" s="21"/>
      <c r="T458" s="21"/>
      <c r="U458" s="21"/>
      <c r="V458" s="21"/>
      <c r="W458" s="24"/>
      <c r="X458" s="20"/>
      <c r="Y458" s="20"/>
      <c r="Z458" s="21"/>
      <c r="AA458" s="21"/>
      <c r="AB458" s="21"/>
      <c r="AC458" s="21"/>
      <c r="AD458" s="21"/>
      <c r="AE458" s="21"/>
      <c r="AF458" s="21"/>
      <c r="AG458" s="21"/>
      <c r="AH458" s="21"/>
      <c r="AI458" s="25"/>
      <c r="AJ458" s="20"/>
      <c r="AK458" s="21"/>
      <c r="AL458" s="20"/>
      <c r="AM458" s="20"/>
      <c r="AN458" s="20"/>
      <c r="AO458" s="20"/>
      <c r="AP458" s="446"/>
      <c r="AQ458" s="20"/>
      <c r="AR458" s="20"/>
      <c r="AS458" s="20"/>
      <c r="AT458" s="20"/>
      <c r="AU458" s="26"/>
      <c r="AV458" s="98"/>
      <c r="AW458" s="98"/>
      <c r="AX458" s="98"/>
      <c r="AY458" s="98"/>
      <c r="AZ458" s="98"/>
      <c r="BA458" s="217"/>
      <c r="BB458" s="98"/>
      <c r="BC458" s="98"/>
      <c r="BD458" s="98"/>
      <c r="BE458" s="98"/>
      <c r="BF458" s="98"/>
      <c r="BG458" s="219"/>
      <c r="BH458" s="219"/>
      <c r="BI458" s="219"/>
      <c r="BJ458" s="26"/>
      <c r="BK458" s="21"/>
      <c r="BL458" s="21"/>
      <c r="BM458" s="22"/>
      <c r="BN458" s="21"/>
      <c r="BO458" s="21"/>
      <c r="BP458" s="22"/>
      <c r="BQ458" s="21"/>
      <c r="BR458" s="21"/>
      <c r="BS458" s="22"/>
      <c r="BT45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58" s="109" t="str">
        <f>IF(ISNUMBER(tblParticipants[[#This Row],[SvcStartDate]]),IF(AND(tblParticipants[[#This Row],[EnrollQtr]]=1,tblParticipants[[#This Row],[SvcStartDate]]&lt;DATE(conProgYear,7,1)),1,""),"")</f>
        <v/>
      </c>
      <c r="BV45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58" s="232" t="str">
        <f t="shared" ca="1" si="7"/>
        <v/>
      </c>
      <c r="BX458" s="9">
        <f>IF(SUM(IF(tblParticipants[[#This Row],[AmIndOrAkNtv]]=1,1,0),IF(tblParticipants[[#This Row],[Asian]]=1,1,0),IF(tblParticipants[[#This Row],[BlkOrAfAmer]]=1,1,0),IF(tblParticipants[[#This Row],[NtvHawOrPacIsl]]=1,1,0),IF(tblParticipants[[#This Row],[White]]=1,1,0))&gt;1,1,0)</f>
        <v>0</v>
      </c>
      <c r="BY45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5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5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58" s="11">
        <f>IF(tblParticipants[[#This Row],[EarnWg2Qae]]=1,IFERROR(tblParticipants[[#This Row],[HoursPerWk2Qae]]*tblParticipants[[#This Row],[HrlyWg2Qae]]*13,0),0)</f>
        <v>0</v>
      </c>
      <c r="CC458" s="11">
        <f>IF(tblParticipants[[#This Row],[EarnWg3Qae]]=1,IFERROR(tblParticipants[[#This Row],[HoursPerWk3Qae]]*tblParticipants[[#This Row],[HrlyWg3Qae]]*13,0),0)</f>
        <v>0</v>
      </c>
      <c r="CD458" s="9">
        <f>IFERROR(IF(SUM(tblParticipants[[#This Row],[EarnWg1Qae]],tblParticipants[[#This Row],[EarnWg2Qae]],tblParticipants[[#This Row],[EarnWg3Qae]])=3,1,0),0)</f>
        <v>0</v>
      </c>
      <c r="CE458" s="12">
        <f>IF(tblParticipants[[#This Row],[EmplAll3Qae]]=1,tblParticipants[[#This Row],[Earnings2Qae]]+tblParticipants[[#This Row],[Earnings3Qae]],0)</f>
        <v>0</v>
      </c>
      <c r="CF458" s="407"/>
    </row>
    <row r="459" spans="1:84" x14ac:dyDescent="0.3">
      <c r="A459" s="19"/>
      <c r="B459" s="19"/>
      <c r="C459" s="20"/>
      <c r="D459" s="20"/>
      <c r="E459" s="26"/>
      <c r="F459" s="26"/>
      <c r="G459" s="26"/>
      <c r="H459" s="26"/>
      <c r="I459" s="26"/>
      <c r="J459" s="26"/>
      <c r="K459" s="26"/>
      <c r="L459" s="26"/>
      <c r="M459" s="20"/>
      <c r="N459" s="26"/>
      <c r="O459" s="22"/>
      <c r="P459" s="21"/>
      <c r="Q459" s="23"/>
      <c r="R459" s="21"/>
      <c r="S459" s="21"/>
      <c r="T459" s="21"/>
      <c r="U459" s="21"/>
      <c r="V459" s="21"/>
      <c r="W459" s="24"/>
      <c r="X459" s="20"/>
      <c r="Y459" s="20"/>
      <c r="Z459" s="21"/>
      <c r="AA459" s="21"/>
      <c r="AB459" s="21"/>
      <c r="AC459" s="21"/>
      <c r="AD459" s="21"/>
      <c r="AE459" s="21"/>
      <c r="AF459" s="21"/>
      <c r="AG459" s="21"/>
      <c r="AH459" s="21"/>
      <c r="AI459" s="25"/>
      <c r="AJ459" s="20"/>
      <c r="AK459" s="21"/>
      <c r="AL459" s="20"/>
      <c r="AM459" s="20"/>
      <c r="AN459" s="20"/>
      <c r="AO459" s="20"/>
      <c r="AP459" s="446"/>
      <c r="AQ459" s="20"/>
      <c r="AR459" s="20"/>
      <c r="AS459" s="20"/>
      <c r="AT459" s="20"/>
      <c r="AU459" s="26"/>
      <c r="AV459" s="98"/>
      <c r="AW459" s="98"/>
      <c r="AX459" s="98"/>
      <c r="AY459" s="98"/>
      <c r="AZ459" s="98"/>
      <c r="BA459" s="217"/>
      <c r="BB459" s="98"/>
      <c r="BC459" s="98"/>
      <c r="BD459" s="98"/>
      <c r="BE459" s="98"/>
      <c r="BF459" s="98"/>
      <c r="BG459" s="219"/>
      <c r="BH459" s="219"/>
      <c r="BI459" s="219"/>
      <c r="BJ459" s="26"/>
      <c r="BK459" s="21"/>
      <c r="BL459" s="21"/>
      <c r="BM459" s="22"/>
      <c r="BN459" s="21"/>
      <c r="BO459" s="21"/>
      <c r="BP459" s="22"/>
      <c r="BQ459" s="21"/>
      <c r="BR459" s="21"/>
      <c r="BS459" s="22"/>
      <c r="BT45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59" s="109" t="str">
        <f>IF(ISNUMBER(tblParticipants[[#This Row],[SvcStartDate]]),IF(AND(tblParticipants[[#This Row],[EnrollQtr]]=1,tblParticipants[[#This Row],[SvcStartDate]]&lt;DATE(conProgYear,7,1)),1,""),"")</f>
        <v/>
      </c>
      <c r="BV45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59" s="232" t="str">
        <f t="shared" ca="1" si="7"/>
        <v/>
      </c>
      <c r="BX459" s="9">
        <f>IF(SUM(IF(tblParticipants[[#This Row],[AmIndOrAkNtv]]=1,1,0),IF(tblParticipants[[#This Row],[Asian]]=1,1,0),IF(tblParticipants[[#This Row],[BlkOrAfAmer]]=1,1,0),IF(tblParticipants[[#This Row],[NtvHawOrPacIsl]]=1,1,0),IF(tblParticipants[[#This Row],[White]]=1,1,0))&gt;1,1,0)</f>
        <v>0</v>
      </c>
      <c r="BY45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5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5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59" s="11">
        <f>IF(tblParticipants[[#This Row],[EarnWg2Qae]]=1,IFERROR(tblParticipants[[#This Row],[HoursPerWk2Qae]]*tblParticipants[[#This Row],[HrlyWg2Qae]]*13,0),0)</f>
        <v>0</v>
      </c>
      <c r="CC459" s="11">
        <f>IF(tblParticipants[[#This Row],[EarnWg3Qae]]=1,IFERROR(tblParticipants[[#This Row],[HoursPerWk3Qae]]*tblParticipants[[#This Row],[HrlyWg3Qae]]*13,0),0)</f>
        <v>0</v>
      </c>
      <c r="CD459" s="9">
        <f>IFERROR(IF(SUM(tblParticipants[[#This Row],[EarnWg1Qae]],tblParticipants[[#This Row],[EarnWg2Qae]],tblParticipants[[#This Row],[EarnWg3Qae]])=3,1,0),0)</f>
        <v>0</v>
      </c>
      <c r="CE459" s="12">
        <f>IF(tblParticipants[[#This Row],[EmplAll3Qae]]=1,tblParticipants[[#This Row],[Earnings2Qae]]+tblParticipants[[#This Row],[Earnings3Qae]],0)</f>
        <v>0</v>
      </c>
      <c r="CF459" s="407"/>
    </row>
    <row r="460" spans="1:84" x14ac:dyDescent="0.3">
      <c r="A460" s="19"/>
      <c r="B460" s="19"/>
      <c r="C460" s="20"/>
      <c r="D460" s="20"/>
      <c r="E460" s="26"/>
      <c r="F460" s="26"/>
      <c r="G460" s="26"/>
      <c r="H460" s="26"/>
      <c r="I460" s="26"/>
      <c r="J460" s="26"/>
      <c r="K460" s="26"/>
      <c r="L460" s="26"/>
      <c r="M460" s="20"/>
      <c r="N460" s="26"/>
      <c r="O460" s="22"/>
      <c r="P460" s="21"/>
      <c r="Q460" s="23"/>
      <c r="R460" s="21"/>
      <c r="S460" s="21"/>
      <c r="T460" s="21"/>
      <c r="U460" s="21"/>
      <c r="V460" s="21"/>
      <c r="W460" s="24"/>
      <c r="X460" s="20"/>
      <c r="Y460" s="20"/>
      <c r="Z460" s="21"/>
      <c r="AA460" s="21"/>
      <c r="AB460" s="21"/>
      <c r="AC460" s="21"/>
      <c r="AD460" s="21"/>
      <c r="AE460" s="21"/>
      <c r="AF460" s="21"/>
      <c r="AG460" s="21"/>
      <c r="AH460" s="21"/>
      <c r="AI460" s="25"/>
      <c r="AJ460" s="20"/>
      <c r="AK460" s="21"/>
      <c r="AL460" s="20"/>
      <c r="AM460" s="20"/>
      <c r="AN460" s="20"/>
      <c r="AO460" s="20"/>
      <c r="AP460" s="446"/>
      <c r="AQ460" s="20"/>
      <c r="AR460" s="20"/>
      <c r="AS460" s="20"/>
      <c r="AT460" s="20"/>
      <c r="AU460" s="26"/>
      <c r="AV460" s="98"/>
      <c r="AW460" s="98"/>
      <c r="AX460" s="98"/>
      <c r="AY460" s="98"/>
      <c r="AZ460" s="98"/>
      <c r="BA460" s="217"/>
      <c r="BB460" s="98"/>
      <c r="BC460" s="98"/>
      <c r="BD460" s="98"/>
      <c r="BE460" s="98"/>
      <c r="BF460" s="98"/>
      <c r="BG460" s="219"/>
      <c r="BH460" s="219"/>
      <c r="BI460" s="219"/>
      <c r="BJ460" s="26"/>
      <c r="BK460" s="21"/>
      <c r="BL460" s="21"/>
      <c r="BM460" s="22"/>
      <c r="BN460" s="21"/>
      <c r="BO460" s="21"/>
      <c r="BP460" s="22"/>
      <c r="BQ460" s="21"/>
      <c r="BR460" s="21"/>
      <c r="BS460" s="22"/>
      <c r="BT46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60" s="109" t="str">
        <f>IF(ISNUMBER(tblParticipants[[#This Row],[SvcStartDate]]),IF(AND(tblParticipants[[#This Row],[EnrollQtr]]=1,tblParticipants[[#This Row],[SvcStartDate]]&lt;DATE(conProgYear,7,1)),1,""),"")</f>
        <v/>
      </c>
      <c r="BV46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60" s="232" t="str">
        <f t="shared" ca="1" si="7"/>
        <v/>
      </c>
      <c r="BX460" s="9">
        <f>IF(SUM(IF(tblParticipants[[#This Row],[AmIndOrAkNtv]]=1,1,0),IF(tblParticipants[[#This Row],[Asian]]=1,1,0),IF(tblParticipants[[#This Row],[BlkOrAfAmer]]=1,1,0),IF(tblParticipants[[#This Row],[NtvHawOrPacIsl]]=1,1,0),IF(tblParticipants[[#This Row],[White]]=1,1,0))&gt;1,1,0)</f>
        <v>0</v>
      </c>
      <c r="BY46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6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6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60" s="11">
        <f>IF(tblParticipants[[#This Row],[EarnWg2Qae]]=1,IFERROR(tblParticipants[[#This Row],[HoursPerWk2Qae]]*tblParticipants[[#This Row],[HrlyWg2Qae]]*13,0),0)</f>
        <v>0</v>
      </c>
      <c r="CC460" s="11">
        <f>IF(tblParticipants[[#This Row],[EarnWg3Qae]]=1,IFERROR(tblParticipants[[#This Row],[HoursPerWk3Qae]]*tblParticipants[[#This Row],[HrlyWg3Qae]]*13,0),0)</f>
        <v>0</v>
      </c>
      <c r="CD460" s="9">
        <f>IFERROR(IF(SUM(tblParticipants[[#This Row],[EarnWg1Qae]],tblParticipants[[#This Row],[EarnWg2Qae]],tblParticipants[[#This Row],[EarnWg3Qae]])=3,1,0),0)</f>
        <v>0</v>
      </c>
      <c r="CE460" s="12">
        <f>IF(tblParticipants[[#This Row],[EmplAll3Qae]]=1,tblParticipants[[#This Row],[Earnings2Qae]]+tblParticipants[[#This Row],[Earnings3Qae]],0)</f>
        <v>0</v>
      </c>
      <c r="CF460" s="407"/>
    </row>
    <row r="461" spans="1:84" x14ac:dyDescent="0.3">
      <c r="A461" s="19"/>
      <c r="B461" s="19"/>
      <c r="C461" s="20"/>
      <c r="D461" s="20"/>
      <c r="E461" s="26"/>
      <c r="F461" s="26"/>
      <c r="G461" s="26"/>
      <c r="H461" s="26"/>
      <c r="I461" s="26"/>
      <c r="J461" s="26"/>
      <c r="K461" s="26"/>
      <c r="L461" s="26"/>
      <c r="M461" s="20"/>
      <c r="N461" s="26"/>
      <c r="O461" s="22"/>
      <c r="P461" s="21"/>
      <c r="Q461" s="23"/>
      <c r="R461" s="21"/>
      <c r="S461" s="21"/>
      <c r="T461" s="21"/>
      <c r="U461" s="21"/>
      <c r="V461" s="21"/>
      <c r="W461" s="24"/>
      <c r="X461" s="20"/>
      <c r="Y461" s="20"/>
      <c r="Z461" s="21"/>
      <c r="AA461" s="21"/>
      <c r="AB461" s="21"/>
      <c r="AC461" s="21"/>
      <c r="AD461" s="21"/>
      <c r="AE461" s="21"/>
      <c r="AF461" s="21"/>
      <c r="AG461" s="21"/>
      <c r="AH461" s="21"/>
      <c r="AI461" s="25"/>
      <c r="AJ461" s="20"/>
      <c r="AK461" s="21"/>
      <c r="AL461" s="20"/>
      <c r="AM461" s="20"/>
      <c r="AN461" s="20"/>
      <c r="AO461" s="20"/>
      <c r="AP461" s="446"/>
      <c r="AQ461" s="20"/>
      <c r="AR461" s="20"/>
      <c r="AS461" s="20"/>
      <c r="AT461" s="20"/>
      <c r="AU461" s="26"/>
      <c r="AV461" s="98"/>
      <c r="AW461" s="98"/>
      <c r="AX461" s="98"/>
      <c r="AY461" s="98"/>
      <c r="AZ461" s="98"/>
      <c r="BA461" s="217"/>
      <c r="BB461" s="98"/>
      <c r="BC461" s="98"/>
      <c r="BD461" s="98"/>
      <c r="BE461" s="98"/>
      <c r="BF461" s="98"/>
      <c r="BG461" s="219"/>
      <c r="BH461" s="219"/>
      <c r="BI461" s="219"/>
      <c r="BJ461" s="26"/>
      <c r="BK461" s="21"/>
      <c r="BL461" s="21"/>
      <c r="BM461" s="22"/>
      <c r="BN461" s="21"/>
      <c r="BO461" s="21"/>
      <c r="BP461" s="22"/>
      <c r="BQ461" s="21"/>
      <c r="BR461" s="21"/>
      <c r="BS461" s="22"/>
      <c r="BT46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61" s="109" t="str">
        <f>IF(ISNUMBER(tblParticipants[[#This Row],[SvcStartDate]]),IF(AND(tblParticipants[[#This Row],[EnrollQtr]]=1,tblParticipants[[#This Row],[SvcStartDate]]&lt;DATE(conProgYear,7,1)),1,""),"")</f>
        <v/>
      </c>
      <c r="BV46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61" s="232" t="str">
        <f t="shared" ca="1" si="7"/>
        <v/>
      </c>
      <c r="BX461" s="9">
        <f>IF(SUM(IF(tblParticipants[[#This Row],[AmIndOrAkNtv]]=1,1,0),IF(tblParticipants[[#This Row],[Asian]]=1,1,0),IF(tblParticipants[[#This Row],[BlkOrAfAmer]]=1,1,0),IF(tblParticipants[[#This Row],[NtvHawOrPacIsl]]=1,1,0),IF(tblParticipants[[#This Row],[White]]=1,1,0))&gt;1,1,0)</f>
        <v>0</v>
      </c>
      <c r="BY46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6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6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61" s="11">
        <f>IF(tblParticipants[[#This Row],[EarnWg2Qae]]=1,IFERROR(tblParticipants[[#This Row],[HoursPerWk2Qae]]*tblParticipants[[#This Row],[HrlyWg2Qae]]*13,0),0)</f>
        <v>0</v>
      </c>
      <c r="CC461" s="11">
        <f>IF(tblParticipants[[#This Row],[EarnWg3Qae]]=1,IFERROR(tblParticipants[[#This Row],[HoursPerWk3Qae]]*tblParticipants[[#This Row],[HrlyWg3Qae]]*13,0),0)</f>
        <v>0</v>
      </c>
      <c r="CD461" s="9">
        <f>IFERROR(IF(SUM(tblParticipants[[#This Row],[EarnWg1Qae]],tblParticipants[[#This Row],[EarnWg2Qae]],tblParticipants[[#This Row],[EarnWg3Qae]])=3,1,0),0)</f>
        <v>0</v>
      </c>
      <c r="CE461" s="12">
        <f>IF(tblParticipants[[#This Row],[EmplAll3Qae]]=1,tblParticipants[[#This Row],[Earnings2Qae]]+tblParticipants[[#This Row],[Earnings3Qae]],0)</f>
        <v>0</v>
      </c>
      <c r="CF461" s="407"/>
    </row>
    <row r="462" spans="1:84" x14ac:dyDescent="0.3">
      <c r="A462" s="19"/>
      <c r="B462" s="19"/>
      <c r="C462" s="20"/>
      <c r="D462" s="20"/>
      <c r="E462" s="26"/>
      <c r="F462" s="26"/>
      <c r="G462" s="26"/>
      <c r="H462" s="26"/>
      <c r="I462" s="26"/>
      <c r="J462" s="26"/>
      <c r="K462" s="26"/>
      <c r="L462" s="26"/>
      <c r="M462" s="20"/>
      <c r="N462" s="26"/>
      <c r="O462" s="22"/>
      <c r="P462" s="21"/>
      <c r="Q462" s="23"/>
      <c r="R462" s="21"/>
      <c r="S462" s="21"/>
      <c r="T462" s="21"/>
      <c r="U462" s="21"/>
      <c r="V462" s="21"/>
      <c r="W462" s="24"/>
      <c r="X462" s="20"/>
      <c r="Y462" s="20"/>
      <c r="Z462" s="21"/>
      <c r="AA462" s="21"/>
      <c r="AB462" s="21"/>
      <c r="AC462" s="21"/>
      <c r="AD462" s="21"/>
      <c r="AE462" s="21"/>
      <c r="AF462" s="21"/>
      <c r="AG462" s="21"/>
      <c r="AH462" s="21"/>
      <c r="AI462" s="25"/>
      <c r="AJ462" s="20"/>
      <c r="AK462" s="21"/>
      <c r="AL462" s="20"/>
      <c r="AM462" s="20"/>
      <c r="AN462" s="20"/>
      <c r="AO462" s="20"/>
      <c r="AP462" s="446"/>
      <c r="AQ462" s="20"/>
      <c r="AR462" s="20"/>
      <c r="AS462" s="20"/>
      <c r="AT462" s="20"/>
      <c r="AU462" s="26"/>
      <c r="AV462" s="98"/>
      <c r="AW462" s="98"/>
      <c r="AX462" s="98"/>
      <c r="AY462" s="98"/>
      <c r="AZ462" s="98"/>
      <c r="BA462" s="217"/>
      <c r="BB462" s="98"/>
      <c r="BC462" s="98"/>
      <c r="BD462" s="98"/>
      <c r="BE462" s="98"/>
      <c r="BF462" s="98"/>
      <c r="BG462" s="219"/>
      <c r="BH462" s="219"/>
      <c r="BI462" s="219"/>
      <c r="BJ462" s="26"/>
      <c r="BK462" s="21"/>
      <c r="BL462" s="21"/>
      <c r="BM462" s="22"/>
      <c r="BN462" s="21"/>
      <c r="BO462" s="21"/>
      <c r="BP462" s="22"/>
      <c r="BQ462" s="21"/>
      <c r="BR462" s="21"/>
      <c r="BS462" s="22"/>
      <c r="BT46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62" s="109" t="str">
        <f>IF(ISNUMBER(tblParticipants[[#This Row],[SvcStartDate]]),IF(AND(tblParticipants[[#This Row],[EnrollQtr]]=1,tblParticipants[[#This Row],[SvcStartDate]]&lt;DATE(conProgYear,7,1)),1,""),"")</f>
        <v/>
      </c>
      <c r="BV46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62" s="232" t="str">
        <f t="shared" ca="1" si="7"/>
        <v/>
      </c>
      <c r="BX462" s="9">
        <f>IF(SUM(IF(tblParticipants[[#This Row],[AmIndOrAkNtv]]=1,1,0),IF(tblParticipants[[#This Row],[Asian]]=1,1,0),IF(tblParticipants[[#This Row],[BlkOrAfAmer]]=1,1,0),IF(tblParticipants[[#This Row],[NtvHawOrPacIsl]]=1,1,0),IF(tblParticipants[[#This Row],[White]]=1,1,0))&gt;1,1,0)</f>
        <v>0</v>
      </c>
      <c r="BY46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6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6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62" s="11">
        <f>IF(tblParticipants[[#This Row],[EarnWg2Qae]]=1,IFERROR(tblParticipants[[#This Row],[HoursPerWk2Qae]]*tblParticipants[[#This Row],[HrlyWg2Qae]]*13,0),0)</f>
        <v>0</v>
      </c>
      <c r="CC462" s="11">
        <f>IF(tblParticipants[[#This Row],[EarnWg3Qae]]=1,IFERROR(tblParticipants[[#This Row],[HoursPerWk3Qae]]*tblParticipants[[#This Row],[HrlyWg3Qae]]*13,0),0)</f>
        <v>0</v>
      </c>
      <c r="CD462" s="9">
        <f>IFERROR(IF(SUM(tblParticipants[[#This Row],[EarnWg1Qae]],tblParticipants[[#This Row],[EarnWg2Qae]],tblParticipants[[#This Row],[EarnWg3Qae]])=3,1,0),0)</f>
        <v>0</v>
      </c>
      <c r="CE462" s="12">
        <f>IF(tblParticipants[[#This Row],[EmplAll3Qae]]=1,tblParticipants[[#This Row],[Earnings2Qae]]+tblParticipants[[#This Row],[Earnings3Qae]],0)</f>
        <v>0</v>
      </c>
      <c r="CF462" s="407"/>
    </row>
    <row r="463" spans="1:84" x14ac:dyDescent="0.3">
      <c r="A463" s="19"/>
      <c r="B463" s="19"/>
      <c r="C463" s="20"/>
      <c r="D463" s="20"/>
      <c r="E463" s="26"/>
      <c r="F463" s="26"/>
      <c r="G463" s="26"/>
      <c r="H463" s="26"/>
      <c r="I463" s="26"/>
      <c r="J463" s="26"/>
      <c r="K463" s="26"/>
      <c r="L463" s="26"/>
      <c r="M463" s="20"/>
      <c r="N463" s="26"/>
      <c r="O463" s="22"/>
      <c r="P463" s="21"/>
      <c r="Q463" s="23"/>
      <c r="R463" s="21"/>
      <c r="S463" s="21"/>
      <c r="T463" s="21"/>
      <c r="U463" s="21"/>
      <c r="V463" s="21"/>
      <c r="W463" s="24"/>
      <c r="X463" s="20"/>
      <c r="Y463" s="20"/>
      <c r="Z463" s="21"/>
      <c r="AA463" s="21"/>
      <c r="AB463" s="21"/>
      <c r="AC463" s="21"/>
      <c r="AD463" s="21"/>
      <c r="AE463" s="21"/>
      <c r="AF463" s="21"/>
      <c r="AG463" s="21"/>
      <c r="AH463" s="21"/>
      <c r="AI463" s="25"/>
      <c r="AJ463" s="20"/>
      <c r="AK463" s="21"/>
      <c r="AL463" s="20"/>
      <c r="AM463" s="20"/>
      <c r="AN463" s="20"/>
      <c r="AO463" s="20"/>
      <c r="AP463" s="446"/>
      <c r="AQ463" s="20"/>
      <c r="AR463" s="20"/>
      <c r="AS463" s="20"/>
      <c r="AT463" s="20"/>
      <c r="AU463" s="26"/>
      <c r="AV463" s="98"/>
      <c r="AW463" s="98"/>
      <c r="AX463" s="98"/>
      <c r="AY463" s="98"/>
      <c r="AZ463" s="98"/>
      <c r="BA463" s="217"/>
      <c r="BB463" s="98"/>
      <c r="BC463" s="98"/>
      <c r="BD463" s="98"/>
      <c r="BE463" s="98"/>
      <c r="BF463" s="98"/>
      <c r="BG463" s="219"/>
      <c r="BH463" s="219"/>
      <c r="BI463" s="219"/>
      <c r="BJ463" s="26"/>
      <c r="BK463" s="21"/>
      <c r="BL463" s="21"/>
      <c r="BM463" s="22"/>
      <c r="BN463" s="21"/>
      <c r="BO463" s="21"/>
      <c r="BP463" s="22"/>
      <c r="BQ463" s="21"/>
      <c r="BR463" s="21"/>
      <c r="BS463" s="22"/>
      <c r="BT46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63" s="109" t="str">
        <f>IF(ISNUMBER(tblParticipants[[#This Row],[SvcStartDate]]),IF(AND(tblParticipants[[#This Row],[EnrollQtr]]=1,tblParticipants[[#This Row],[SvcStartDate]]&lt;DATE(conProgYear,7,1)),1,""),"")</f>
        <v/>
      </c>
      <c r="BV46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63" s="232" t="str">
        <f t="shared" ca="1" si="7"/>
        <v/>
      </c>
      <c r="BX463" s="9">
        <f>IF(SUM(IF(tblParticipants[[#This Row],[AmIndOrAkNtv]]=1,1,0),IF(tblParticipants[[#This Row],[Asian]]=1,1,0),IF(tblParticipants[[#This Row],[BlkOrAfAmer]]=1,1,0),IF(tblParticipants[[#This Row],[NtvHawOrPacIsl]]=1,1,0),IF(tblParticipants[[#This Row],[White]]=1,1,0))&gt;1,1,0)</f>
        <v>0</v>
      </c>
      <c r="BY46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6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6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63" s="11">
        <f>IF(tblParticipants[[#This Row],[EarnWg2Qae]]=1,IFERROR(tblParticipants[[#This Row],[HoursPerWk2Qae]]*tblParticipants[[#This Row],[HrlyWg2Qae]]*13,0),0)</f>
        <v>0</v>
      </c>
      <c r="CC463" s="11">
        <f>IF(tblParticipants[[#This Row],[EarnWg3Qae]]=1,IFERROR(tblParticipants[[#This Row],[HoursPerWk3Qae]]*tblParticipants[[#This Row],[HrlyWg3Qae]]*13,0),0)</f>
        <v>0</v>
      </c>
      <c r="CD463" s="9">
        <f>IFERROR(IF(SUM(tblParticipants[[#This Row],[EarnWg1Qae]],tblParticipants[[#This Row],[EarnWg2Qae]],tblParticipants[[#This Row],[EarnWg3Qae]])=3,1,0),0)</f>
        <v>0</v>
      </c>
      <c r="CE463" s="12">
        <f>IF(tblParticipants[[#This Row],[EmplAll3Qae]]=1,tblParticipants[[#This Row],[Earnings2Qae]]+tblParticipants[[#This Row],[Earnings3Qae]],0)</f>
        <v>0</v>
      </c>
      <c r="CF463" s="407"/>
    </row>
    <row r="464" spans="1:84" x14ac:dyDescent="0.3">
      <c r="A464" s="19"/>
      <c r="B464" s="19"/>
      <c r="C464" s="20"/>
      <c r="D464" s="20"/>
      <c r="E464" s="26"/>
      <c r="F464" s="26"/>
      <c r="G464" s="26"/>
      <c r="H464" s="26"/>
      <c r="I464" s="26"/>
      <c r="J464" s="26"/>
      <c r="K464" s="26"/>
      <c r="L464" s="26"/>
      <c r="M464" s="20"/>
      <c r="N464" s="26"/>
      <c r="O464" s="22"/>
      <c r="P464" s="21"/>
      <c r="Q464" s="23"/>
      <c r="R464" s="21"/>
      <c r="S464" s="21"/>
      <c r="T464" s="21"/>
      <c r="U464" s="21"/>
      <c r="V464" s="21"/>
      <c r="W464" s="24"/>
      <c r="X464" s="20"/>
      <c r="Y464" s="20"/>
      <c r="Z464" s="21"/>
      <c r="AA464" s="21"/>
      <c r="AB464" s="21"/>
      <c r="AC464" s="21"/>
      <c r="AD464" s="21"/>
      <c r="AE464" s="21"/>
      <c r="AF464" s="21"/>
      <c r="AG464" s="21"/>
      <c r="AH464" s="21"/>
      <c r="AI464" s="25"/>
      <c r="AJ464" s="20"/>
      <c r="AK464" s="21"/>
      <c r="AL464" s="20"/>
      <c r="AM464" s="20"/>
      <c r="AN464" s="20"/>
      <c r="AO464" s="20"/>
      <c r="AP464" s="446"/>
      <c r="AQ464" s="20"/>
      <c r="AR464" s="20"/>
      <c r="AS464" s="20"/>
      <c r="AT464" s="20"/>
      <c r="AU464" s="26"/>
      <c r="AV464" s="98"/>
      <c r="AW464" s="98"/>
      <c r="AX464" s="98"/>
      <c r="AY464" s="98"/>
      <c r="AZ464" s="98"/>
      <c r="BA464" s="217"/>
      <c r="BB464" s="98"/>
      <c r="BC464" s="98"/>
      <c r="BD464" s="98"/>
      <c r="BE464" s="98"/>
      <c r="BF464" s="98"/>
      <c r="BG464" s="219"/>
      <c r="BH464" s="219"/>
      <c r="BI464" s="219"/>
      <c r="BJ464" s="26"/>
      <c r="BK464" s="21"/>
      <c r="BL464" s="21"/>
      <c r="BM464" s="22"/>
      <c r="BN464" s="21"/>
      <c r="BO464" s="21"/>
      <c r="BP464" s="22"/>
      <c r="BQ464" s="21"/>
      <c r="BR464" s="21"/>
      <c r="BS464" s="22"/>
      <c r="BT46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64" s="109" t="str">
        <f>IF(ISNUMBER(tblParticipants[[#This Row],[SvcStartDate]]),IF(AND(tblParticipants[[#This Row],[EnrollQtr]]=1,tblParticipants[[#This Row],[SvcStartDate]]&lt;DATE(conProgYear,7,1)),1,""),"")</f>
        <v/>
      </c>
      <c r="BV46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64" s="232" t="str">
        <f t="shared" ca="1" si="7"/>
        <v/>
      </c>
      <c r="BX464" s="9">
        <f>IF(SUM(IF(tblParticipants[[#This Row],[AmIndOrAkNtv]]=1,1,0),IF(tblParticipants[[#This Row],[Asian]]=1,1,0),IF(tblParticipants[[#This Row],[BlkOrAfAmer]]=1,1,0),IF(tblParticipants[[#This Row],[NtvHawOrPacIsl]]=1,1,0),IF(tblParticipants[[#This Row],[White]]=1,1,0))&gt;1,1,0)</f>
        <v>0</v>
      </c>
      <c r="BY46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6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6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64" s="11">
        <f>IF(tblParticipants[[#This Row],[EarnWg2Qae]]=1,IFERROR(tblParticipants[[#This Row],[HoursPerWk2Qae]]*tblParticipants[[#This Row],[HrlyWg2Qae]]*13,0),0)</f>
        <v>0</v>
      </c>
      <c r="CC464" s="11">
        <f>IF(tblParticipants[[#This Row],[EarnWg3Qae]]=1,IFERROR(tblParticipants[[#This Row],[HoursPerWk3Qae]]*tblParticipants[[#This Row],[HrlyWg3Qae]]*13,0),0)</f>
        <v>0</v>
      </c>
      <c r="CD464" s="9">
        <f>IFERROR(IF(SUM(tblParticipants[[#This Row],[EarnWg1Qae]],tblParticipants[[#This Row],[EarnWg2Qae]],tblParticipants[[#This Row],[EarnWg3Qae]])=3,1,0),0)</f>
        <v>0</v>
      </c>
      <c r="CE464" s="12">
        <f>IF(tblParticipants[[#This Row],[EmplAll3Qae]]=1,tblParticipants[[#This Row],[Earnings2Qae]]+tblParticipants[[#This Row],[Earnings3Qae]],0)</f>
        <v>0</v>
      </c>
      <c r="CF464" s="407"/>
    </row>
    <row r="465" spans="1:84" x14ac:dyDescent="0.3">
      <c r="A465" s="19"/>
      <c r="B465" s="19"/>
      <c r="C465" s="20"/>
      <c r="D465" s="20"/>
      <c r="E465" s="26"/>
      <c r="F465" s="26"/>
      <c r="G465" s="26"/>
      <c r="H465" s="26"/>
      <c r="I465" s="26"/>
      <c r="J465" s="26"/>
      <c r="K465" s="26"/>
      <c r="L465" s="26"/>
      <c r="M465" s="20"/>
      <c r="N465" s="26"/>
      <c r="O465" s="22"/>
      <c r="P465" s="21"/>
      <c r="Q465" s="23"/>
      <c r="R465" s="21"/>
      <c r="S465" s="21"/>
      <c r="T465" s="21"/>
      <c r="U465" s="21"/>
      <c r="V465" s="21"/>
      <c r="W465" s="24"/>
      <c r="X465" s="20"/>
      <c r="Y465" s="20"/>
      <c r="Z465" s="21"/>
      <c r="AA465" s="21"/>
      <c r="AB465" s="21"/>
      <c r="AC465" s="21"/>
      <c r="AD465" s="21"/>
      <c r="AE465" s="21"/>
      <c r="AF465" s="21"/>
      <c r="AG465" s="21"/>
      <c r="AH465" s="21"/>
      <c r="AI465" s="25"/>
      <c r="AJ465" s="20"/>
      <c r="AK465" s="21"/>
      <c r="AL465" s="20"/>
      <c r="AM465" s="20"/>
      <c r="AN465" s="20"/>
      <c r="AO465" s="20"/>
      <c r="AP465" s="446"/>
      <c r="AQ465" s="20"/>
      <c r="AR465" s="20"/>
      <c r="AS465" s="20"/>
      <c r="AT465" s="20"/>
      <c r="AU465" s="26"/>
      <c r="AV465" s="98"/>
      <c r="AW465" s="98"/>
      <c r="AX465" s="98"/>
      <c r="AY465" s="98"/>
      <c r="AZ465" s="98"/>
      <c r="BA465" s="217"/>
      <c r="BB465" s="98"/>
      <c r="BC465" s="98"/>
      <c r="BD465" s="98"/>
      <c r="BE465" s="98"/>
      <c r="BF465" s="98"/>
      <c r="BG465" s="219"/>
      <c r="BH465" s="219"/>
      <c r="BI465" s="219"/>
      <c r="BJ465" s="26"/>
      <c r="BK465" s="21"/>
      <c r="BL465" s="21"/>
      <c r="BM465" s="22"/>
      <c r="BN465" s="21"/>
      <c r="BO465" s="21"/>
      <c r="BP465" s="22"/>
      <c r="BQ465" s="21"/>
      <c r="BR465" s="21"/>
      <c r="BS465" s="22"/>
      <c r="BT46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65" s="109" t="str">
        <f>IF(ISNUMBER(tblParticipants[[#This Row],[SvcStartDate]]),IF(AND(tblParticipants[[#This Row],[EnrollQtr]]=1,tblParticipants[[#This Row],[SvcStartDate]]&lt;DATE(conProgYear,7,1)),1,""),"")</f>
        <v/>
      </c>
      <c r="BV46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65" s="232" t="str">
        <f t="shared" ca="1" si="7"/>
        <v/>
      </c>
      <c r="BX465" s="9">
        <f>IF(SUM(IF(tblParticipants[[#This Row],[AmIndOrAkNtv]]=1,1,0),IF(tblParticipants[[#This Row],[Asian]]=1,1,0),IF(tblParticipants[[#This Row],[BlkOrAfAmer]]=1,1,0),IF(tblParticipants[[#This Row],[NtvHawOrPacIsl]]=1,1,0),IF(tblParticipants[[#This Row],[White]]=1,1,0))&gt;1,1,0)</f>
        <v>0</v>
      </c>
      <c r="BY46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6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6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65" s="11">
        <f>IF(tblParticipants[[#This Row],[EarnWg2Qae]]=1,IFERROR(tblParticipants[[#This Row],[HoursPerWk2Qae]]*tblParticipants[[#This Row],[HrlyWg2Qae]]*13,0),0)</f>
        <v>0</v>
      </c>
      <c r="CC465" s="11">
        <f>IF(tblParticipants[[#This Row],[EarnWg3Qae]]=1,IFERROR(tblParticipants[[#This Row],[HoursPerWk3Qae]]*tblParticipants[[#This Row],[HrlyWg3Qae]]*13,0),0)</f>
        <v>0</v>
      </c>
      <c r="CD465" s="9">
        <f>IFERROR(IF(SUM(tblParticipants[[#This Row],[EarnWg1Qae]],tblParticipants[[#This Row],[EarnWg2Qae]],tblParticipants[[#This Row],[EarnWg3Qae]])=3,1,0),0)</f>
        <v>0</v>
      </c>
      <c r="CE465" s="12">
        <f>IF(tblParticipants[[#This Row],[EmplAll3Qae]]=1,tblParticipants[[#This Row],[Earnings2Qae]]+tblParticipants[[#This Row],[Earnings3Qae]],0)</f>
        <v>0</v>
      </c>
      <c r="CF465" s="407"/>
    </row>
    <row r="466" spans="1:84" x14ac:dyDescent="0.3">
      <c r="A466" s="19"/>
      <c r="B466" s="19"/>
      <c r="C466" s="20"/>
      <c r="D466" s="20"/>
      <c r="E466" s="26"/>
      <c r="F466" s="26"/>
      <c r="G466" s="26"/>
      <c r="H466" s="26"/>
      <c r="I466" s="26"/>
      <c r="J466" s="26"/>
      <c r="K466" s="26"/>
      <c r="L466" s="26"/>
      <c r="M466" s="20"/>
      <c r="N466" s="26"/>
      <c r="O466" s="22"/>
      <c r="P466" s="21"/>
      <c r="Q466" s="23"/>
      <c r="R466" s="21"/>
      <c r="S466" s="21"/>
      <c r="T466" s="21"/>
      <c r="U466" s="21"/>
      <c r="V466" s="21"/>
      <c r="W466" s="24"/>
      <c r="X466" s="20"/>
      <c r="Y466" s="20"/>
      <c r="Z466" s="21"/>
      <c r="AA466" s="21"/>
      <c r="AB466" s="21"/>
      <c r="AC466" s="21"/>
      <c r="AD466" s="21"/>
      <c r="AE466" s="21"/>
      <c r="AF466" s="21"/>
      <c r="AG466" s="21"/>
      <c r="AH466" s="21"/>
      <c r="AI466" s="25"/>
      <c r="AJ466" s="20"/>
      <c r="AK466" s="21"/>
      <c r="AL466" s="20"/>
      <c r="AM466" s="20"/>
      <c r="AN466" s="20"/>
      <c r="AO466" s="20"/>
      <c r="AP466" s="446"/>
      <c r="AQ466" s="20"/>
      <c r="AR466" s="20"/>
      <c r="AS466" s="20"/>
      <c r="AT466" s="20"/>
      <c r="AU466" s="26"/>
      <c r="AV466" s="98"/>
      <c r="AW466" s="98"/>
      <c r="AX466" s="98"/>
      <c r="AY466" s="98"/>
      <c r="AZ466" s="98"/>
      <c r="BA466" s="217"/>
      <c r="BB466" s="98"/>
      <c r="BC466" s="98"/>
      <c r="BD466" s="98"/>
      <c r="BE466" s="98"/>
      <c r="BF466" s="98"/>
      <c r="BG466" s="219"/>
      <c r="BH466" s="219"/>
      <c r="BI466" s="219"/>
      <c r="BJ466" s="26"/>
      <c r="BK466" s="21"/>
      <c r="BL466" s="21"/>
      <c r="BM466" s="22"/>
      <c r="BN466" s="21"/>
      <c r="BO466" s="21"/>
      <c r="BP466" s="22"/>
      <c r="BQ466" s="21"/>
      <c r="BR466" s="21"/>
      <c r="BS466" s="22"/>
      <c r="BT46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66" s="109" t="str">
        <f>IF(ISNUMBER(tblParticipants[[#This Row],[SvcStartDate]]),IF(AND(tblParticipants[[#This Row],[EnrollQtr]]=1,tblParticipants[[#This Row],[SvcStartDate]]&lt;DATE(conProgYear,7,1)),1,""),"")</f>
        <v/>
      </c>
      <c r="BV46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66" s="232" t="str">
        <f t="shared" ca="1" si="7"/>
        <v/>
      </c>
      <c r="BX466" s="9">
        <f>IF(SUM(IF(tblParticipants[[#This Row],[AmIndOrAkNtv]]=1,1,0),IF(tblParticipants[[#This Row],[Asian]]=1,1,0),IF(tblParticipants[[#This Row],[BlkOrAfAmer]]=1,1,0),IF(tblParticipants[[#This Row],[NtvHawOrPacIsl]]=1,1,0),IF(tblParticipants[[#This Row],[White]]=1,1,0))&gt;1,1,0)</f>
        <v>0</v>
      </c>
      <c r="BY46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6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6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66" s="11">
        <f>IF(tblParticipants[[#This Row],[EarnWg2Qae]]=1,IFERROR(tblParticipants[[#This Row],[HoursPerWk2Qae]]*tblParticipants[[#This Row],[HrlyWg2Qae]]*13,0),0)</f>
        <v>0</v>
      </c>
      <c r="CC466" s="11">
        <f>IF(tblParticipants[[#This Row],[EarnWg3Qae]]=1,IFERROR(tblParticipants[[#This Row],[HoursPerWk3Qae]]*tblParticipants[[#This Row],[HrlyWg3Qae]]*13,0),0)</f>
        <v>0</v>
      </c>
      <c r="CD466" s="9">
        <f>IFERROR(IF(SUM(tblParticipants[[#This Row],[EarnWg1Qae]],tblParticipants[[#This Row],[EarnWg2Qae]],tblParticipants[[#This Row],[EarnWg3Qae]])=3,1,0),0)</f>
        <v>0</v>
      </c>
      <c r="CE466" s="12">
        <f>IF(tblParticipants[[#This Row],[EmplAll3Qae]]=1,tblParticipants[[#This Row],[Earnings2Qae]]+tblParticipants[[#This Row],[Earnings3Qae]],0)</f>
        <v>0</v>
      </c>
      <c r="CF466" s="407"/>
    </row>
    <row r="467" spans="1:84" x14ac:dyDescent="0.3">
      <c r="A467" s="19"/>
      <c r="B467" s="19"/>
      <c r="C467" s="20"/>
      <c r="D467" s="20"/>
      <c r="E467" s="26"/>
      <c r="F467" s="26"/>
      <c r="G467" s="26"/>
      <c r="H467" s="26"/>
      <c r="I467" s="26"/>
      <c r="J467" s="26"/>
      <c r="K467" s="26"/>
      <c r="L467" s="26"/>
      <c r="M467" s="20"/>
      <c r="N467" s="26"/>
      <c r="O467" s="22"/>
      <c r="P467" s="21"/>
      <c r="Q467" s="23"/>
      <c r="R467" s="21"/>
      <c r="S467" s="21"/>
      <c r="T467" s="21"/>
      <c r="U467" s="21"/>
      <c r="V467" s="21"/>
      <c r="W467" s="24"/>
      <c r="X467" s="20"/>
      <c r="Y467" s="20"/>
      <c r="Z467" s="21"/>
      <c r="AA467" s="21"/>
      <c r="AB467" s="21"/>
      <c r="AC467" s="21"/>
      <c r="AD467" s="21"/>
      <c r="AE467" s="21"/>
      <c r="AF467" s="21"/>
      <c r="AG467" s="21"/>
      <c r="AH467" s="21"/>
      <c r="AI467" s="25"/>
      <c r="AJ467" s="20"/>
      <c r="AK467" s="21"/>
      <c r="AL467" s="20"/>
      <c r="AM467" s="20"/>
      <c r="AN467" s="20"/>
      <c r="AO467" s="20"/>
      <c r="AP467" s="446"/>
      <c r="AQ467" s="20"/>
      <c r="AR467" s="20"/>
      <c r="AS467" s="20"/>
      <c r="AT467" s="20"/>
      <c r="AU467" s="26"/>
      <c r="AV467" s="98"/>
      <c r="AW467" s="98"/>
      <c r="AX467" s="98"/>
      <c r="AY467" s="98"/>
      <c r="AZ467" s="98"/>
      <c r="BA467" s="217"/>
      <c r="BB467" s="98"/>
      <c r="BC467" s="98"/>
      <c r="BD467" s="98"/>
      <c r="BE467" s="98"/>
      <c r="BF467" s="98"/>
      <c r="BG467" s="219"/>
      <c r="BH467" s="219"/>
      <c r="BI467" s="219"/>
      <c r="BJ467" s="26"/>
      <c r="BK467" s="21"/>
      <c r="BL467" s="21"/>
      <c r="BM467" s="22"/>
      <c r="BN467" s="21"/>
      <c r="BO467" s="21"/>
      <c r="BP467" s="22"/>
      <c r="BQ467" s="21"/>
      <c r="BR467" s="21"/>
      <c r="BS467" s="22"/>
      <c r="BT46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67" s="109" t="str">
        <f>IF(ISNUMBER(tblParticipants[[#This Row],[SvcStartDate]]),IF(AND(tblParticipants[[#This Row],[EnrollQtr]]=1,tblParticipants[[#This Row],[SvcStartDate]]&lt;DATE(conProgYear,7,1)),1,""),"")</f>
        <v/>
      </c>
      <c r="BV46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67" s="232" t="str">
        <f t="shared" ca="1" si="7"/>
        <v/>
      </c>
      <c r="BX467" s="9">
        <f>IF(SUM(IF(tblParticipants[[#This Row],[AmIndOrAkNtv]]=1,1,0),IF(tblParticipants[[#This Row],[Asian]]=1,1,0),IF(tblParticipants[[#This Row],[BlkOrAfAmer]]=1,1,0),IF(tblParticipants[[#This Row],[NtvHawOrPacIsl]]=1,1,0),IF(tblParticipants[[#This Row],[White]]=1,1,0))&gt;1,1,0)</f>
        <v>0</v>
      </c>
      <c r="BY46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6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6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67" s="11">
        <f>IF(tblParticipants[[#This Row],[EarnWg2Qae]]=1,IFERROR(tblParticipants[[#This Row],[HoursPerWk2Qae]]*tblParticipants[[#This Row],[HrlyWg2Qae]]*13,0),0)</f>
        <v>0</v>
      </c>
      <c r="CC467" s="11">
        <f>IF(tblParticipants[[#This Row],[EarnWg3Qae]]=1,IFERROR(tblParticipants[[#This Row],[HoursPerWk3Qae]]*tblParticipants[[#This Row],[HrlyWg3Qae]]*13,0),0)</f>
        <v>0</v>
      </c>
      <c r="CD467" s="9">
        <f>IFERROR(IF(SUM(tblParticipants[[#This Row],[EarnWg1Qae]],tblParticipants[[#This Row],[EarnWg2Qae]],tblParticipants[[#This Row],[EarnWg3Qae]])=3,1,0),0)</f>
        <v>0</v>
      </c>
      <c r="CE467" s="12">
        <f>IF(tblParticipants[[#This Row],[EmplAll3Qae]]=1,tblParticipants[[#This Row],[Earnings2Qae]]+tblParticipants[[#This Row],[Earnings3Qae]],0)</f>
        <v>0</v>
      </c>
      <c r="CF467" s="407"/>
    </row>
    <row r="468" spans="1:84" x14ac:dyDescent="0.3">
      <c r="A468" s="19"/>
      <c r="B468" s="19"/>
      <c r="C468" s="20"/>
      <c r="D468" s="20"/>
      <c r="E468" s="26"/>
      <c r="F468" s="26"/>
      <c r="G468" s="26"/>
      <c r="H468" s="26"/>
      <c r="I468" s="26"/>
      <c r="J468" s="26"/>
      <c r="K468" s="26"/>
      <c r="L468" s="26"/>
      <c r="M468" s="20"/>
      <c r="N468" s="26"/>
      <c r="O468" s="22"/>
      <c r="P468" s="21"/>
      <c r="Q468" s="23"/>
      <c r="R468" s="21"/>
      <c r="S468" s="21"/>
      <c r="T468" s="21"/>
      <c r="U468" s="21"/>
      <c r="V468" s="21"/>
      <c r="W468" s="24"/>
      <c r="X468" s="20"/>
      <c r="Y468" s="20"/>
      <c r="Z468" s="21"/>
      <c r="AA468" s="21"/>
      <c r="AB468" s="21"/>
      <c r="AC468" s="21"/>
      <c r="AD468" s="21"/>
      <c r="AE468" s="21"/>
      <c r="AF468" s="21"/>
      <c r="AG468" s="21"/>
      <c r="AH468" s="21"/>
      <c r="AI468" s="25"/>
      <c r="AJ468" s="20"/>
      <c r="AK468" s="21"/>
      <c r="AL468" s="20"/>
      <c r="AM468" s="20"/>
      <c r="AN468" s="20"/>
      <c r="AO468" s="20"/>
      <c r="AP468" s="446"/>
      <c r="AQ468" s="20"/>
      <c r="AR468" s="20"/>
      <c r="AS468" s="20"/>
      <c r="AT468" s="20"/>
      <c r="AU468" s="26"/>
      <c r="AV468" s="98"/>
      <c r="AW468" s="98"/>
      <c r="AX468" s="98"/>
      <c r="AY468" s="98"/>
      <c r="AZ468" s="98"/>
      <c r="BA468" s="217"/>
      <c r="BB468" s="98"/>
      <c r="BC468" s="98"/>
      <c r="BD468" s="98"/>
      <c r="BE468" s="98"/>
      <c r="BF468" s="98"/>
      <c r="BG468" s="219"/>
      <c r="BH468" s="219"/>
      <c r="BI468" s="219"/>
      <c r="BJ468" s="26"/>
      <c r="BK468" s="21"/>
      <c r="BL468" s="21"/>
      <c r="BM468" s="22"/>
      <c r="BN468" s="21"/>
      <c r="BO468" s="21"/>
      <c r="BP468" s="22"/>
      <c r="BQ468" s="21"/>
      <c r="BR468" s="21"/>
      <c r="BS468" s="22"/>
      <c r="BT46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68" s="109" t="str">
        <f>IF(ISNUMBER(tblParticipants[[#This Row],[SvcStartDate]]),IF(AND(tblParticipants[[#This Row],[EnrollQtr]]=1,tblParticipants[[#This Row],[SvcStartDate]]&lt;DATE(conProgYear,7,1)),1,""),"")</f>
        <v/>
      </c>
      <c r="BV46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68" s="232" t="str">
        <f t="shared" ca="1" si="7"/>
        <v/>
      </c>
      <c r="BX468" s="9">
        <f>IF(SUM(IF(tblParticipants[[#This Row],[AmIndOrAkNtv]]=1,1,0),IF(tblParticipants[[#This Row],[Asian]]=1,1,0),IF(tblParticipants[[#This Row],[BlkOrAfAmer]]=1,1,0),IF(tblParticipants[[#This Row],[NtvHawOrPacIsl]]=1,1,0),IF(tblParticipants[[#This Row],[White]]=1,1,0))&gt;1,1,0)</f>
        <v>0</v>
      </c>
      <c r="BY46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6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6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68" s="11">
        <f>IF(tblParticipants[[#This Row],[EarnWg2Qae]]=1,IFERROR(tblParticipants[[#This Row],[HoursPerWk2Qae]]*tblParticipants[[#This Row],[HrlyWg2Qae]]*13,0),0)</f>
        <v>0</v>
      </c>
      <c r="CC468" s="11">
        <f>IF(tblParticipants[[#This Row],[EarnWg3Qae]]=1,IFERROR(tblParticipants[[#This Row],[HoursPerWk3Qae]]*tblParticipants[[#This Row],[HrlyWg3Qae]]*13,0),0)</f>
        <v>0</v>
      </c>
      <c r="CD468" s="9">
        <f>IFERROR(IF(SUM(tblParticipants[[#This Row],[EarnWg1Qae]],tblParticipants[[#This Row],[EarnWg2Qae]],tblParticipants[[#This Row],[EarnWg3Qae]])=3,1,0),0)</f>
        <v>0</v>
      </c>
      <c r="CE468" s="12">
        <f>IF(tblParticipants[[#This Row],[EmplAll3Qae]]=1,tblParticipants[[#This Row],[Earnings2Qae]]+tblParticipants[[#This Row],[Earnings3Qae]],0)</f>
        <v>0</v>
      </c>
      <c r="CF468" s="407"/>
    </row>
    <row r="469" spans="1:84" x14ac:dyDescent="0.3">
      <c r="A469" s="19"/>
      <c r="B469" s="19"/>
      <c r="C469" s="20"/>
      <c r="D469" s="20"/>
      <c r="E469" s="26"/>
      <c r="F469" s="26"/>
      <c r="G469" s="26"/>
      <c r="H469" s="26"/>
      <c r="I469" s="26"/>
      <c r="J469" s="26"/>
      <c r="K469" s="26"/>
      <c r="L469" s="26"/>
      <c r="M469" s="20"/>
      <c r="N469" s="26"/>
      <c r="O469" s="22"/>
      <c r="P469" s="21"/>
      <c r="Q469" s="23"/>
      <c r="R469" s="21"/>
      <c r="S469" s="21"/>
      <c r="T469" s="21"/>
      <c r="U469" s="21"/>
      <c r="V469" s="21"/>
      <c r="W469" s="24"/>
      <c r="X469" s="20"/>
      <c r="Y469" s="20"/>
      <c r="Z469" s="21"/>
      <c r="AA469" s="21"/>
      <c r="AB469" s="21"/>
      <c r="AC469" s="21"/>
      <c r="AD469" s="21"/>
      <c r="AE469" s="21"/>
      <c r="AF469" s="21"/>
      <c r="AG469" s="21"/>
      <c r="AH469" s="21"/>
      <c r="AI469" s="25"/>
      <c r="AJ469" s="20"/>
      <c r="AK469" s="21"/>
      <c r="AL469" s="20"/>
      <c r="AM469" s="20"/>
      <c r="AN469" s="20"/>
      <c r="AO469" s="20"/>
      <c r="AP469" s="446"/>
      <c r="AQ469" s="20"/>
      <c r="AR469" s="20"/>
      <c r="AS469" s="20"/>
      <c r="AT469" s="20"/>
      <c r="AU469" s="26"/>
      <c r="AV469" s="98"/>
      <c r="AW469" s="98"/>
      <c r="AX469" s="98"/>
      <c r="AY469" s="98"/>
      <c r="AZ469" s="98"/>
      <c r="BA469" s="217"/>
      <c r="BB469" s="98"/>
      <c r="BC469" s="98"/>
      <c r="BD469" s="98"/>
      <c r="BE469" s="98"/>
      <c r="BF469" s="98"/>
      <c r="BG469" s="219"/>
      <c r="BH469" s="219"/>
      <c r="BI469" s="219"/>
      <c r="BJ469" s="26"/>
      <c r="BK469" s="21"/>
      <c r="BL469" s="21"/>
      <c r="BM469" s="22"/>
      <c r="BN469" s="21"/>
      <c r="BO469" s="21"/>
      <c r="BP469" s="22"/>
      <c r="BQ469" s="21"/>
      <c r="BR469" s="21"/>
      <c r="BS469" s="22"/>
      <c r="BT46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69" s="109" t="str">
        <f>IF(ISNUMBER(tblParticipants[[#This Row],[SvcStartDate]]),IF(AND(tblParticipants[[#This Row],[EnrollQtr]]=1,tblParticipants[[#This Row],[SvcStartDate]]&lt;DATE(conProgYear,7,1)),1,""),"")</f>
        <v/>
      </c>
      <c r="BV46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69" s="232" t="str">
        <f t="shared" ca="1" si="7"/>
        <v/>
      </c>
      <c r="BX469" s="9">
        <f>IF(SUM(IF(tblParticipants[[#This Row],[AmIndOrAkNtv]]=1,1,0),IF(tblParticipants[[#This Row],[Asian]]=1,1,0),IF(tblParticipants[[#This Row],[BlkOrAfAmer]]=1,1,0),IF(tblParticipants[[#This Row],[NtvHawOrPacIsl]]=1,1,0),IF(tblParticipants[[#This Row],[White]]=1,1,0))&gt;1,1,0)</f>
        <v>0</v>
      </c>
      <c r="BY46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6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6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69" s="11">
        <f>IF(tblParticipants[[#This Row],[EarnWg2Qae]]=1,IFERROR(tblParticipants[[#This Row],[HoursPerWk2Qae]]*tblParticipants[[#This Row],[HrlyWg2Qae]]*13,0),0)</f>
        <v>0</v>
      </c>
      <c r="CC469" s="11">
        <f>IF(tblParticipants[[#This Row],[EarnWg3Qae]]=1,IFERROR(tblParticipants[[#This Row],[HoursPerWk3Qae]]*tblParticipants[[#This Row],[HrlyWg3Qae]]*13,0),0)</f>
        <v>0</v>
      </c>
      <c r="CD469" s="9">
        <f>IFERROR(IF(SUM(tblParticipants[[#This Row],[EarnWg1Qae]],tblParticipants[[#This Row],[EarnWg2Qae]],tblParticipants[[#This Row],[EarnWg3Qae]])=3,1,0),0)</f>
        <v>0</v>
      </c>
      <c r="CE469" s="12">
        <f>IF(tblParticipants[[#This Row],[EmplAll3Qae]]=1,tblParticipants[[#This Row],[Earnings2Qae]]+tblParticipants[[#This Row],[Earnings3Qae]],0)</f>
        <v>0</v>
      </c>
      <c r="CF469" s="407"/>
    </row>
    <row r="470" spans="1:84" x14ac:dyDescent="0.3">
      <c r="A470" s="19"/>
      <c r="B470" s="19"/>
      <c r="C470" s="20"/>
      <c r="D470" s="20"/>
      <c r="E470" s="26"/>
      <c r="F470" s="26"/>
      <c r="G470" s="26"/>
      <c r="H470" s="26"/>
      <c r="I470" s="26"/>
      <c r="J470" s="26"/>
      <c r="K470" s="26"/>
      <c r="L470" s="26"/>
      <c r="M470" s="20"/>
      <c r="N470" s="26"/>
      <c r="O470" s="22"/>
      <c r="P470" s="21"/>
      <c r="Q470" s="23"/>
      <c r="R470" s="21"/>
      <c r="S470" s="21"/>
      <c r="T470" s="21"/>
      <c r="U470" s="21"/>
      <c r="V470" s="21"/>
      <c r="W470" s="24"/>
      <c r="X470" s="20"/>
      <c r="Y470" s="20"/>
      <c r="Z470" s="21"/>
      <c r="AA470" s="21"/>
      <c r="AB470" s="21"/>
      <c r="AC470" s="21"/>
      <c r="AD470" s="21"/>
      <c r="AE470" s="21"/>
      <c r="AF470" s="21"/>
      <c r="AG470" s="21"/>
      <c r="AH470" s="21"/>
      <c r="AI470" s="25"/>
      <c r="AJ470" s="20"/>
      <c r="AK470" s="21"/>
      <c r="AL470" s="20"/>
      <c r="AM470" s="20"/>
      <c r="AN470" s="20"/>
      <c r="AO470" s="20"/>
      <c r="AP470" s="446"/>
      <c r="AQ470" s="20"/>
      <c r="AR470" s="20"/>
      <c r="AS470" s="20"/>
      <c r="AT470" s="20"/>
      <c r="AU470" s="26"/>
      <c r="AV470" s="98"/>
      <c r="AW470" s="98"/>
      <c r="AX470" s="98"/>
      <c r="AY470" s="98"/>
      <c r="AZ470" s="98"/>
      <c r="BA470" s="217"/>
      <c r="BB470" s="98"/>
      <c r="BC470" s="98"/>
      <c r="BD470" s="98"/>
      <c r="BE470" s="98"/>
      <c r="BF470" s="98"/>
      <c r="BG470" s="219"/>
      <c r="BH470" s="219"/>
      <c r="BI470" s="219"/>
      <c r="BJ470" s="26"/>
      <c r="BK470" s="21"/>
      <c r="BL470" s="21"/>
      <c r="BM470" s="22"/>
      <c r="BN470" s="21"/>
      <c r="BO470" s="21"/>
      <c r="BP470" s="22"/>
      <c r="BQ470" s="21"/>
      <c r="BR470" s="21"/>
      <c r="BS470" s="22"/>
      <c r="BT47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70" s="109" t="str">
        <f>IF(ISNUMBER(tblParticipants[[#This Row],[SvcStartDate]]),IF(AND(tblParticipants[[#This Row],[EnrollQtr]]=1,tblParticipants[[#This Row],[SvcStartDate]]&lt;DATE(conProgYear,7,1)),1,""),"")</f>
        <v/>
      </c>
      <c r="BV47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70" s="232" t="str">
        <f t="shared" ca="1" si="7"/>
        <v/>
      </c>
      <c r="BX470" s="9">
        <f>IF(SUM(IF(tblParticipants[[#This Row],[AmIndOrAkNtv]]=1,1,0),IF(tblParticipants[[#This Row],[Asian]]=1,1,0),IF(tblParticipants[[#This Row],[BlkOrAfAmer]]=1,1,0),IF(tblParticipants[[#This Row],[NtvHawOrPacIsl]]=1,1,0),IF(tblParticipants[[#This Row],[White]]=1,1,0))&gt;1,1,0)</f>
        <v>0</v>
      </c>
      <c r="BY47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7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7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70" s="11">
        <f>IF(tblParticipants[[#This Row],[EarnWg2Qae]]=1,IFERROR(tblParticipants[[#This Row],[HoursPerWk2Qae]]*tblParticipants[[#This Row],[HrlyWg2Qae]]*13,0),0)</f>
        <v>0</v>
      </c>
      <c r="CC470" s="11">
        <f>IF(tblParticipants[[#This Row],[EarnWg3Qae]]=1,IFERROR(tblParticipants[[#This Row],[HoursPerWk3Qae]]*tblParticipants[[#This Row],[HrlyWg3Qae]]*13,0),0)</f>
        <v>0</v>
      </c>
      <c r="CD470" s="9">
        <f>IFERROR(IF(SUM(tblParticipants[[#This Row],[EarnWg1Qae]],tblParticipants[[#This Row],[EarnWg2Qae]],tblParticipants[[#This Row],[EarnWg3Qae]])=3,1,0),0)</f>
        <v>0</v>
      </c>
      <c r="CE470" s="12">
        <f>IF(tblParticipants[[#This Row],[EmplAll3Qae]]=1,tblParticipants[[#This Row],[Earnings2Qae]]+tblParticipants[[#This Row],[Earnings3Qae]],0)</f>
        <v>0</v>
      </c>
      <c r="CF470" s="407"/>
    </row>
    <row r="471" spans="1:84" x14ac:dyDescent="0.3">
      <c r="A471" s="19"/>
      <c r="B471" s="19"/>
      <c r="C471" s="20"/>
      <c r="D471" s="20"/>
      <c r="E471" s="26"/>
      <c r="F471" s="26"/>
      <c r="G471" s="26"/>
      <c r="H471" s="26"/>
      <c r="I471" s="26"/>
      <c r="J471" s="26"/>
      <c r="K471" s="26"/>
      <c r="L471" s="26"/>
      <c r="M471" s="20"/>
      <c r="N471" s="26"/>
      <c r="O471" s="22"/>
      <c r="P471" s="21"/>
      <c r="Q471" s="23"/>
      <c r="R471" s="21"/>
      <c r="S471" s="21"/>
      <c r="T471" s="21"/>
      <c r="U471" s="21"/>
      <c r="V471" s="21"/>
      <c r="W471" s="24"/>
      <c r="X471" s="20"/>
      <c r="Y471" s="20"/>
      <c r="Z471" s="21"/>
      <c r="AA471" s="21"/>
      <c r="AB471" s="21"/>
      <c r="AC471" s="21"/>
      <c r="AD471" s="21"/>
      <c r="AE471" s="21"/>
      <c r="AF471" s="21"/>
      <c r="AG471" s="21"/>
      <c r="AH471" s="21"/>
      <c r="AI471" s="25"/>
      <c r="AJ471" s="20"/>
      <c r="AK471" s="21"/>
      <c r="AL471" s="20"/>
      <c r="AM471" s="20"/>
      <c r="AN471" s="20"/>
      <c r="AO471" s="20"/>
      <c r="AP471" s="446"/>
      <c r="AQ471" s="20"/>
      <c r="AR471" s="20"/>
      <c r="AS471" s="20"/>
      <c r="AT471" s="20"/>
      <c r="AU471" s="26"/>
      <c r="AV471" s="98"/>
      <c r="AW471" s="98"/>
      <c r="AX471" s="98"/>
      <c r="AY471" s="98"/>
      <c r="AZ471" s="98"/>
      <c r="BA471" s="217"/>
      <c r="BB471" s="98"/>
      <c r="BC471" s="98"/>
      <c r="BD471" s="98"/>
      <c r="BE471" s="98"/>
      <c r="BF471" s="98"/>
      <c r="BG471" s="219"/>
      <c r="BH471" s="219"/>
      <c r="BI471" s="219"/>
      <c r="BJ471" s="26"/>
      <c r="BK471" s="21"/>
      <c r="BL471" s="21"/>
      <c r="BM471" s="22"/>
      <c r="BN471" s="21"/>
      <c r="BO471" s="21"/>
      <c r="BP471" s="22"/>
      <c r="BQ471" s="21"/>
      <c r="BR471" s="21"/>
      <c r="BS471" s="22"/>
      <c r="BT47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71" s="109" t="str">
        <f>IF(ISNUMBER(tblParticipants[[#This Row],[SvcStartDate]]),IF(AND(tblParticipants[[#This Row],[EnrollQtr]]=1,tblParticipants[[#This Row],[SvcStartDate]]&lt;DATE(conProgYear,7,1)),1,""),"")</f>
        <v/>
      </c>
      <c r="BV47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71" s="232" t="str">
        <f t="shared" ca="1" si="7"/>
        <v/>
      </c>
      <c r="BX471" s="9">
        <f>IF(SUM(IF(tblParticipants[[#This Row],[AmIndOrAkNtv]]=1,1,0),IF(tblParticipants[[#This Row],[Asian]]=1,1,0),IF(tblParticipants[[#This Row],[BlkOrAfAmer]]=1,1,0),IF(tblParticipants[[#This Row],[NtvHawOrPacIsl]]=1,1,0),IF(tblParticipants[[#This Row],[White]]=1,1,0))&gt;1,1,0)</f>
        <v>0</v>
      </c>
      <c r="BY47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7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7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71" s="11">
        <f>IF(tblParticipants[[#This Row],[EarnWg2Qae]]=1,IFERROR(tblParticipants[[#This Row],[HoursPerWk2Qae]]*tblParticipants[[#This Row],[HrlyWg2Qae]]*13,0),0)</f>
        <v>0</v>
      </c>
      <c r="CC471" s="11">
        <f>IF(tblParticipants[[#This Row],[EarnWg3Qae]]=1,IFERROR(tblParticipants[[#This Row],[HoursPerWk3Qae]]*tblParticipants[[#This Row],[HrlyWg3Qae]]*13,0),0)</f>
        <v>0</v>
      </c>
      <c r="CD471" s="9">
        <f>IFERROR(IF(SUM(tblParticipants[[#This Row],[EarnWg1Qae]],tblParticipants[[#This Row],[EarnWg2Qae]],tblParticipants[[#This Row],[EarnWg3Qae]])=3,1,0),0)</f>
        <v>0</v>
      </c>
      <c r="CE471" s="12">
        <f>IF(tblParticipants[[#This Row],[EmplAll3Qae]]=1,tblParticipants[[#This Row],[Earnings2Qae]]+tblParticipants[[#This Row],[Earnings3Qae]],0)</f>
        <v>0</v>
      </c>
      <c r="CF471" s="407"/>
    </row>
    <row r="472" spans="1:84" x14ac:dyDescent="0.3">
      <c r="A472" s="19"/>
      <c r="B472" s="19"/>
      <c r="C472" s="20"/>
      <c r="D472" s="20"/>
      <c r="E472" s="26"/>
      <c r="F472" s="26"/>
      <c r="G472" s="26"/>
      <c r="H472" s="26"/>
      <c r="I472" s="26"/>
      <c r="J472" s="26"/>
      <c r="K472" s="26"/>
      <c r="L472" s="26"/>
      <c r="M472" s="20"/>
      <c r="N472" s="26"/>
      <c r="O472" s="22"/>
      <c r="P472" s="21"/>
      <c r="Q472" s="23"/>
      <c r="R472" s="21"/>
      <c r="S472" s="21"/>
      <c r="T472" s="21"/>
      <c r="U472" s="21"/>
      <c r="V472" s="21"/>
      <c r="W472" s="24"/>
      <c r="X472" s="20"/>
      <c r="Y472" s="20"/>
      <c r="Z472" s="21"/>
      <c r="AA472" s="21"/>
      <c r="AB472" s="21"/>
      <c r="AC472" s="21"/>
      <c r="AD472" s="21"/>
      <c r="AE472" s="21"/>
      <c r="AF472" s="21"/>
      <c r="AG472" s="21"/>
      <c r="AH472" s="21"/>
      <c r="AI472" s="25"/>
      <c r="AJ472" s="20"/>
      <c r="AK472" s="21"/>
      <c r="AL472" s="20"/>
      <c r="AM472" s="20"/>
      <c r="AN472" s="20"/>
      <c r="AO472" s="20"/>
      <c r="AP472" s="446"/>
      <c r="AQ472" s="20"/>
      <c r="AR472" s="20"/>
      <c r="AS472" s="20"/>
      <c r="AT472" s="20"/>
      <c r="AU472" s="26"/>
      <c r="AV472" s="98"/>
      <c r="AW472" s="98"/>
      <c r="AX472" s="98"/>
      <c r="AY472" s="98"/>
      <c r="AZ472" s="98"/>
      <c r="BA472" s="217"/>
      <c r="BB472" s="98"/>
      <c r="BC472" s="98"/>
      <c r="BD472" s="98"/>
      <c r="BE472" s="98"/>
      <c r="BF472" s="98"/>
      <c r="BG472" s="219"/>
      <c r="BH472" s="219"/>
      <c r="BI472" s="219"/>
      <c r="BJ472" s="26"/>
      <c r="BK472" s="21"/>
      <c r="BL472" s="21"/>
      <c r="BM472" s="22"/>
      <c r="BN472" s="21"/>
      <c r="BO472" s="21"/>
      <c r="BP472" s="22"/>
      <c r="BQ472" s="21"/>
      <c r="BR472" s="21"/>
      <c r="BS472" s="22"/>
      <c r="BT47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72" s="109" t="str">
        <f>IF(ISNUMBER(tblParticipants[[#This Row],[SvcStartDate]]),IF(AND(tblParticipants[[#This Row],[EnrollQtr]]=1,tblParticipants[[#This Row],[SvcStartDate]]&lt;DATE(conProgYear,7,1)),1,""),"")</f>
        <v/>
      </c>
      <c r="BV47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72" s="232" t="str">
        <f t="shared" ca="1" si="7"/>
        <v/>
      </c>
      <c r="BX472" s="9">
        <f>IF(SUM(IF(tblParticipants[[#This Row],[AmIndOrAkNtv]]=1,1,0),IF(tblParticipants[[#This Row],[Asian]]=1,1,0),IF(tblParticipants[[#This Row],[BlkOrAfAmer]]=1,1,0),IF(tblParticipants[[#This Row],[NtvHawOrPacIsl]]=1,1,0),IF(tblParticipants[[#This Row],[White]]=1,1,0))&gt;1,1,0)</f>
        <v>0</v>
      </c>
      <c r="BY47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7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7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72" s="11">
        <f>IF(tblParticipants[[#This Row],[EarnWg2Qae]]=1,IFERROR(tblParticipants[[#This Row],[HoursPerWk2Qae]]*tblParticipants[[#This Row],[HrlyWg2Qae]]*13,0),0)</f>
        <v>0</v>
      </c>
      <c r="CC472" s="11">
        <f>IF(tblParticipants[[#This Row],[EarnWg3Qae]]=1,IFERROR(tblParticipants[[#This Row],[HoursPerWk3Qae]]*tblParticipants[[#This Row],[HrlyWg3Qae]]*13,0),0)</f>
        <v>0</v>
      </c>
      <c r="CD472" s="9">
        <f>IFERROR(IF(SUM(tblParticipants[[#This Row],[EarnWg1Qae]],tblParticipants[[#This Row],[EarnWg2Qae]],tblParticipants[[#This Row],[EarnWg3Qae]])=3,1,0),0)</f>
        <v>0</v>
      </c>
      <c r="CE472" s="12">
        <f>IF(tblParticipants[[#This Row],[EmplAll3Qae]]=1,tblParticipants[[#This Row],[Earnings2Qae]]+tblParticipants[[#This Row],[Earnings3Qae]],0)</f>
        <v>0</v>
      </c>
      <c r="CF472" s="407"/>
    </row>
    <row r="473" spans="1:84" x14ac:dyDescent="0.3">
      <c r="A473" s="19"/>
      <c r="B473" s="19"/>
      <c r="C473" s="20"/>
      <c r="D473" s="20"/>
      <c r="E473" s="26"/>
      <c r="F473" s="26"/>
      <c r="G473" s="26"/>
      <c r="H473" s="26"/>
      <c r="I473" s="26"/>
      <c r="J473" s="26"/>
      <c r="K473" s="26"/>
      <c r="L473" s="26"/>
      <c r="M473" s="20"/>
      <c r="N473" s="26"/>
      <c r="O473" s="22"/>
      <c r="P473" s="21"/>
      <c r="Q473" s="23"/>
      <c r="R473" s="21"/>
      <c r="S473" s="21"/>
      <c r="T473" s="21"/>
      <c r="U473" s="21"/>
      <c r="V473" s="21"/>
      <c r="W473" s="24"/>
      <c r="X473" s="20"/>
      <c r="Y473" s="20"/>
      <c r="Z473" s="21"/>
      <c r="AA473" s="21"/>
      <c r="AB473" s="21"/>
      <c r="AC473" s="21"/>
      <c r="AD473" s="21"/>
      <c r="AE473" s="21"/>
      <c r="AF473" s="21"/>
      <c r="AG473" s="21"/>
      <c r="AH473" s="21"/>
      <c r="AI473" s="25"/>
      <c r="AJ473" s="20"/>
      <c r="AK473" s="21"/>
      <c r="AL473" s="20"/>
      <c r="AM473" s="20"/>
      <c r="AN473" s="20"/>
      <c r="AO473" s="20"/>
      <c r="AP473" s="446"/>
      <c r="AQ473" s="20"/>
      <c r="AR473" s="20"/>
      <c r="AS473" s="20"/>
      <c r="AT473" s="20"/>
      <c r="AU473" s="26"/>
      <c r="AV473" s="98"/>
      <c r="AW473" s="98"/>
      <c r="AX473" s="98"/>
      <c r="AY473" s="98"/>
      <c r="AZ473" s="98"/>
      <c r="BA473" s="217"/>
      <c r="BB473" s="98"/>
      <c r="BC473" s="98"/>
      <c r="BD473" s="98"/>
      <c r="BE473" s="98"/>
      <c r="BF473" s="98"/>
      <c r="BG473" s="219"/>
      <c r="BH473" s="219"/>
      <c r="BI473" s="219"/>
      <c r="BJ473" s="26"/>
      <c r="BK473" s="21"/>
      <c r="BL473" s="21"/>
      <c r="BM473" s="22"/>
      <c r="BN473" s="21"/>
      <c r="BO473" s="21"/>
      <c r="BP473" s="22"/>
      <c r="BQ473" s="21"/>
      <c r="BR473" s="21"/>
      <c r="BS473" s="22"/>
      <c r="BT47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73" s="109" t="str">
        <f>IF(ISNUMBER(tblParticipants[[#This Row],[SvcStartDate]]),IF(AND(tblParticipants[[#This Row],[EnrollQtr]]=1,tblParticipants[[#This Row],[SvcStartDate]]&lt;DATE(conProgYear,7,1)),1,""),"")</f>
        <v/>
      </c>
      <c r="BV47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73" s="232" t="str">
        <f t="shared" ca="1" si="7"/>
        <v/>
      </c>
      <c r="BX473" s="9">
        <f>IF(SUM(IF(tblParticipants[[#This Row],[AmIndOrAkNtv]]=1,1,0),IF(tblParticipants[[#This Row],[Asian]]=1,1,0),IF(tblParticipants[[#This Row],[BlkOrAfAmer]]=1,1,0),IF(tblParticipants[[#This Row],[NtvHawOrPacIsl]]=1,1,0),IF(tblParticipants[[#This Row],[White]]=1,1,0))&gt;1,1,0)</f>
        <v>0</v>
      </c>
      <c r="BY47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7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7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73" s="11">
        <f>IF(tblParticipants[[#This Row],[EarnWg2Qae]]=1,IFERROR(tblParticipants[[#This Row],[HoursPerWk2Qae]]*tblParticipants[[#This Row],[HrlyWg2Qae]]*13,0),0)</f>
        <v>0</v>
      </c>
      <c r="CC473" s="11">
        <f>IF(tblParticipants[[#This Row],[EarnWg3Qae]]=1,IFERROR(tblParticipants[[#This Row],[HoursPerWk3Qae]]*tblParticipants[[#This Row],[HrlyWg3Qae]]*13,0),0)</f>
        <v>0</v>
      </c>
      <c r="CD473" s="9">
        <f>IFERROR(IF(SUM(tblParticipants[[#This Row],[EarnWg1Qae]],tblParticipants[[#This Row],[EarnWg2Qae]],tblParticipants[[#This Row],[EarnWg3Qae]])=3,1,0),0)</f>
        <v>0</v>
      </c>
      <c r="CE473" s="12">
        <f>IF(tblParticipants[[#This Row],[EmplAll3Qae]]=1,tblParticipants[[#This Row],[Earnings2Qae]]+tblParticipants[[#This Row],[Earnings3Qae]],0)</f>
        <v>0</v>
      </c>
      <c r="CF473" s="407"/>
    </row>
    <row r="474" spans="1:84" x14ac:dyDescent="0.3">
      <c r="A474" s="19"/>
      <c r="B474" s="19"/>
      <c r="C474" s="20"/>
      <c r="D474" s="20"/>
      <c r="E474" s="26"/>
      <c r="F474" s="26"/>
      <c r="G474" s="26"/>
      <c r="H474" s="26"/>
      <c r="I474" s="26"/>
      <c r="J474" s="26"/>
      <c r="K474" s="26"/>
      <c r="L474" s="26"/>
      <c r="M474" s="20"/>
      <c r="N474" s="26"/>
      <c r="O474" s="22"/>
      <c r="P474" s="21"/>
      <c r="Q474" s="23"/>
      <c r="R474" s="21"/>
      <c r="S474" s="21"/>
      <c r="T474" s="21"/>
      <c r="U474" s="21"/>
      <c r="V474" s="21"/>
      <c r="W474" s="24"/>
      <c r="X474" s="20"/>
      <c r="Y474" s="20"/>
      <c r="Z474" s="21"/>
      <c r="AA474" s="21"/>
      <c r="AB474" s="21"/>
      <c r="AC474" s="21"/>
      <c r="AD474" s="21"/>
      <c r="AE474" s="21"/>
      <c r="AF474" s="21"/>
      <c r="AG474" s="21"/>
      <c r="AH474" s="21"/>
      <c r="AI474" s="25"/>
      <c r="AJ474" s="20"/>
      <c r="AK474" s="21"/>
      <c r="AL474" s="20"/>
      <c r="AM474" s="20"/>
      <c r="AN474" s="20"/>
      <c r="AO474" s="20"/>
      <c r="AP474" s="446"/>
      <c r="AQ474" s="20"/>
      <c r="AR474" s="20"/>
      <c r="AS474" s="20"/>
      <c r="AT474" s="20"/>
      <c r="AU474" s="26"/>
      <c r="AV474" s="98"/>
      <c r="AW474" s="98"/>
      <c r="AX474" s="98"/>
      <c r="AY474" s="98"/>
      <c r="AZ474" s="98"/>
      <c r="BA474" s="217"/>
      <c r="BB474" s="98"/>
      <c r="BC474" s="98"/>
      <c r="BD474" s="98"/>
      <c r="BE474" s="98"/>
      <c r="BF474" s="98"/>
      <c r="BG474" s="219"/>
      <c r="BH474" s="219"/>
      <c r="BI474" s="219"/>
      <c r="BJ474" s="26"/>
      <c r="BK474" s="21"/>
      <c r="BL474" s="21"/>
      <c r="BM474" s="22"/>
      <c r="BN474" s="21"/>
      <c r="BO474" s="21"/>
      <c r="BP474" s="22"/>
      <c r="BQ474" s="21"/>
      <c r="BR474" s="21"/>
      <c r="BS474" s="22"/>
      <c r="BT47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74" s="109" t="str">
        <f>IF(ISNUMBER(tblParticipants[[#This Row],[SvcStartDate]]),IF(AND(tblParticipants[[#This Row],[EnrollQtr]]=1,tblParticipants[[#This Row],[SvcStartDate]]&lt;DATE(conProgYear,7,1)),1,""),"")</f>
        <v/>
      </c>
      <c r="BV47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74" s="232" t="str">
        <f t="shared" ca="1" si="7"/>
        <v/>
      </c>
      <c r="BX474" s="9">
        <f>IF(SUM(IF(tblParticipants[[#This Row],[AmIndOrAkNtv]]=1,1,0),IF(tblParticipants[[#This Row],[Asian]]=1,1,0),IF(tblParticipants[[#This Row],[BlkOrAfAmer]]=1,1,0),IF(tblParticipants[[#This Row],[NtvHawOrPacIsl]]=1,1,0),IF(tblParticipants[[#This Row],[White]]=1,1,0))&gt;1,1,0)</f>
        <v>0</v>
      </c>
      <c r="BY47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7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7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74" s="11">
        <f>IF(tblParticipants[[#This Row],[EarnWg2Qae]]=1,IFERROR(tblParticipants[[#This Row],[HoursPerWk2Qae]]*tblParticipants[[#This Row],[HrlyWg2Qae]]*13,0),0)</f>
        <v>0</v>
      </c>
      <c r="CC474" s="11">
        <f>IF(tblParticipants[[#This Row],[EarnWg3Qae]]=1,IFERROR(tblParticipants[[#This Row],[HoursPerWk3Qae]]*tblParticipants[[#This Row],[HrlyWg3Qae]]*13,0),0)</f>
        <v>0</v>
      </c>
      <c r="CD474" s="9">
        <f>IFERROR(IF(SUM(tblParticipants[[#This Row],[EarnWg1Qae]],tblParticipants[[#This Row],[EarnWg2Qae]],tblParticipants[[#This Row],[EarnWg3Qae]])=3,1,0),0)</f>
        <v>0</v>
      </c>
      <c r="CE474" s="12">
        <f>IF(tblParticipants[[#This Row],[EmplAll3Qae]]=1,tblParticipants[[#This Row],[Earnings2Qae]]+tblParticipants[[#This Row],[Earnings3Qae]],0)</f>
        <v>0</v>
      </c>
      <c r="CF474" s="407"/>
    </row>
    <row r="475" spans="1:84" x14ac:dyDescent="0.3">
      <c r="A475" s="19"/>
      <c r="B475" s="19"/>
      <c r="C475" s="20"/>
      <c r="D475" s="20"/>
      <c r="E475" s="26"/>
      <c r="F475" s="26"/>
      <c r="G475" s="26"/>
      <c r="H475" s="26"/>
      <c r="I475" s="26"/>
      <c r="J475" s="26"/>
      <c r="K475" s="26"/>
      <c r="L475" s="26"/>
      <c r="M475" s="20"/>
      <c r="N475" s="26"/>
      <c r="O475" s="22"/>
      <c r="P475" s="21"/>
      <c r="Q475" s="23"/>
      <c r="R475" s="21"/>
      <c r="S475" s="21"/>
      <c r="T475" s="21"/>
      <c r="U475" s="21"/>
      <c r="V475" s="21"/>
      <c r="W475" s="24"/>
      <c r="X475" s="20"/>
      <c r="Y475" s="20"/>
      <c r="Z475" s="21"/>
      <c r="AA475" s="21"/>
      <c r="AB475" s="21"/>
      <c r="AC475" s="21"/>
      <c r="AD475" s="21"/>
      <c r="AE475" s="21"/>
      <c r="AF475" s="21"/>
      <c r="AG475" s="21"/>
      <c r="AH475" s="21"/>
      <c r="AI475" s="25"/>
      <c r="AJ475" s="20"/>
      <c r="AK475" s="21"/>
      <c r="AL475" s="20"/>
      <c r="AM475" s="20"/>
      <c r="AN475" s="20"/>
      <c r="AO475" s="20"/>
      <c r="AP475" s="446"/>
      <c r="AQ475" s="20"/>
      <c r="AR475" s="20"/>
      <c r="AS475" s="20"/>
      <c r="AT475" s="20"/>
      <c r="AU475" s="26"/>
      <c r="AV475" s="98"/>
      <c r="AW475" s="98"/>
      <c r="AX475" s="98"/>
      <c r="AY475" s="98"/>
      <c r="AZ475" s="98"/>
      <c r="BA475" s="217"/>
      <c r="BB475" s="98"/>
      <c r="BC475" s="98"/>
      <c r="BD475" s="98"/>
      <c r="BE475" s="98"/>
      <c r="BF475" s="98"/>
      <c r="BG475" s="219"/>
      <c r="BH475" s="219"/>
      <c r="BI475" s="219"/>
      <c r="BJ475" s="26"/>
      <c r="BK475" s="21"/>
      <c r="BL475" s="21"/>
      <c r="BM475" s="22"/>
      <c r="BN475" s="21"/>
      <c r="BO475" s="21"/>
      <c r="BP475" s="22"/>
      <c r="BQ475" s="21"/>
      <c r="BR475" s="21"/>
      <c r="BS475" s="22"/>
      <c r="BT47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75" s="109" t="str">
        <f>IF(ISNUMBER(tblParticipants[[#This Row],[SvcStartDate]]),IF(AND(tblParticipants[[#This Row],[EnrollQtr]]=1,tblParticipants[[#This Row],[SvcStartDate]]&lt;DATE(conProgYear,7,1)),1,""),"")</f>
        <v/>
      </c>
      <c r="BV47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75" s="232" t="str">
        <f t="shared" ca="1" si="7"/>
        <v/>
      </c>
      <c r="BX475" s="9">
        <f>IF(SUM(IF(tblParticipants[[#This Row],[AmIndOrAkNtv]]=1,1,0),IF(tblParticipants[[#This Row],[Asian]]=1,1,0),IF(tblParticipants[[#This Row],[BlkOrAfAmer]]=1,1,0),IF(tblParticipants[[#This Row],[NtvHawOrPacIsl]]=1,1,0),IF(tblParticipants[[#This Row],[White]]=1,1,0))&gt;1,1,0)</f>
        <v>0</v>
      </c>
      <c r="BY47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7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7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75" s="11">
        <f>IF(tblParticipants[[#This Row],[EarnWg2Qae]]=1,IFERROR(tblParticipants[[#This Row],[HoursPerWk2Qae]]*tblParticipants[[#This Row],[HrlyWg2Qae]]*13,0),0)</f>
        <v>0</v>
      </c>
      <c r="CC475" s="11">
        <f>IF(tblParticipants[[#This Row],[EarnWg3Qae]]=1,IFERROR(tblParticipants[[#This Row],[HoursPerWk3Qae]]*tblParticipants[[#This Row],[HrlyWg3Qae]]*13,0),0)</f>
        <v>0</v>
      </c>
      <c r="CD475" s="9">
        <f>IFERROR(IF(SUM(tblParticipants[[#This Row],[EarnWg1Qae]],tblParticipants[[#This Row],[EarnWg2Qae]],tblParticipants[[#This Row],[EarnWg3Qae]])=3,1,0),0)</f>
        <v>0</v>
      </c>
      <c r="CE475" s="12">
        <f>IF(tblParticipants[[#This Row],[EmplAll3Qae]]=1,tblParticipants[[#This Row],[Earnings2Qae]]+tblParticipants[[#This Row],[Earnings3Qae]],0)</f>
        <v>0</v>
      </c>
      <c r="CF475" s="407"/>
    </row>
    <row r="476" spans="1:84" x14ac:dyDescent="0.3">
      <c r="A476" s="19"/>
      <c r="B476" s="19"/>
      <c r="C476" s="20"/>
      <c r="D476" s="20"/>
      <c r="E476" s="26"/>
      <c r="F476" s="26"/>
      <c r="G476" s="26"/>
      <c r="H476" s="26"/>
      <c r="I476" s="26"/>
      <c r="J476" s="26"/>
      <c r="K476" s="26"/>
      <c r="L476" s="26"/>
      <c r="M476" s="20"/>
      <c r="N476" s="26"/>
      <c r="O476" s="22"/>
      <c r="P476" s="21"/>
      <c r="Q476" s="23"/>
      <c r="R476" s="21"/>
      <c r="S476" s="21"/>
      <c r="T476" s="21"/>
      <c r="U476" s="21"/>
      <c r="V476" s="21"/>
      <c r="W476" s="24"/>
      <c r="X476" s="20"/>
      <c r="Y476" s="20"/>
      <c r="Z476" s="21"/>
      <c r="AA476" s="21"/>
      <c r="AB476" s="21"/>
      <c r="AC476" s="21"/>
      <c r="AD476" s="21"/>
      <c r="AE476" s="21"/>
      <c r="AF476" s="21"/>
      <c r="AG476" s="21"/>
      <c r="AH476" s="21"/>
      <c r="AI476" s="25"/>
      <c r="AJ476" s="20"/>
      <c r="AK476" s="21"/>
      <c r="AL476" s="20"/>
      <c r="AM476" s="20"/>
      <c r="AN476" s="20"/>
      <c r="AO476" s="20"/>
      <c r="AP476" s="446"/>
      <c r="AQ476" s="20"/>
      <c r="AR476" s="20"/>
      <c r="AS476" s="20"/>
      <c r="AT476" s="20"/>
      <c r="AU476" s="26"/>
      <c r="AV476" s="98"/>
      <c r="AW476" s="98"/>
      <c r="AX476" s="98"/>
      <c r="AY476" s="98"/>
      <c r="AZ476" s="98"/>
      <c r="BA476" s="217"/>
      <c r="BB476" s="98"/>
      <c r="BC476" s="98"/>
      <c r="BD476" s="98"/>
      <c r="BE476" s="98"/>
      <c r="BF476" s="98"/>
      <c r="BG476" s="219"/>
      <c r="BH476" s="219"/>
      <c r="BI476" s="219"/>
      <c r="BJ476" s="26"/>
      <c r="BK476" s="21"/>
      <c r="BL476" s="21"/>
      <c r="BM476" s="22"/>
      <c r="BN476" s="21"/>
      <c r="BO476" s="21"/>
      <c r="BP476" s="22"/>
      <c r="BQ476" s="21"/>
      <c r="BR476" s="21"/>
      <c r="BS476" s="22"/>
      <c r="BT47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76" s="109" t="str">
        <f>IF(ISNUMBER(tblParticipants[[#This Row],[SvcStartDate]]),IF(AND(tblParticipants[[#This Row],[EnrollQtr]]=1,tblParticipants[[#This Row],[SvcStartDate]]&lt;DATE(conProgYear,7,1)),1,""),"")</f>
        <v/>
      </c>
      <c r="BV47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76" s="232" t="str">
        <f t="shared" ca="1" si="7"/>
        <v/>
      </c>
      <c r="BX476" s="9">
        <f>IF(SUM(IF(tblParticipants[[#This Row],[AmIndOrAkNtv]]=1,1,0),IF(tblParticipants[[#This Row],[Asian]]=1,1,0),IF(tblParticipants[[#This Row],[BlkOrAfAmer]]=1,1,0),IF(tblParticipants[[#This Row],[NtvHawOrPacIsl]]=1,1,0),IF(tblParticipants[[#This Row],[White]]=1,1,0))&gt;1,1,0)</f>
        <v>0</v>
      </c>
      <c r="BY47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7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7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76" s="11">
        <f>IF(tblParticipants[[#This Row],[EarnWg2Qae]]=1,IFERROR(tblParticipants[[#This Row],[HoursPerWk2Qae]]*tblParticipants[[#This Row],[HrlyWg2Qae]]*13,0),0)</f>
        <v>0</v>
      </c>
      <c r="CC476" s="11">
        <f>IF(tblParticipants[[#This Row],[EarnWg3Qae]]=1,IFERROR(tblParticipants[[#This Row],[HoursPerWk3Qae]]*tblParticipants[[#This Row],[HrlyWg3Qae]]*13,0),0)</f>
        <v>0</v>
      </c>
      <c r="CD476" s="9">
        <f>IFERROR(IF(SUM(tblParticipants[[#This Row],[EarnWg1Qae]],tblParticipants[[#This Row],[EarnWg2Qae]],tblParticipants[[#This Row],[EarnWg3Qae]])=3,1,0),0)</f>
        <v>0</v>
      </c>
      <c r="CE476" s="12">
        <f>IF(tblParticipants[[#This Row],[EmplAll3Qae]]=1,tblParticipants[[#This Row],[Earnings2Qae]]+tblParticipants[[#This Row],[Earnings3Qae]],0)</f>
        <v>0</v>
      </c>
      <c r="CF476" s="407"/>
    </row>
    <row r="477" spans="1:84" x14ac:dyDescent="0.3">
      <c r="A477" s="19"/>
      <c r="B477" s="19"/>
      <c r="C477" s="20"/>
      <c r="D477" s="20"/>
      <c r="E477" s="26"/>
      <c r="F477" s="26"/>
      <c r="G477" s="26"/>
      <c r="H477" s="26"/>
      <c r="I477" s="26"/>
      <c r="J477" s="26"/>
      <c r="K477" s="26"/>
      <c r="L477" s="26"/>
      <c r="M477" s="20"/>
      <c r="N477" s="26"/>
      <c r="O477" s="22"/>
      <c r="P477" s="21"/>
      <c r="Q477" s="23"/>
      <c r="R477" s="21"/>
      <c r="S477" s="21"/>
      <c r="T477" s="21"/>
      <c r="U477" s="21"/>
      <c r="V477" s="21"/>
      <c r="W477" s="24"/>
      <c r="X477" s="20"/>
      <c r="Y477" s="20"/>
      <c r="Z477" s="21"/>
      <c r="AA477" s="21"/>
      <c r="AB477" s="21"/>
      <c r="AC477" s="21"/>
      <c r="AD477" s="21"/>
      <c r="AE477" s="21"/>
      <c r="AF477" s="21"/>
      <c r="AG477" s="21"/>
      <c r="AH477" s="21"/>
      <c r="AI477" s="25"/>
      <c r="AJ477" s="20"/>
      <c r="AK477" s="21"/>
      <c r="AL477" s="20"/>
      <c r="AM477" s="20"/>
      <c r="AN477" s="20"/>
      <c r="AO477" s="20"/>
      <c r="AP477" s="446"/>
      <c r="AQ477" s="20"/>
      <c r="AR477" s="20"/>
      <c r="AS477" s="20"/>
      <c r="AT477" s="20"/>
      <c r="AU477" s="26"/>
      <c r="AV477" s="98"/>
      <c r="AW477" s="98"/>
      <c r="AX477" s="98"/>
      <c r="AY477" s="98"/>
      <c r="AZ477" s="98"/>
      <c r="BA477" s="217"/>
      <c r="BB477" s="98"/>
      <c r="BC477" s="98"/>
      <c r="BD477" s="98"/>
      <c r="BE477" s="98"/>
      <c r="BF477" s="98"/>
      <c r="BG477" s="219"/>
      <c r="BH477" s="219"/>
      <c r="BI477" s="219"/>
      <c r="BJ477" s="26"/>
      <c r="BK477" s="21"/>
      <c r="BL477" s="21"/>
      <c r="BM477" s="22"/>
      <c r="BN477" s="21"/>
      <c r="BO477" s="21"/>
      <c r="BP477" s="22"/>
      <c r="BQ477" s="21"/>
      <c r="BR477" s="21"/>
      <c r="BS477" s="22"/>
      <c r="BT47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77" s="109" t="str">
        <f>IF(ISNUMBER(tblParticipants[[#This Row],[SvcStartDate]]),IF(AND(tblParticipants[[#This Row],[EnrollQtr]]=1,tblParticipants[[#This Row],[SvcStartDate]]&lt;DATE(conProgYear,7,1)),1,""),"")</f>
        <v/>
      </c>
      <c r="BV47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77" s="232" t="str">
        <f t="shared" ca="1" si="7"/>
        <v/>
      </c>
      <c r="BX477" s="9">
        <f>IF(SUM(IF(tblParticipants[[#This Row],[AmIndOrAkNtv]]=1,1,0),IF(tblParticipants[[#This Row],[Asian]]=1,1,0),IF(tblParticipants[[#This Row],[BlkOrAfAmer]]=1,1,0),IF(tblParticipants[[#This Row],[NtvHawOrPacIsl]]=1,1,0),IF(tblParticipants[[#This Row],[White]]=1,1,0))&gt;1,1,0)</f>
        <v>0</v>
      </c>
      <c r="BY47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7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7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77" s="11">
        <f>IF(tblParticipants[[#This Row],[EarnWg2Qae]]=1,IFERROR(tblParticipants[[#This Row],[HoursPerWk2Qae]]*tblParticipants[[#This Row],[HrlyWg2Qae]]*13,0),0)</f>
        <v>0</v>
      </c>
      <c r="CC477" s="11">
        <f>IF(tblParticipants[[#This Row],[EarnWg3Qae]]=1,IFERROR(tblParticipants[[#This Row],[HoursPerWk3Qae]]*tblParticipants[[#This Row],[HrlyWg3Qae]]*13,0),0)</f>
        <v>0</v>
      </c>
      <c r="CD477" s="9">
        <f>IFERROR(IF(SUM(tblParticipants[[#This Row],[EarnWg1Qae]],tblParticipants[[#This Row],[EarnWg2Qae]],tblParticipants[[#This Row],[EarnWg3Qae]])=3,1,0),0)</f>
        <v>0</v>
      </c>
      <c r="CE477" s="12">
        <f>IF(tblParticipants[[#This Row],[EmplAll3Qae]]=1,tblParticipants[[#This Row],[Earnings2Qae]]+tblParticipants[[#This Row],[Earnings3Qae]],0)</f>
        <v>0</v>
      </c>
      <c r="CF477" s="407"/>
    </row>
    <row r="478" spans="1:84" x14ac:dyDescent="0.3">
      <c r="A478" s="19"/>
      <c r="B478" s="19"/>
      <c r="C478" s="20"/>
      <c r="D478" s="20"/>
      <c r="E478" s="26"/>
      <c r="F478" s="26"/>
      <c r="G478" s="26"/>
      <c r="H478" s="26"/>
      <c r="I478" s="26"/>
      <c r="J478" s="26"/>
      <c r="K478" s="26"/>
      <c r="L478" s="26"/>
      <c r="M478" s="20"/>
      <c r="N478" s="26"/>
      <c r="O478" s="22"/>
      <c r="P478" s="21"/>
      <c r="Q478" s="23"/>
      <c r="R478" s="21"/>
      <c r="S478" s="21"/>
      <c r="T478" s="21"/>
      <c r="U478" s="21"/>
      <c r="V478" s="21"/>
      <c r="W478" s="24"/>
      <c r="X478" s="20"/>
      <c r="Y478" s="20"/>
      <c r="Z478" s="21"/>
      <c r="AA478" s="21"/>
      <c r="AB478" s="21"/>
      <c r="AC478" s="21"/>
      <c r="AD478" s="21"/>
      <c r="AE478" s="21"/>
      <c r="AF478" s="21"/>
      <c r="AG478" s="21"/>
      <c r="AH478" s="21"/>
      <c r="AI478" s="25"/>
      <c r="AJ478" s="20"/>
      <c r="AK478" s="21"/>
      <c r="AL478" s="20"/>
      <c r="AM478" s="20"/>
      <c r="AN478" s="20"/>
      <c r="AO478" s="20"/>
      <c r="AP478" s="446"/>
      <c r="AQ478" s="20"/>
      <c r="AR478" s="20"/>
      <c r="AS478" s="20"/>
      <c r="AT478" s="20"/>
      <c r="AU478" s="26"/>
      <c r="AV478" s="98"/>
      <c r="AW478" s="98"/>
      <c r="AX478" s="98"/>
      <c r="AY478" s="98"/>
      <c r="AZ478" s="98"/>
      <c r="BA478" s="217"/>
      <c r="BB478" s="98"/>
      <c r="BC478" s="98"/>
      <c r="BD478" s="98"/>
      <c r="BE478" s="98"/>
      <c r="BF478" s="98"/>
      <c r="BG478" s="219"/>
      <c r="BH478" s="219"/>
      <c r="BI478" s="219"/>
      <c r="BJ478" s="26"/>
      <c r="BK478" s="21"/>
      <c r="BL478" s="21"/>
      <c r="BM478" s="22"/>
      <c r="BN478" s="21"/>
      <c r="BO478" s="21"/>
      <c r="BP478" s="22"/>
      <c r="BQ478" s="21"/>
      <c r="BR478" s="21"/>
      <c r="BS478" s="22"/>
      <c r="BT47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78" s="109" t="str">
        <f>IF(ISNUMBER(tblParticipants[[#This Row],[SvcStartDate]]),IF(AND(tblParticipants[[#This Row],[EnrollQtr]]=1,tblParticipants[[#This Row],[SvcStartDate]]&lt;DATE(conProgYear,7,1)),1,""),"")</f>
        <v/>
      </c>
      <c r="BV47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78" s="232" t="str">
        <f t="shared" ca="1" si="7"/>
        <v/>
      </c>
      <c r="BX478" s="9">
        <f>IF(SUM(IF(tblParticipants[[#This Row],[AmIndOrAkNtv]]=1,1,0),IF(tblParticipants[[#This Row],[Asian]]=1,1,0),IF(tblParticipants[[#This Row],[BlkOrAfAmer]]=1,1,0),IF(tblParticipants[[#This Row],[NtvHawOrPacIsl]]=1,1,0),IF(tblParticipants[[#This Row],[White]]=1,1,0))&gt;1,1,0)</f>
        <v>0</v>
      </c>
      <c r="BY47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7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7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78" s="11">
        <f>IF(tblParticipants[[#This Row],[EarnWg2Qae]]=1,IFERROR(tblParticipants[[#This Row],[HoursPerWk2Qae]]*tblParticipants[[#This Row],[HrlyWg2Qae]]*13,0),0)</f>
        <v>0</v>
      </c>
      <c r="CC478" s="11">
        <f>IF(tblParticipants[[#This Row],[EarnWg3Qae]]=1,IFERROR(tblParticipants[[#This Row],[HoursPerWk3Qae]]*tblParticipants[[#This Row],[HrlyWg3Qae]]*13,0),0)</f>
        <v>0</v>
      </c>
      <c r="CD478" s="9">
        <f>IFERROR(IF(SUM(tblParticipants[[#This Row],[EarnWg1Qae]],tblParticipants[[#This Row],[EarnWg2Qae]],tblParticipants[[#This Row],[EarnWg3Qae]])=3,1,0),0)</f>
        <v>0</v>
      </c>
      <c r="CE478" s="12">
        <f>IF(tblParticipants[[#This Row],[EmplAll3Qae]]=1,tblParticipants[[#This Row],[Earnings2Qae]]+tblParticipants[[#This Row],[Earnings3Qae]],0)</f>
        <v>0</v>
      </c>
      <c r="CF478" s="407"/>
    </row>
    <row r="479" spans="1:84" x14ac:dyDescent="0.3">
      <c r="A479" s="19"/>
      <c r="B479" s="19"/>
      <c r="C479" s="20"/>
      <c r="D479" s="20"/>
      <c r="E479" s="26"/>
      <c r="F479" s="26"/>
      <c r="G479" s="26"/>
      <c r="H479" s="26"/>
      <c r="I479" s="26"/>
      <c r="J479" s="26"/>
      <c r="K479" s="26"/>
      <c r="L479" s="26"/>
      <c r="M479" s="20"/>
      <c r="N479" s="26"/>
      <c r="O479" s="22"/>
      <c r="P479" s="21"/>
      <c r="Q479" s="23"/>
      <c r="R479" s="21"/>
      <c r="S479" s="21"/>
      <c r="T479" s="21"/>
      <c r="U479" s="21"/>
      <c r="V479" s="21"/>
      <c r="W479" s="24"/>
      <c r="X479" s="20"/>
      <c r="Y479" s="20"/>
      <c r="Z479" s="21"/>
      <c r="AA479" s="21"/>
      <c r="AB479" s="21"/>
      <c r="AC479" s="21"/>
      <c r="AD479" s="21"/>
      <c r="AE479" s="21"/>
      <c r="AF479" s="21"/>
      <c r="AG479" s="21"/>
      <c r="AH479" s="21"/>
      <c r="AI479" s="25"/>
      <c r="AJ479" s="20"/>
      <c r="AK479" s="21"/>
      <c r="AL479" s="20"/>
      <c r="AM479" s="20"/>
      <c r="AN479" s="20"/>
      <c r="AO479" s="20"/>
      <c r="AP479" s="446"/>
      <c r="AQ479" s="20"/>
      <c r="AR479" s="20"/>
      <c r="AS479" s="20"/>
      <c r="AT479" s="20"/>
      <c r="AU479" s="26"/>
      <c r="AV479" s="98"/>
      <c r="AW479" s="98"/>
      <c r="AX479" s="98"/>
      <c r="AY479" s="98"/>
      <c r="AZ479" s="98"/>
      <c r="BA479" s="217"/>
      <c r="BB479" s="98"/>
      <c r="BC479" s="98"/>
      <c r="BD479" s="98"/>
      <c r="BE479" s="98"/>
      <c r="BF479" s="98"/>
      <c r="BG479" s="219"/>
      <c r="BH479" s="219"/>
      <c r="BI479" s="219"/>
      <c r="BJ479" s="26"/>
      <c r="BK479" s="21"/>
      <c r="BL479" s="21"/>
      <c r="BM479" s="22"/>
      <c r="BN479" s="21"/>
      <c r="BO479" s="21"/>
      <c r="BP479" s="22"/>
      <c r="BQ479" s="21"/>
      <c r="BR479" s="21"/>
      <c r="BS479" s="22"/>
      <c r="BT47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79" s="109" t="str">
        <f>IF(ISNUMBER(tblParticipants[[#This Row],[SvcStartDate]]),IF(AND(tblParticipants[[#This Row],[EnrollQtr]]=1,tblParticipants[[#This Row],[SvcStartDate]]&lt;DATE(conProgYear,7,1)),1,""),"")</f>
        <v/>
      </c>
      <c r="BV47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79" s="232" t="str">
        <f t="shared" ca="1" si="7"/>
        <v/>
      </c>
      <c r="BX479" s="9">
        <f>IF(SUM(IF(tblParticipants[[#This Row],[AmIndOrAkNtv]]=1,1,0),IF(tblParticipants[[#This Row],[Asian]]=1,1,0),IF(tblParticipants[[#This Row],[BlkOrAfAmer]]=1,1,0),IF(tblParticipants[[#This Row],[NtvHawOrPacIsl]]=1,1,0),IF(tblParticipants[[#This Row],[White]]=1,1,0))&gt;1,1,0)</f>
        <v>0</v>
      </c>
      <c r="BY47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7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7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79" s="11">
        <f>IF(tblParticipants[[#This Row],[EarnWg2Qae]]=1,IFERROR(tblParticipants[[#This Row],[HoursPerWk2Qae]]*tblParticipants[[#This Row],[HrlyWg2Qae]]*13,0),0)</f>
        <v>0</v>
      </c>
      <c r="CC479" s="11">
        <f>IF(tblParticipants[[#This Row],[EarnWg3Qae]]=1,IFERROR(tblParticipants[[#This Row],[HoursPerWk3Qae]]*tblParticipants[[#This Row],[HrlyWg3Qae]]*13,0),0)</f>
        <v>0</v>
      </c>
      <c r="CD479" s="9">
        <f>IFERROR(IF(SUM(tblParticipants[[#This Row],[EarnWg1Qae]],tblParticipants[[#This Row],[EarnWg2Qae]],tblParticipants[[#This Row],[EarnWg3Qae]])=3,1,0),0)</f>
        <v>0</v>
      </c>
      <c r="CE479" s="12">
        <f>IF(tblParticipants[[#This Row],[EmplAll3Qae]]=1,tblParticipants[[#This Row],[Earnings2Qae]]+tblParticipants[[#This Row],[Earnings3Qae]],0)</f>
        <v>0</v>
      </c>
      <c r="CF479" s="407"/>
    </row>
    <row r="480" spans="1:84" x14ac:dyDescent="0.3">
      <c r="A480" s="19"/>
      <c r="B480" s="19"/>
      <c r="C480" s="20"/>
      <c r="D480" s="20"/>
      <c r="E480" s="26"/>
      <c r="F480" s="26"/>
      <c r="G480" s="26"/>
      <c r="H480" s="26"/>
      <c r="I480" s="26"/>
      <c r="J480" s="26"/>
      <c r="K480" s="26"/>
      <c r="L480" s="26"/>
      <c r="M480" s="20"/>
      <c r="N480" s="26"/>
      <c r="O480" s="22"/>
      <c r="P480" s="21"/>
      <c r="Q480" s="23"/>
      <c r="R480" s="21"/>
      <c r="S480" s="21"/>
      <c r="T480" s="21"/>
      <c r="U480" s="21"/>
      <c r="V480" s="21"/>
      <c r="W480" s="24"/>
      <c r="X480" s="20"/>
      <c r="Y480" s="20"/>
      <c r="Z480" s="21"/>
      <c r="AA480" s="21"/>
      <c r="AB480" s="21"/>
      <c r="AC480" s="21"/>
      <c r="AD480" s="21"/>
      <c r="AE480" s="21"/>
      <c r="AF480" s="21"/>
      <c r="AG480" s="21"/>
      <c r="AH480" s="21"/>
      <c r="AI480" s="25"/>
      <c r="AJ480" s="20"/>
      <c r="AK480" s="21"/>
      <c r="AL480" s="20"/>
      <c r="AM480" s="20"/>
      <c r="AN480" s="20"/>
      <c r="AO480" s="20"/>
      <c r="AP480" s="446"/>
      <c r="AQ480" s="20"/>
      <c r="AR480" s="20"/>
      <c r="AS480" s="20"/>
      <c r="AT480" s="20"/>
      <c r="AU480" s="26"/>
      <c r="AV480" s="98"/>
      <c r="AW480" s="98"/>
      <c r="AX480" s="98"/>
      <c r="AY480" s="98"/>
      <c r="AZ480" s="98"/>
      <c r="BA480" s="217"/>
      <c r="BB480" s="98"/>
      <c r="BC480" s="98"/>
      <c r="BD480" s="98"/>
      <c r="BE480" s="98"/>
      <c r="BF480" s="98"/>
      <c r="BG480" s="219"/>
      <c r="BH480" s="219"/>
      <c r="BI480" s="219"/>
      <c r="BJ480" s="26"/>
      <c r="BK480" s="21"/>
      <c r="BL480" s="21"/>
      <c r="BM480" s="22"/>
      <c r="BN480" s="21"/>
      <c r="BO480" s="21"/>
      <c r="BP480" s="22"/>
      <c r="BQ480" s="21"/>
      <c r="BR480" s="21"/>
      <c r="BS480" s="22"/>
      <c r="BT48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80" s="109" t="str">
        <f>IF(ISNUMBER(tblParticipants[[#This Row],[SvcStartDate]]),IF(AND(tblParticipants[[#This Row],[EnrollQtr]]=1,tblParticipants[[#This Row],[SvcStartDate]]&lt;DATE(conProgYear,7,1)),1,""),"")</f>
        <v/>
      </c>
      <c r="BV48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80" s="232" t="str">
        <f t="shared" ca="1" si="7"/>
        <v/>
      </c>
      <c r="BX480" s="9">
        <f>IF(SUM(IF(tblParticipants[[#This Row],[AmIndOrAkNtv]]=1,1,0),IF(tblParticipants[[#This Row],[Asian]]=1,1,0),IF(tblParticipants[[#This Row],[BlkOrAfAmer]]=1,1,0),IF(tblParticipants[[#This Row],[NtvHawOrPacIsl]]=1,1,0),IF(tblParticipants[[#This Row],[White]]=1,1,0))&gt;1,1,0)</f>
        <v>0</v>
      </c>
      <c r="BY48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8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8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80" s="11">
        <f>IF(tblParticipants[[#This Row],[EarnWg2Qae]]=1,IFERROR(tblParticipants[[#This Row],[HoursPerWk2Qae]]*tblParticipants[[#This Row],[HrlyWg2Qae]]*13,0),0)</f>
        <v>0</v>
      </c>
      <c r="CC480" s="11">
        <f>IF(tblParticipants[[#This Row],[EarnWg3Qae]]=1,IFERROR(tblParticipants[[#This Row],[HoursPerWk3Qae]]*tblParticipants[[#This Row],[HrlyWg3Qae]]*13,0),0)</f>
        <v>0</v>
      </c>
      <c r="CD480" s="9">
        <f>IFERROR(IF(SUM(tblParticipants[[#This Row],[EarnWg1Qae]],tblParticipants[[#This Row],[EarnWg2Qae]],tblParticipants[[#This Row],[EarnWg3Qae]])=3,1,0),0)</f>
        <v>0</v>
      </c>
      <c r="CE480" s="12">
        <f>IF(tblParticipants[[#This Row],[EmplAll3Qae]]=1,tblParticipants[[#This Row],[Earnings2Qae]]+tblParticipants[[#This Row],[Earnings3Qae]],0)</f>
        <v>0</v>
      </c>
      <c r="CF480" s="407"/>
    </row>
    <row r="481" spans="1:84" x14ac:dyDescent="0.3">
      <c r="A481" s="19"/>
      <c r="B481" s="19"/>
      <c r="C481" s="20"/>
      <c r="D481" s="20"/>
      <c r="E481" s="26"/>
      <c r="F481" s="26"/>
      <c r="G481" s="26"/>
      <c r="H481" s="26"/>
      <c r="I481" s="26"/>
      <c r="J481" s="26"/>
      <c r="K481" s="26"/>
      <c r="L481" s="26"/>
      <c r="M481" s="20"/>
      <c r="N481" s="26"/>
      <c r="O481" s="22"/>
      <c r="P481" s="21"/>
      <c r="Q481" s="23"/>
      <c r="R481" s="21"/>
      <c r="S481" s="21"/>
      <c r="T481" s="21"/>
      <c r="U481" s="21"/>
      <c r="V481" s="21"/>
      <c r="W481" s="24"/>
      <c r="X481" s="20"/>
      <c r="Y481" s="20"/>
      <c r="Z481" s="21"/>
      <c r="AA481" s="21"/>
      <c r="AB481" s="21"/>
      <c r="AC481" s="21"/>
      <c r="AD481" s="21"/>
      <c r="AE481" s="21"/>
      <c r="AF481" s="21"/>
      <c r="AG481" s="21"/>
      <c r="AH481" s="21"/>
      <c r="AI481" s="25"/>
      <c r="AJ481" s="20"/>
      <c r="AK481" s="21"/>
      <c r="AL481" s="20"/>
      <c r="AM481" s="20"/>
      <c r="AN481" s="20"/>
      <c r="AO481" s="20"/>
      <c r="AP481" s="446"/>
      <c r="AQ481" s="20"/>
      <c r="AR481" s="20"/>
      <c r="AS481" s="20"/>
      <c r="AT481" s="20"/>
      <c r="AU481" s="26"/>
      <c r="AV481" s="98"/>
      <c r="AW481" s="98"/>
      <c r="AX481" s="98"/>
      <c r="AY481" s="98"/>
      <c r="AZ481" s="98"/>
      <c r="BA481" s="217"/>
      <c r="BB481" s="98"/>
      <c r="BC481" s="98"/>
      <c r="BD481" s="98"/>
      <c r="BE481" s="98"/>
      <c r="BF481" s="98"/>
      <c r="BG481" s="219"/>
      <c r="BH481" s="219"/>
      <c r="BI481" s="219"/>
      <c r="BJ481" s="26"/>
      <c r="BK481" s="21"/>
      <c r="BL481" s="21"/>
      <c r="BM481" s="22"/>
      <c r="BN481" s="21"/>
      <c r="BO481" s="21"/>
      <c r="BP481" s="22"/>
      <c r="BQ481" s="21"/>
      <c r="BR481" s="21"/>
      <c r="BS481" s="22"/>
      <c r="BT48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81" s="109" t="str">
        <f>IF(ISNUMBER(tblParticipants[[#This Row],[SvcStartDate]]),IF(AND(tblParticipants[[#This Row],[EnrollQtr]]=1,tblParticipants[[#This Row],[SvcStartDate]]&lt;DATE(conProgYear,7,1)),1,""),"")</f>
        <v/>
      </c>
      <c r="BV48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81" s="232" t="str">
        <f t="shared" ca="1" si="7"/>
        <v/>
      </c>
      <c r="BX481" s="9">
        <f>IF(SUM(IF(tblParticipants[[#This Row],[AmIndOrAkNtv]]=1,1,0),IF(tblParticipants[[#This Row],[Asian]]=1,1,0),IF(tblParticipants[[#This Row],[BlkOrAfAmer]]=1,1,0),IF(tblParticipants[[#This Row],[NtvHawOrPacIsl]]=1,1,0),IF(tblParticipants[[#This Row],[White]]=1,1,0))&gt;1,1,0)</f>
        <v>0</v>
      </c>
      <c r="BY48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8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8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81" s="11">
        <f>IF(tblParticipants[[#This Row],[EarnWg2Qae]]=1,IFERROR(tblParticipants[[#This Row],[HoursPerWk2Qae]]*tblParticipants[[#This Row],[HrlyWg2Qae]]*13,0),0)</f>
        <v>0</v>
      </c>
      <c r="CC481" s="11">
        <f>IF(tblParticipants[[#This Row],[EarnWg3Qae]]=1,IFERROR(tblParticipants[[#This Row],[HoursPerWk3Qae]]*tblParticipants[[#This Row],[HrlyWg3Qae]]*13,0),0)</f>
        <v>0</v>
      </c>
      <c r="CD481" s="9">
        <f>IFERROR(IF(SUM(tblParticipants[[#This Row],[EarnWg1Qae]],tblParticipants[[#This Row],[EarnWg2Qae]],tblParticipants[[#This Row],[EarnWg3Qae]])=3,1,0),0)</f>
        <v>0</v>
      </c>
      <c r="CE481" s="12">
        <f>IF(tblParticipants[[#This Row],[EmplAll3Qae]]=1,tblParticipants[[#This Row],[Earnings2Qae]]+tblParticipants[[#This Row],[Earnings3Qae]],0)</f>
        <v>0</v>
      </c>
      <c r="CF481" s="407"/>
    </row>
    <row r="482" spans="1:84" x14ac:dyDescent="0.3">
      <c r="A482" s="19"/>
      <c r="B482" s="19"/>
      <c r="C482" s="20"/>
      <c r="D482" s="20"/>
      <c r="E482" s="26"/>
      <c r="F482" s="26"/>
      <c r="G482" s="26"/>
      <c r="H482" s="26"/>
      <c r="I482" s="26"/>
      <c r="J482" s="26"/>
      <c r="K482" s="26"/>
      <c r="L482" s="26"/>
      <c r="M482" s="20"/>
      <c r="N482" s="26"/>
      <c r="O482" s="22"/>
      <c r="P482" s="21"/>
      <c r="Q482" s="23"/>
      <c r="R482" s="21"/>
      <c r="S482" s="21"/>
      <c r="T482" s="21"/>
      <c r="U482" s="21"/>
      <c r="V482" s="21"/>
      <c r="W482" s="24"/>
      <c r="X482" s="20"/>
      <c r="Y482" s="20"/>
      <c r="Z482" s="21"/>
      <c r="AA482" s="21"/>
      <c r="AB482" s="21"/>
      <c r="AC482" s="21"/>
      <c r="AD482" s="21"/>
      <c r="AE482" s="21"/>
      <c r="AF482" s="21"/>
      <c r="AG482" s="21"/>
      <c r="AH482" s="21"/>
      <c r="AI482" s="25"/>
      <c r="AJ482" s="20"/>
      <c r="AK482" s="21"/>
      <c r="AL482" s="20"/>
      <c r="AM482" s="20"/>
      <c r="AN482" s="20"/>
      <c r="AO482" s="20"/>
      <c r="AP482" s="446"/>
      <c r="AQ482" s="20"/>
      <c r="AR482" s="20"/>
      <c r="AS482" s="20"/>
      <c r="AT482" s="20"/>
      <c r="AU482" s="26"/>
      <c r="AV482" s="98"/>
      <c r="AW482" s="98"/>
      <c r="AX482" s="98"/>
      <c r="AY482" s="98"/>
      <c r="AZ482" s="98"/>
      <c r="BA482" s="217"/>
      <c r="BB482" s="98"/>
      <c r="BC482" s="98"/>
      <c r="BD482" s="98"/>
      <c r="BE482" s="98"/>
      <c r="BF482" s="98"/>
      <c r="BG482" s="219"/>
      <c r="BH482" s="219"/>
      <c r="BI482" s="219"/>
      <c r="BJ482" s="26"/>
      <c r="BK482" s="21"/>
      <c r="BL482" s="21"/>
      <c r="BM482" s="22"/>
      <c r="BN482" s="21"/>
      <c r="BO482" s="21"/>
      <c r="BP482" s="22"/>
      <c r="BQ482" s="21"/>
      <c r="BR482" s="21"/>
      <c r="BS482" s="22"/>
      <c r="BT48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82" s="109" t="str">
        <f>IF(ISNUMBER(tblParticipants[[#This Row],[SvcStartDate]]),IF(AND(tblParticipants[[#This Row],[EnrollQtr]]=1,tblParticipants[[#This Row],[SvcStartDate]]&lt;DATE(conProgYear,7,1)),1,""),"")</f>
        <v/>
      </c>
      <c r="BV48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82" s="232" t="str">
        <f t="shared" ca="1" si="7"/>
        <v/>
      </c>
      <c r="BX482" s="9">
        <f>IF(SUM(IF(tblParticipants[[#This Row],[AmIndOrAkNtv]]=1,1,0),IF(tblParticipants[[#This Row],[Asian]]=1,1,0),IF(tblParticipants[[#This Row],[BlkOrAfAmer]]=1,1,0),IF(tblParticipants[[#This Row],[NtvHawOrPacIsl]]=1,1,0),IF(tblParticipants[[#This Row],[White]]=1,1,0))&gt;1,1,0)</f>
        <v>0</v>
      </c>
      <c r="BY48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8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8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82" s="11">
        <f>IF(tblParticipants[[#This Row],[EarnWg2Qae]]=1,IFERROR(tblParticipants[[#This Row],[HoursPerWk2Qae]]*tblParticipants[[#This Row],[HrlyWg2Qae]]*13,0),0)</f>
        <v>0</v>
      </c>
      <c r="CC482" s="11">
        <f>IF(tblParticipants[[#This Row],[EarnWg3Qae]]=1,IFERROR(tblParticipants[[#This Row],[HoursPerWk3Qae]]*tblParticipants[[#This Row],[HrlyWg3Qae]]*13,0),0)</f>
        <v>0</v>
      </c>
      <c r="CD482" s="9">
        <f>IFERROR(IF(SUM(tblParticipants[[#This Row],[EarnWg1Qae]],tblParticipants[[#This Row],[EarnWg2Qae]],tblParticipants[[#This Row],[EarnWg3Qae]])=3,1,0),0)</f>
        <v>0</v>
      </c>
      <c r="CE482" s="12">
        <f>IF(tblParticipants[[#This Row],[EmplAll3Qae]]=1,tblParticipants[[#This Row],[Earnings2Qae]]+tblParticipants[[#This Row],[Earnings3Qae]],0)</f>
        <v>0</v>
      </c>
      <c r="CF482" s="407"/>
    </row>
    <row r="483" spans="1:84" x14ac:dyDescent="0.3">
      <c r="A483" s="19"/>
      <c r="B483" s="19"/>
      <c r="C483" s="20"/>
      <c r="D483" s="20"/>
      <c r="E483" s="26"/>
      <c r="F483" s="26"/>
      <c r="G483" s="26"/>
      <c r="H483" s="26"/>
      <c r="I483" s="26"/>
      <c r="J483" s="26"/>
      <c r="K483" s="26"/>
      <c r="L483" s="26"/>
      <c r="M483" s="20"/>
      <c r="N483" s="26"/>
      <c r="O483" s="22"/>
      <c r="P483" s="21"/>
      <c r="Q483" s="23"/>
      <c r="R483" s="21"/>
      <c r="S483" s="21"/>
      <c r="T483" s="21"/>
      <c r="U483" s="21"/>
      <c r="V483" s="21"/>
      <c r="W483" s="24"/>
      <c r="X483" s="20"/>
      <c r="Y483" s="20"/>
      <c r="Z483" s="21"/>
      <c r="AA483" s="21"/>
      <c r="AB483" s="21"/>
      <c r="AC483" s="21"/>
      <c r="AD483" s="21"/>
      <c r="AE483" s="21"/>
      <c r="AF483" s="21"/>
      <c r="AG483" s="21"/>
      <c r="AH483" s="21"/>
      <c r="AI483" s="25"/>
      <c r="AJ483" s="20"/>
      <c r="AK483" s="21"/>
      <c r="AL483" s="20"/>
      <c r="AM483" s="20"/>
      <c r="AN483" s="20"/>
      <c r="AO483" s="20"/>
      <c r="AP483" s="446"/>
      <c r="AQ483" s="20"/>
      <c r="AR483" s="20"/>
      <c r="AS483" s="20"/>
      <c r="AT483" s="20"/>
      <c r="AU483" s="26"/>
      <c r="AV483" s="98"/>
      <c r="AW483" s="98"/>
      <c r="AX483" s="98"/>
      <c r="AY483" s="98"/>
      <c r="AZ483" s="98"/>
      <c r="BA483" s="217"/>
      <c r="BB483" s="98"/>
      <c r="BC483" s="98"/>
      <c r="BD483" s="98"/>
      <c r="BE483" s="98"/>
      <c r="BF483" s="98"/>
      <c r="BG483" s="219"/>
      <c r="BH483" s="219"/>
      <c r="BI483" s="219"/>
      <c r="BJ483" s="26"/>
      <c r="BK483" s="21"/>
      <c r="BL483" s="21"/>
      <c r="BM483" s="22"/>
      <c r="BN483" s="21"/>
      <c r="BO483" s="21"/>
      <c r="BP483" s="22"/>
      <c r="BQ483" s="21"/>
      <c r="BR483" s="21"/>
      <c r="BS483" s="22"/>
      <c r="BT48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83" s="109" t="str">
        <f>IF(ISNUMBER(tblParticipants[[#This Row],[SvcStartDate]]),IF(AND(tblParticipants[[#This Row],[EnrollQtr]]=1,tblParticipants[[#This Row],[SvcStartDate]]&lt;DATE(conProgYear,7,1)),1,""),"")</f>
        <v/>
      </c>
      <c r="BV48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83" s="232" t="str">
        <f t="shared" ca="1" si="7"/>
        <v/>
      </c>
      <c r="BX483" s="9">
        <f>IF(SUM(IF(tblParticipants[[#This Row],[AmIndOrAkNtv]]=1,1,0),IF(tblParticipants[[#This Row],[Asian]]=1,1,0),IF(tblParticipants[[#This Row],[BlkOrAfAmer]]=1,1,0),IF(tblParticipants[[#This Row],[NtvHawOrPacIsl]]=1,1,0),IF(tblParticipants[[#This Row],[White]]=1,1,0))&gt;1,1,0)</f>
        <v>0</v>
      </c>
      <c r="BY48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8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8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83" s="11">
        <f>IF(tblParticipants[[#This Row],[EarnWg2Qae]]=1,IFERROR(tblParticipants[[#This Row],[HoursPerWk2Qae]]*tblParticipants[[#This Row],[HrlyWg2Qae]]*13,0),0)</f>
        <v>0</v>
      </c>
      <c r="CC483" s="11">
        <f>IF(tblParticipants[[#This Row],[EarnWg3Qae]]=1,IFERROR(tblParticipants[[#This Row],[HoursPerWk3Qae]]*tblParticipants[[#This Row],[HrlyWg3Qae]]*13,0),0)</f>
        <v>0</v>
      </c>
      <c r="CD483" s="9">
        <f>IFERROR(IF(SUM(tblParticipants[[#This Row],[EarnWg1Qae]],tblParticipants[[#This Row],[EarnWg2Qae]],tblParticipants[[#This Row],[EarnWg3Qae]])=3,1,0),0)</f>
        <v>0</v>
      </c>
      <c r="CE483" s="12">
        <f>IF(tblParticipants[[#This Row],[EmplAll3Qae]]=1,tblParticipants[[#This Row],[Earnings2Qae]]+tblParticipants[[#This Row],[Earnings3Qae]],0)</f>
        <v>0</v>
      </c>
      <c r="CF483" s="407"/>
    </row>
    <row r="484" spans="1:84" x14ac:dyDescent="0.3">
      <c r="A484" s="19"/>
      <c r="B484" s="19"/>
      <c r="C484" s="20"/>
      <c r="D484" s="20"/>
      <c r="E484" s="26"/>
      <c r="F484" s="26"/>
      <c r="G484" s="26"/>
      <c r="H484" s="26"/>
      <c r="I484" s="26"/>
      <c r="J484" s="26"/>
      <c r="K484" s="26"/>
      <c r="L484" s="26"/>
      <c r="M484" s="20"/>
      <c r="N484" s="26"/>
      <c r="O484" s="22"/>
      <c r="P484" s="21"/>
      <c r="Q484" s="23"/>
      <c r="R484" s="21"/>
      <c r="S484" s="21"/>
      <c r="T484" s="21"/>
      <c r="U484" s="21"/>
      <c r="V484" s="21"/>
      <c r="W484" s="24"/>
      <c r="X484" s="20"/>
      <c r="Y484" s="20"/>
      <c r="Z484" s="21"/>
      <c r="AA484" s="21"/>
      <c r="AB484" s="21"/>
      <c r="AC484" s="21"/>
      <c r="AD484" s="21"/>
      <c r="AE484" s="21"/>
      <c r="AF484" s="21"/>
      <c r="AG484" s="21"/>
      <c r="AH484" s="21"/>
      <c r="AI484" s="25"/>
      <c r="AJ484" s="20"/>
      <c r="AK484" s="21"/>
      <c r="AL484" s="20"/>
      <c r="AM484" s="20"/>
      <c r="AN484" s="20"/>
      <c r="AO484" s="20"/>
      <c r="AP484" s="446"/>
      <c r="AQ484" s="20"/>
      <c r="AR484" s="20"/>
      <c r="AS484" s="20"/>
      <c r="AT484" s="20"/>
      <c r="AU484" s="26"/>
      <c r="AV484" s="98"/>
      <c r="AW484" s="98"/>
      <c r="AX484" s="98"/>
      <c r="AY484" s="98"/>
      <c r="AZ484" s="98"/>
      <c r="BA484" s="217"/>
      <c r="BB484" s="98"/>
      <c r="BC484" s="98"/>
      <c r="BD484" s="98"/>
      <c r="BE484" s="98"/>
      <c r="BF484" s="98"/>
      <c r="BG484" s="219"/>
      <c r="BH484" s="219"/>
      <c r="BI484" s="219"/>
      <c r="BJ484" s="26"/>
      <c r="BK484" s="21"/>
      <c r="BL484" s="21"/>
      <c r="BM484" s="22"/>
      <c r="BN484" s="21"/>
      <c r="BO484" s="21"/>
      <c r="BP484" s="22"/>
      <c r="BQ484" s="21"/>
      <c r="BR484" s="21"/>
      <c r="BS484" s="22"/>
      <c r="BT48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84" s="109" t="str">
        <f>IF(ISNUMBER(tblParticipants[[#This Row],[SvcStartDate]]),IF(AND(tblParticipants[[#This Row],[EnrollQtr]]=1,tblParticipants[[#This Row],[SvcStartDate]]&lt;DATE(conProgYear,7,1)),1,""),"")</f>
        <v/>
      </c>
      <c r="BV48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84" s="232" t="str">
        <f t="shared" ca="1" si="7"/>
        <v/>
      </c>
      <c r="BX484" s="9">
        <f>IF(SUM(IF(tblParticipants[[#This Row],[AmIndOrAkNtv]]=1,1,0),IF(tblParticipants[[#This Row],[Asian]]=1,1,0),IF(tblParticipants[[#This Row],[BlkOrAfAmer]]=1,1,0),IF(tblParticipants[[#This Row],[NtvHawOrPacIsl]]=1,1,0),IF(tblParticipants[[#This Row],[White]]=1,1,0))&gt;1,1,0)</f>
        <v>0</v>
      </c>
      <c r="BY48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8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8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84" s="11">
        <f>IF(tblParticipants[[#This Row],[EarnWg2Qae]]=1,IFERROR(tblParticipants[[#This Row],[HoursPerWk2Qae]]*tblParticipants[[#This Row],[HrlyWg2Qae]]*13,0),0)</f>
        <v>0</v>
      </c>
      <c r="CC484" s="11">
        <f>IF(tblParticipants[[#This Row],[EarnWg3Qae]]=1,IFERROR(tblParticipants[[#This Row],[HoursPerWk3Qae]]*tblParticipants[[#This Row],[HrlyWg3Qae]]*13,0),0)</f>
        <v>0</v>
      </c>
      <c r="CD484" s="9">
        <f>IFERROR(IF(SUM(tblParticipants[[#This Row],[EarnWg1Qae]],tblParticipants[[#This Row],[EarnWg2Qae]],tblParticipants[[#This Row],[EarnWg3Qae]])=3,1,0),0)</f>
        <v>0</v>
      </c>
      <c r="CE484" s="12">
        <f>IF(tblParticipants[[#This Row],[EmplAll3Qae]]=1,tblParticipants[[#This Row],[Earnings2Qae]]+tblParticipants[[#This Row],[Earnings3Qae]],0)</f>
        <v>0</v>
      </c>
      <c r="CF484" s="407"/>
    </row>
    <row r="485" spans="1:84" x14ac:dyDescent="0.3">
      <c r="A485" s="19"/>
      <c r="B485" s="19"/>
      <c r="C485" s="20"/>
      <c r="D485" s="20"/>
      <c r="E485" s="26"/>
      <c r="F485" s="26"/>
      <c r="G485" s="26"/>
      <c r="H485" s="26"/>
      <c r="I485" s="26"/>
      <c r="J485" s="26"/>
      <c r="K485" s="26"/>
      <c r="L485" s="26"/>
      <c r="M485" s="20"/>
      <c r="N485" s="26"/>
      <c r="O485" s="22"/>
      <c r="P485" s="21"/>
      <c r="Q485" s="23"/>
      <c r="R485" s="21"/>
      <c r="S485" s="21"/>
      <c r="T485" s="21"/>
      <c r="U485" s="21"/>
      <c r="V485" s="21"/>
      <c r="W485" s="24"/>
      <c r="X485" s="20"/>
      <c r="Y485" s="20"/>
      <c r="Z485" s="21"/>
      <c r="AA485" s="21"/>
      <c r="AB485" s="21"/>
      <c r="AC485" s="21"/>
      <c r="AD485" s="21"/>
      <c r="AE485" s="21"/>
      <c r="AF485" s="21"/>
      <c r="AG485" s="21"/>
      <c r="AH485" s="21"/>
      <c r="AI485" s="25"/>
      <c r="AJ485" s="20"/>
      <c r="AK485" s="21"/>
      <c r="AL485" s="20"/>
      <c r="AM485" s="20"/>
      <c r="AN485" s="20"/>
      <c r="AO485" s="20"/>
      <c r="AP485" s="446"/>
      <c r="AQ485" s="20"/>
      <c r="AR485" s="20"/>
      <c r="AS485" s="20"/>
      <c r="AT485" s="20"/>
      <c r="AU485" s="26"/>
      <c r="AV485" s="98"/>
      <c r="AW485" s="98"/>
      <c r="AX485" s="98"/>
      <c r="AY485" s="98"/>
      <c r="AZ485" s="98"/>
      <c r="BA485" s="217"/>
      <c r="BB485" s="98"/>
      <c r="BC485" s="98"/>
      <c r="BD485" s="98"/>
      <c r="BE485" s="98"/>
      <c r="BF485" s="98"/>
      <c r="BG485" s="219"/>
      <c r="BH485" s="219"/>
      <c r="BI485" s="219"/>
      <c r="BJ485" s="26"/>
      <c r="BK485" s="21"/>
      <c r="BL485" s="21"/>
      <c r="BM485" s="22"/>
      <c r="BN485" s="21"/>
      <c r="BO485" s="21"/>
      <c r="BP485" s="22"/>
      <c r="BQ485" s="21"/>
      <c r="BR485" s="21"/>
      <c r="BS485" s="22"/>
      <c r="BT48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85" s="109" t="str">
        <f>IF(ISNUMBER(tblParticipants[[#This Row],[SvcStartDate]]),IF(AND(tblParticipants[[#This Row],[EnrollQtr]]=1,tblParticipants[[#This Row],[SvcStartDate]]&lt;DATE(conProgYear,7,1)),1,""),"")</f>
        <v/>
      </c>
      <c r="BV48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85" s="232" t="str">
        <f t="shared" ca="1" si="7"/>
        <v/>
      </c>
      <c r="BX485" s="9">
        <f>IF(SUM(IF(tblParticipants[[#This Row],[AmIndOrAkNtv]]=1,1,0),IF(tblParticipants[[#This Row],[Asian]]=1,1,0),IF(tblParticipants[[#This Row],[BlkOrAfAmer]]=1,1,0),IF(tblParticipants[[#This Row],[NtvHawOrPacIsl]]=1,1,0),IF(tblParticipants[[#This Row],[White]]=1,1,0))&gt;1,1,0)</f>
        <v>0</v>
      </c>
      <c r="BY48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8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8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85" s="11">
        <f>IF(tblParticipants[[#This Row],[EarnWg2Qae]]=1,IFERROR(tblParticipants[[#This Row],[HoursPerWk2Qae]]*tblParticipants[[#This Row],[HrlyWg2Qae]]*13,0),0)</f>
        <v>0</v>
      </c>
      <c r="CC485" s="11">
        <f>IF(tblParticipants[[#This Row],[EarnWg3Qae]]=1,IFERROR(tblParticipants[[#This Row],[HoursPerWk3Qae]]*tblParticipants[[#This Row],[HrlyWg3Qae]]*13,0),0)</f>
        <v>0</v>
      </c>
      <c r="CD485" s="9">
        <f>IFERROR(IF(SUM(tblParticipants[[#This Row],[EarnWg1Qae]],tblParticipants[[#This Row],[EarnWg2Qae]],tblParticipants[[#This Row],[EarnWg3Qae]])=3,1,0),0)</f>
        <v>0</v>
      </c>
      <c r="CE485" s="12">
        <f>IF(tblParticipants[[#This Row],[EmplAll3Qae]]=1,tblParticipants[[#This Row],[Earnings2Qae]]+tblParticipants[[#This Row],[Earnings3Qae]],0)</f>
        <v>0</v>
      </c>
      <c r="CF485" s="407"/>
    </row>
    <row r="486" spans="1:84" x14ac:dyDescent="0.3">
      <c r="A486" s="19"/>
      <c r="B486" s="19"/>
      <c r="C486" s="20"/>
      <c r="D486" s="20"/>
      <c r="E486" s="26"/>
      <c r="F486" s="26"/>
      <c r="G486" s="26"/>
      <c r="H486" s="26"/>
      <c r="I486" s="26"/>
      <c r="J486" s="26"/>
      <c r="K486" s="26"/>
      <c r="L486" s="26"/>
      <c r="M486" s="20"/>
      <c r="N486" s="26"/>
      <c r="O486" s="22"/>
      <c r="P486" s="21"/>
      <c r="Q486" s="23"/>
      <c r="R486" s="21"/>
      <c r="S486" s="21"/>
      <c r="T486" s="21"/>
      <c r="U486" s="21"/>
      <c r="V486" s="21"/>
      <c r="W486" s="24"/>
      <c r="X486" s="20"/>
      <c r="Y486" s="20"/>
      <c r="Z486" s="21"/>
      <c r="AA486" s="21"/>
      <c r="AB486" s="21"/>
      <c r="AC486" s="21"/>
      <c r="AD486" s="21"/>
      <c r="AE486" s="21"/>
      <c r="AF486" s="21"/>
      <c r="AG486" s="21"/>
      <c r="AH486" s="21"/>
      <c r="AI486" s="25"/>
      <c r="AJ486" s="20"/>
      <c r="AK486" s="21"/>
      <c r="AL486" s="20"/>
      <c r="AM486" s="20"/>
      <c r="AN486" s="20"/>
      <c r="AO486" s="20"/>
      <c r="AP486" s="446"/>
      <c r="AQ486" s="20"/>
      <c r="AR486" s="20"/>
      <c r="AS486" s="20"/>
      <c r="AT486" s="20"/>
      <c r="AU486" s="26"/>
      <c r="AV486" s="98"/>
      <c r="AW486" s="98"/>
      <c r="AX486" s="98"/>
      <c r="AY486" s="98"/>
      <c r="AZ486" s="98"/>
      <c r="BA486" s="217"/>
      <c r="BB486" s="98"/>
      <c r="BC486" s="98"/>
      <c r="BD486" s="98"/>
      <c r="BE486" s="98"/>
      <c r="BF486" s="98"/>
      <c r="BG486" s="219"/>
      <c r="BH486" s="219"/>
      <c r="BI486" s="219"/>
      <c r="BJ486" s="26"/>
      <c r="BK486" s="21"/>
      <c r="BL486" s="21"/>
      <c r="BM486" s="22"/>
      <c r="BN486" s="21"/>
      <c r="BO486" s="21"/>
      <c r="BP486" s="22"/>
      <c r="BQ486" s="21"/>
      <c r="BR486" s="21"/>
      <c r="BS486" s="22"/>
      <c r="BT48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86" s="109" t="str">
        <f>IF(ISNUMBER(tblParticipants[[#This Row],[SvcStartDate]]),IF(AND(tblParticipants[[#This Row],[EnrollQtr]]=1,tblParticipants[[#This Row],[SvcStartDate]]&lt;DATE(conProgYear,7,1)),1,""),"")</f>
        <v/>
      </c>
      <c r="BV48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86" s="232" t="str">
        <f t="shared" ca="1" si="7"/>
        <v/>
      </c>
      <c r="BX486" s="9">
        <f>IF(SUM(IF(tblParticipants[[#This Row],[AmIndOrAkNtv]]=1,1,0),IF(tblParticipants[[#This Row],[Asian]]=1,1,0),IF(tblParticipants[[#This Row],[BlkOrAfAmer]]=1,1,0),IF(tblParticipants[[#This Row],[NtvHawOrPacIsl]]=1,1,0),IF(tblParticipants[[#This Row],[White]]=1,1,0))&gt;1,1,0)</f>
        <v>0</v>
      </c>
      <c r="BY48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8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8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86" s="11">
        <f>IF(tblParticipants[[#This Row],[EarnWg2Qae]]=1,IFERROR(tblParticipants[[#This Row],[HoursPerWk2Qae]]*tblParticipants[[#This Row],[HrlyWg2Qae]]*13,0),0)</f>
        <v>0</v>
      </c>
      <c r="CC486" s="11">
        <f>IF(tblParticipants[[#This Row],[EarnWg3Qae]]=1,IFERROR(tblParticipants[[#This Row],[HoursPerWk3Qae]]*tblParticipants[[#This Row],[HrlyWg3Qae]]*13,0),0)</f>
        <v>0</v>
      </c>
      <c r="CD486" s="9">
        <f>IFERROR(IF(SUM(tblParticipants[[#This Row],[EarnWg1Qae]],tblParticipants[[#This Row],[EarnWg2Qae]],tblParticipants[[#This Row],[EarnWg3Qae]])=3,1,0),0)</f>
        <v>0</v>
      </c>
      <c r="CE486" s="12">
        <f>IF(tblParticipants[[#This Row],[EmplAll3Qae]]=1,tblParticipants[[#This Row],[Earnings2Qae]]+tblParticipants[[#This Row],[Earnings3Qae]],0)</f>
        <v>0</v>
      </c>
      <c r="CF486" s="407"/>
    </row>
    <row r="487" spans="1:84" x14ac:dyDescent="0.3">
      <c r="A487" s="19"/>
      <c r="B487" s="19"/>
      <c r="C487" s="20"/>
      <c r="D487" s="20"/>
      <c r="E487" s="26"/>
      <c r="F487" s="26"/>
      <c r="G487" s="26"/>
      <c r="H487" s="26"/>
      <c r="I487" s="26"/>
      <c r="J487" s="26"/>
      <c r="K487" s="26"/>
      <c r="L487" s="26"/>
      <c r="M487" s="20"/>
      <c r="N487" s="26"/>
      <c r="O487" s="22"/>
      <c r="P487" s="21"/>
      <c r="Q487" s="23"/>
      <c r="R487" s="21"/>
      <c r="S487" s="21"/>
      <c r="T487" s="21"/>
      <c r="U487" s="21"/>
      <c r="V487" s="21"/>
      <c r="W487" s="24"/>
      <c r="X487" s="20"/>
      <c r="Y487" s="20"/>
      <c r="Z487" s="21"/>
      <c r="AA487" s="21"/>
      <c r="AB487" s="21"/>
      <c r="AC487" s="21"/>
      <c r="AD487" s="21"/>
      <c r="AE487" s="21"/>
      <c r="AF487" s="21"/>
      <c r="AG487" s="21"/>
      <c r="AH487" s="21"/>
      <c r="AI487" s="25"/>
      <c r="AJ487" s="20"/>
      <c r="AK487" s="21"/>
      <c r="AL487" s="20"/>
      <c r="AM487" s="20"/>
      <c r="AN487" s="20"/>
      <c r="AO487" s="20"/>
      <c r="AP487" s="446"/>
      <c r="AQ487" s="20"/>
      <c r="AR487" s="20"/>
      <c r="AS487" s="20"/>
      <c r="AT487" s="20"/>
      <c r="AU487" s="26"/>
      <c r="AV487" s="98"/>
      <c r="AW487" s="98"/>
      <c r="AX487" s="98"/>
      <c r="AY487" s="98"/>
      <c r="AZ487" s="98"/>
      <c r="BA487" s="217"/>
      <c r="BB487" s="98"/>
      <c r="BC487" s="98"/>
      <c r="BD487" s="98"/>
      <c r="BE487" s="98"/>
      <c r="BF487" s="98"/>
      <c r="BG487" s="219"/>
      <c r="BH487" s="219"/>
      <c r="BI487" s="219"/>
      <c r="BJ487" s="26"/>
      <c r="BK487" s="21"/>
      <c r="BL487" s="21"/>
      <c r="BM487" s="22"/>
      <c r="BN487" s="21"/>
      <c r="BO487" s="21"/>
      <c r="BP487" s="22"/>
      <c r="BQ487" s="21"/>
      <c r="BR487" s="21"/>
      <c r="BS487" s="22"/>
      <c r="BT48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87" s="109" t="str">
        <f>IF(ISNUMBER(tblParticipants[[#This Row],[SvcStartDate]]),IF(AND(tblParticipants[[#This Row],[EnrollQtr]]=1,tblParticipants[[#This Row],[SvcStartDate]]&lt;DATE(conProgYear,7,1)),1,""),"")</f>
        <v/>
      </c>
      <c r="BV48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87" s="232" t="str">
        <f t="shared" ca="1" si="7"/>
        <v/>
      </c>
      <c r="BX487" s="9">
        <f>IF(SUM(IF(tblParticipants[[#This Row],[AmIndOrAkNtv]]=1,1,0),IF(tblParticipants[[#This Row],[Asian]]=1,1,0),IF(tblParticipants[[#This Row],[BlkOrAfAmer]]=1,1,0),IF(tblParticipants[[#This Row],[NtvHawOrPacIsl]]=1,1,0),IF(tblParticipants[[#This Row],[White]]=1,1,0))&gt;1,1,0)</f>
        <v>0</v>
      </c>
      <c r="BY48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8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8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87" s="11">
        <f>IF(tblParticipants[[#This Row],[EarnWg2Qae]]=1,IFERROR(tblParticipants[[#This Row],[HoursPerWk2Qae]]*tblParticipants[[#This Row],[HrlyWg2Qae]]*13,0),0)</f>
        <v>0</v>
      </c>
      <c r="CC487" s="11">
        <f>IF(tblParticipants[[#This Row],[EarnWg3Qae]]=1,IFERROR(tblParticipants[[#This Row],[HoursPerWk3Qae]]*tblParticipants[[#This Row],[HrlyWg3Qae]]*13,0),0)</f>
        <v>0</v>
      </c>
      <c r="CD487" s="9">
        <f>IFERROR(IF(SUM(tblParticipants[[#This Row],[EarnWg1Qae]],tblParticipants[[#This Row],[EarnWg2Qae]],tblParticipants[[#This Row],[EarnWg3Qae]])=3,1,0),0)</f>
        <v>0</v>
      </c>
      <c r="CE487" s="12">
        <f>IF(tblParticipants[[#This Row],[EmplAll3Qae]]=1,tblParticipants[[#This Row],[Earnings2Qae]]+tblParticipants[[#This Row],[Earnings3Qae]],0)</f>
        <v>0</v>
      </c>
      <c r="CF487" s="407"/>
    </row>
    <row r="488" spans="1:84" x14ac:dyDescent="0.3">
      <c r="A488" s="19"/>
      <c r="B488" s="19"/>
      <c r="C488" s="20"/>
      <c r="D488" s="20"/>
      <c r="E488" s="26"/>
      <c r="F488" s="26"/>
      <c r="G488" s="26"/>
      <c r="H488" s="26"/>
      <c r="I488" s="26"/>
      <c r="J488" s="26"/>
      <c r="K488" s="26"/>
      <c r="L488" s="26"/>
      <c r="M488" s="20"/>
      <c r="N488" s="26"/>
      <c r="O488" s="22"/>
      <c r="P488" s="21"/>
      <c r="Q488" s="23"/>
      <c r="R488" s="21"/>
      <c r="S488" s="21"/>
      <c r="T488" s="21"/>
      <c r="U488" s="21"/>
      <c r="V488" s="21"/>
      <c r="W488" s="24"/>
      <c r="X488" s="20"/>
      <c r="Y488" s="20"/>
      <c r="Z488" s="21"/>
      <c r="AA488" s="21"/>
      <c r="AB488" s="21"/>
      <c r="AC488" s="21"/>
      <c r="AD488" s="21"/>
      <c r="AE488" s="21"/>
      <c r="AF488" s="21"/>
      <c r="AG488" s="21"/>
      <c r="AH488" s="21"/>
      <c r="AI488" s="25"/>
      <c r="AJ488" s="20"/>
      <c r="AK488" s="21"/>
      <c r="AL488" s="20"/>
      <c r="AM488" s="20"/>
      <c r="AN488" s="20"/>
      <c r="AO488" s="20"/>
      <c r="AP488" s="446"/>
      <c r="AQ488" s="20"/>
      <c r="AR488" s="20"/>
      <c r="AS488" s="20"/>
      <c r="AT488" s="20"/>
      <c r="AU488" s="26"/>
      <c r="AV488" s="98"/>
      <c r="AW488" s="98"/>
      <c r="AX488" s="98"/>
      <c r="AY488" s="98"/>
      <c r="AZ488" s="98"/>
      <c r="BA488" s="217"/>
      <c r="BB488" s="98"/>
      <c r="BC488" s="98"/>
      <c r="BD488" s="98"/>
      <c r="BE488" s="98"/>
      <c r="BF488" s="98"/>
      <c r="BG488" s="219"/>
      <c r="BH488" s="219"/>
      <c r="BI488" s="219"/>
      <c r="BJ488" s="26"/>
      <c r="BK488" s="21"/>
      <c r="BL488" s="21"/>
      <c r="BM488" s="22"/>
      <c r="BN488" s="21"/>
      <c r="BO488" s="21"/>
      <c r="BP488" s="22"/>
      <c r="BQ488" s="21"/>
      <c r="BR488" s="21"/>
      <c r="BS488" s="22"/>
      <c r="BT48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88" s="109" t="str">
        <f>IF(ISNUMBER(tblParticipants[[#This Row],[SvcStartDate]]),IF(AND(tblParticipants[[#This Row],[EnrollQtr]]=1,tblParticipants[[#This Row],[SvcStartDate]]&lt;DATE(conProgYear,7,1)),1,""),"")</f>
        <v/>
      </c>
      <c r="BV48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88" s="232" t="str">
        <f t="shared" ca="1" si="7"/>
        <v/>
      </c>
      <c r="BX488" s="9">
        <f>IF(SUM(IF(tblParticipants[[#This Row],[AmIndOrAkNtv]]=1,1,0),IF(tblParticipants[[#This Row],[Asian]]=1,1,0),IF(tblParticipants[[#This Row],[BlkOrAfAmer]]=1,1,0),IF(tblParticipants[[#This Row],[NtvHawOrPacIsl]]=1,1,0),IF(tblParticipants[[#This Row],[White]]=1,1,0))&gt;1,1,0)</f>
        <v>0</v>
      </c>
      <c r="BY48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8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8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88" s="11">
        <f>IF(tblParticipants[[#This Row],[EarnWg2Qae]]=1,IFERROR(tblParticipants[[#This Row],[HoursPerWk2Qae]]*tblParticipants[[#This Row],[HrlyWg2Qae]]*13,0),0)</f>
        <v>0</v>
      </c>
      <c r="CC488" s="11">
        <f>IF(tblParticipants[[#This Row],[EarnWg3Qae]]=1,IFERROR(tblParticipants[[#This Row],[HoursPerWk3Qae]]*tblParticipants[[#This Row],[HrlyWg3Qae]]*13,0),0)</f>
        <v>0</v>
      </c>
      <c r="CD488" s="9">
        <f>IFERROR(IF(SUM(tblParticipants[[#This Row],[EarnWg1Qae]],tblParticipants[[#This Row],[EarnWg2Qae]],tblParticipants[[#This Row],[EarnWg3Qae]])=3,1,0),0)</f>
        <v>0</v>
      </c>
      <c r="CE488" s="12">
        <f>IF(tblParticipants[[#This Row],[EmplAll3Qae]]=1,tblParticipants[[#This Row],[Earnings2Qae]]+tblParticipants[[#This Row],[Earnings3Qae]],0)</f>
        <v>0</v>
      </c>
      <c r="CF488" s="407"/>
    </row>
    <row r="489" spans="1:84" x14ac:dyDescent="0.3">
      <c r="A489" s="19"/>
      <c r="B489" s="19"/>
      <c r="C489" s="20"/>
      <c r="D489" s="20"/>
      <c r="E489" s="26"/>
      <c r="F489" s="26"/>
      <c r="G489" s="26"/>
      <c r="H489" s="26"/>
      <c r="I489" s="26"/>
      <c r="J489" s="26"/>
      <c r="K489" s="26"/>
      <c r="L489" s="26"/>
      <c r="M489" s="20"/>
      <c r="N489" s="26"/>
      <c r="O489" s="22"/>
      <c r="P489" s="21"/>
      <c r="Q489" s="23"/>
      <c r="R489" s="21"/>
      <c r="S489" s="21"/>
      <c r="T489" s="21"/>
      <c r="U489" s="21"/>
      <c r="V489" s="21"/>
      <c r="W489" s="24"/>
      <c r="X489" s="20"/>
      <c r="Y489" s="20"/>
      <c r="Z489" s="21"/>
      <c r="AA489" s="21"/>
      <c r="AB489" s="21"/>
      <c r="AC489" s="21"/>
      <c r="AD489" s="21"/>
      <c r="AE489" s="21"/>
      <c r="AF489" s="21"/>
      <c r="AG489" s="21"/>
      <c r="AH489" s="21"/>
      <c r="AI489" s="25"/>
      <c r="AJ489" s="20"/>
      <c r="AK489" s="21"/>
      <c r="AL489" s="20"/>
      <c r="AM489" s="20"/>
      <c r="AN489" s="20"/>
      <c r="AO489" s="20"/>
      <c r="AP489" s="446"/>
      <c r="AQ489" s="20"/>
      <c r="AR489" s="20"/>
      <c r="AS489" s="20"/>
      <c r="AT489" s="20"/>
      <c r="AU489" s="26"/>
      <c r="AV489" s="98"/>
      <c r="AW489" s="98"/>
      <c r="AX489" s="98"/>
      <c r="AY489" s="98"/>
      <c r="AZ489" s="98"/>
      <c r="BA489" s="217"/>
      <c r="BB489" s="98"/>
      <c r="BC489" s="98"/>
      <c r="BD489" s="98"/>
      <c r="BE489" s="98"/>
      <c r="BF489" s="98"/>
      <c r="BG489" s="219"/>
      <c r="BH489" s="219"/>
      <c r="BI489" s="219"/>
      <c r="BJ489" s="26"/>
      <c r="BK489" s="21"/>
      <c r="BL489" s="21"/>
      <c r="BM489" s="22"/>
      <c r="BN489" s="21"/>
      <c r="BO489" s="21"/>
      <c r="BP489" s="22"/>
      <c r="BQ489" s="21"/>
      <c r="BR489" s="21"/>
      <c r="BS489" s="22"/>
      <c r="BT48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89" s="109" t="str">
        <f>IF(ISNUMBER(tblParticipants[[#This Row],[SvcStartDate]]),IF(AND(tblParticipants[[#This Row],[EnrollQtr]]=1,tblParticipants[[#This Row],[SvcStartDate]]&lt;DATE(conProgYear,7,1)),1,""),"")</f>
        <v/>
      </c>
      <c r="BV48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89" s="232" t="str">
        <f t="shared" ca="1" si="7"/>
        <v/>
      </c>
      <c r="BX489" s="9">
        <f>IF(SUM(IF(tblParticipants[[#This Row],[AmIndOrAkNtv]]=1,1,0),IF(tblParticipants[[#This Row],[Asian]]=1,1,0),IF(tblParticipants[[#This Row],[BlkOrAfAmer]]=1,1,0),IF(tblParticipants[[#This Row],[NtvHawOrPacIsl]]=1,1,0),IF(tblParticipants[[#This Row],[White]]=1,1,0))&gt;1,1,0)</f>
        <v>0</v>
      </c>
      <c r="BY48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8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8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89" s="11">
        <f>IF(tblParticipants[[#This Row],[EarnWg2Qae]]=1,IFERROR(tblParticipants[[#This Row],[HoursPerWk2Qae]]*tblParticipants[[#This Row],[HrlyWg2Qae]]*13,0),0)</f>
        <v>0</v>
      </c>
      <c r="CC489" s="11">
        <f>IF(tblParticipants[[#This Row],[EarnWg3Qae]]=1,IFERROR(tblParticipants[[#This Row],[HoursPerWk3Qae]]*tblParticipants[[#This Row],[HrlyWg3Qae]]*13,0),0)</f>
        <v>0</v>
      </c>
      <c r="CD489" s="9">
        <f>IFERROR(IF(SUM(tblParticipants[[#This Row],[EarnWg1Qae]],tblParticipants[[#This Row],[EarnWg2Qae]],tblParticipants[[#This Row],[EarnWg3Qae]])=3,1,0),0)</f>
        <v>0</v>
      </c>
      <c r="CE489" s="12">
        <f>IF(tblParticipants[[#This Row],[EmplAll3Qae]]=1,tblParticipants[[#This Row],[Earnings2Qae]]+tblParticipants[[#This Row],[Earnings3Qae]],0)</f>
        <v>0</v>
      </c>
      <c r="CF489" s="407"/>
    </row>
    <row r="490" spans="1:84" x14ac:dyDescent="0.3">
      <c r="A490" s="19"/>
      <c r="B490" s="19"/>
      <c r="C490" s="20"/>
      <c r="D490" s="20"/>
      <c r="E490" s="26"/>
      <c r="F490" s="26"/>
      <c r="G490" s="26"/>
      <c r="H490" s="26"/>
      <c r="I490" s="26"/>
      <c r="J490" s="26"/>
      <c r="K490" s="26"/>
      <c r="L490" s="26"/>
      <c r="M490" s="20"/>
      <c r="N490" s="26"/>
      <c r="O490" s="22"/>
      <c r="P490" s="21"/>
      <c r="Q490" s="23"/>
      <c r="R490" s="21"/>
      <c r="S490" s="21"/>
      <c r="T490" s="21"/>
      <c r="U490" s="21"/>
      <c r="V490" s="21"/>
      <c r="W490" s="24"/>
      <c r="X490" s="20"/>
      <c r="Y490" s="20"/>
      <c r="Z490" s="21"/>
      <c r="AA490" s="21"/>
      <c r="AB490" s="21"/>
      <c r="AC490" s="21"/>
      <c r="AD490" s="21"/>
      <c r="AE490" s="21"/>
      <c r="AF490" s="21"/>
      <c r="AG490" s="21"/>
      <c r="AH490" s="21"/>
      <c r="AI490" s="25"/>
      <c r="AJ490" s="20"/>
      <c r="AK490" s="21"/>
      <c r="AL490" s="20"/>
      <c r="AM490" s="20"/>
      <c r="AN490" s="20"/>
      <c r="AO490" s="20"/>
      <c r="AP490" s="446"/>
      <c r="AQ490" s="20"/>
      <c r="AR490" s="20"/>
      <c r="AS490" s="20"/>
      <c r="AT490" s="20"/>
      <c r="AU490" s="26"/>
      <c r="AV490" s="98"/>
      <c r="AW490" s="98"/>
      <c r="AX490" s="98"/>
      <c r="AY490" s="98"/>
      <c r="AZ490" s="98"/>
      <c r="BA490" s="217"/>
      <c r="BB490" s="98"/>
      <c r="BC490" s="98"/>
      <c r="BD490" s="98"/>
      <c r="BE490" s="98"/>
      <c r="BF490" s="98"/>
      <c r="BG490" s="219"/>
      <c r="BH490" s="219"/>
      <c r="BI490" s="219"/>
      <c r="BJ490" s="26"/>
      <c r="BK490" s="21"/>
      <c r="BL490" s="21"/>
      <c r="BM490" s="22"/>
      <c r="BN490" s="21"/>
      <c r="BO490" s="21"/>
      <c r="BP490" s="22"/>
      <c r="BQ490" s="21"/>
      <c r="BR490" s="21"/>
      <c r="BS490" s="22"/>
      <c r="BT49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90" s="109" t="str">
        <f>IF(ISNUMBER(tblParticipants[[#This Row],[SvcStartDate]]),IF(AND(tblParticipants[[#This Row],[EnrollQtr]]=1,tblParticipants[[#This Row],[SvcStartDate]]&lt;DATE(conProgYear,7,1)),1,""),"")</f>
        <v/>
      </c>
      <c r="BV49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90" s="232" t="str">
        <f t="shared" ca="1" si="7"/>
        <v/>
      </c>
      <c r="BX490" s="9">
        <f>IF(SUM(IF(tblParticipants[[#This Row],[AmIndOrAkNtv]]=1,1,0),IF(tblParticipants[[#This Row],[Asian]]=1,1,0),IF(tblParticipants[[#This Row],[BlkOrAfAmer]]=1,1,0),IF(tblParticipants[[#This Row],[NtvHawOrPacIsl]]=1,1,0),IF(tblParticipants[[#This Row],[White]]=1,1,0))&gt;1,1,0)</f>
        <v>0</v>
      </c>
      <c r="BY49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9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9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90" s="11">
        <f>IF(tblParticipants[[#This Row],[EarnWg2Qae]]=1,IFERROR(tblParticipants[[#This Row],[HoursPerWk2Qae]]*tblParticipants[[#This Row],[HrlyWg2Qae]]*13,0),0)</f>
        <v>0</v>
      </c>
      <c r="CC490" s="11">
        <f>IF(tblParticipants[[#This Row],[EarnWg3Qae]]=1,IFERROR(tblParticipants[[#This Row],[HoursPerWk3Qae]]*tblParticipants[[#This Row],[HrlyWg3Qae]]*13,0),0)</f>
        <v>0</v>
      </c>
      <c r="CD490" s="9">
        <f>IFERROR(IF(SUM(tblParticipants[[#This Row],[EarnWg1Qae]],tblParticipants[[#This Row],[EarnWg2Qae]],tblParticipants[[#This Row],[EarnWg3Qae]])=3,1,0),0)</f>
        <v>0</v>
      </c>
      <c r="CE490" s="12">
        <f>IF(tblParticipants[[#This Row],[EmplAll3Qae]]=1,tblParticipants[[#This Row],[Earnings2Qae]]+tblParticipants[[#This Row],[Earnings3Qae]],0)</f>
        <v>0</v>
      </c>
      <c r="CF490" s="407"/>
    </row>
    <row r="491" spans="1:84" x14ac:dyDescent="0.3">
      <c r="A491" s="19"/>
      <c r="B491" s="19"/>
      <c r="C491" s="20"/>
      <c r="D491" s="20"/>
      <c r="E491" s="26"/>
      <c r="F491" s="26"/>
      <c r="G491" s="26"/>
      <c r="H491" s="26"/>
      <c r="I491" s="26"/>
      <c r="J491" s="26"/>
      <c r="K491" s="26"/>
      <c r="L491" s="26"/>
      <c r="M491" s="20"/>
      <c r="N491" s="26"/>
      <c r="O491" s="22"/>
      <c r="P491" s="21"/>
      <c r="Q491" s="23"/>
      <c r="R491" s="21"/>
      <c r="S491" s="21"/>
      <c r="T491" s="21"/>
      <c r="U491" s="21"/>
      <c r="V491" s="21"/>
      <c r="W491" s="24"/>
      <c r="X491" s="20"/>
      <c r="Y491" s="20"/>
      <c r="Z491" s="21"/>
      <c r="AA491" s="21"/>
      <c r="AB491" s="21"/>
      <c r="AC491" s="21"/>
      <c r="AD491" s="21"/>
      <c r="AE491" s="21"/>
      <c r="AF491" s="21"/>
      <c r="AG491" s="21"/>
      <c r="AH491" s="21"/>
      <c r="AI491" s="25"/>
      <c r="AJ491" s="20"/>
      <c r="AK491" s="21"/>
      <c r="AL491" s="20"/>
      <c r="AM491" s="20"/>
      <c r="AN491" s="20"/>
      <c r="AO491" s="20"/>
      <c r="AP491" s="446"/>
      <c r="AQ491" s="20"/>
      <c r="AR491" s="20"/>
      <c r="AS491" s="20"/>
      <c r="AT491" s="20"/>
      <c r="AU491" s="26"/>
      <c r="AV491" s="98"/>
      <c r="AW491" s="98"/>
      <c r="AX491" s="98"/>
      <c r="AY491" s="98"/>
      <c r="AZ491" s="98"/>
      <c r="BA491" s="217"/>
      <c r="BB491" s="98"/>
      <c r="BC491" s="98"/>
      <c r="BD491" s="98"/>
      <c r="BE491" s="98"/>
      <c r="BF491" s="98"/>
      <c r="BG491" s="219"/>
      <c r="BH491" s="219"/>
      <c r="BI491" s="219"/>
      <c r="BJ491" s="26"/>
      <c r="BK491" s="21"/>
      <c r="BL491" s="21"/>
      <c r="BM491" s="22"/>
      <c r="BN491" s="21"/>
      <c r="BO491" s="21"/>
      <c r="BP491" s="22"/>
      <c r="BQ491" s="21"/>
      <c r="BR491" s="21"/>
      <c r="BS491" s="22"/>
      <c r="BT49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91" s="109" t="str">
        <f>IF(ISNUMBER(tblParticipants[[#This Row],[SvcStartDate]]),IF(AND(tblParticipants[[#This Row],[EnrollQtr]]=1,tblParticipants[[#This Row],[SvcStartDate]]&lt;DATE(conProgYear,7,1)),1,""),"")</f>
        <v/>
      </c>
      <c r="BV49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91" s="232" t="str">
        <f t="shared" ca="1" si="7"/>
        <v/>
      </c>
      <c r="BX491" s="9">
        <f>IF(SUM(IF(tblParticipants[[#This Row],[AmIndOrAkNtv]]=1,1,0),IF(tblParticipants[[#This Row],[Asian]]=1,1,0),IF(tblParticipants[[#This Row],[BlkOrAfAmer]]=1,1,0),IF(tblParticipants[[#This Row],[NtvHawOrPacIsl]]=1,1,0),IF(tblParticipants[[#This Row],[White]]=1,1,0))&gt;1,1,0)</f>
        <v>0</v>
      </c>
      <c r="BY49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9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9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91" s="11">
        <f>IF(tblParticipants[[#This Row],[EarnWg2Qae]]=1,IFERROR(tblParticipants[[#This Row],[HoursPerWk2Qae]]*tblParticipants[[#This Row],[HrlyWg2Qae]]*13,0),0)</f>
        <v>0</v>
      </c>
      <c r="CC491" s="11">
        <f>IF(tblParticipants[[#This Row],[EarnWg3Qae]]=1,IFERROR(tblParticipants[[#This Row],[HoursPerWk3Qae]]*tblParticipants[[#This Row],[HrlyWg3Qae]]*13,0),0)</f>
        <v>0</v>
      </c>
      <c r="CD491" s="9">
        <f>IFERROR(IF(SUM(tblParticipants[[#This Row],[EarnWg1Qae]],tblParticipants[[#This Row],[EarnWg2Qae]],tblParticipants[[#This Row],[EarnWg3Qae]])=3,1,0),0)</f>
        <v>0</v>
      </c>
      <c r="CE491" s="12">
        <f>IF(tblParticipants[[#This Row],[EmplAll3Qae]]=1,tblParticipants[[#This Row],[Earnings2Qae]]+tblParticipants[[#This Row],[Earnings3Qae]],0)</f>
        <v>0</v>
      </c>
      <c r="CF491" s="407"/>
    </row>
    <row r="492" spans="1:84" x14ac:dyDescent="0.3">
      <c r="A492" s="19"/>
      <c r="B492" s="19"/>
      <c r="C492" s="20"/>
      <c r="D492" s="20"/>
      <c r="E492" s="26"/>
      <c r="F492" s="26"/>
      <c r="G492" s="26"/>
      <c r="H492" s="26"/>
      <c r="I492" s="26"/>
      <c r="J492" s="26"/>
      <c r="K492" s="26"/>
      <c r="L492" s="26"/>
      <c r="M492" s="20"/>
      <c r="N492" s="26"/>
      <c r="O492" s="22"/>
      <c r="P492" s="21"/>
      <c r="Q492" s="23"/>
      <c r="R492" s="21"/>
      <c r="S492" s="21"/>
      <c r="T492" s="21"/>
      <c r="U492" s="21"/>
      <c r="V492" s="21"/>
      <c r="W492" s="24"/>
      <c r="X492" s="20"/>
      <c r="Y492" s="20"/>
      <c r="Z492" s="21"/>
      <c r="AA492" s="21"/>
      <c r="AB492" s="21"/>
      <c r="AC492" s="21"/>
      <c r="AD492" s="21"/>
      <c r="AE492" s="21"/>
      <c r="AF492" s="21"/>
      <c r="AG492" s="21"/>
      <c r="AH492" s="21"/>
      <c r="AI492" s="25"/>
      <c r="AJ492" s="20"/>
      <c r="AK492" s="21"/>
      <c r="AL492" s="20"/>
      <c r="AM492" s="20"/>
      <c r="AN492" s="20"/>
      <c r="AO492" s="20"/>
      <c r="AP492" s="446"/>
      <c r="AQ492" s="20"/>
      <c r="AR492" s="20"/>
      <c r="AS492" s="20"/>
      <c r="AT492" s="20"/>
      <c r="AU492" s="26"/>
      <c r="AV492" s="98"/>
      <c r="AW492" s="98"/>
      <c r="AX492" s="98"/>
      <c r="AY492" s="98"/>
      <c r="AZ492" s="98"/>
      <c r="BA492" s="217"/>
      <c r="BB492" s="98"/>
      <c r="BC492" s="98"/>
      <c r="BD492" s="98"/>
      <c r="BE492" s="98"/>
      <c r="BF492" s="98"/>
      <c r="BG492" s="219"/>
      <c r="BH492" s="219"/>
      <c r="BI492" s="219"/>
      <c r="BJ492" s="26"/>
      <c r="BK492" s="21"/>
      <c r="BL492" s="21"/>
      <c r="BM492" s="22"/>
      <c r="BN492" s="21"/>
      <c r="BO492" s="21"/>
      <c r="BP492" s="22"/>
      <c r="BQ492" s="21"/>
      <c r="BR492" s="21"/>
      <c r="BS492" s="22"/>
      <c r="BT49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92" s="109" t="str">
        <f>IF(ISNUMBER(tblParticipants[[#This Row],[SvcStartDate]]),IF(AND(tblParticipants[[#This Row],[EnrollQtr]]=1,tblParticipants[[#This Row],[SvcStartDate]]&lt;DATE(conProgYear,7,1)),1,""),"")</f>
        <v/>
      </c>
      <c r="BV49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92" s="232" t="str">
        <f t="shared" ca="1" si="7"/>
        <v/>
      </c>
      <c r="BX492" s="9">
        <f>IF(SUM(IF(tblParticipants[[#This Row],[AmIndOrAkNtv]]=1,1,0),IF(tblParticipants[[#This Row],[Asian]]=1,1,0),IF(tblParticipants[[#This Row],[BlkOrAfAmer]]=1,1,0),IF(tblParticipants[[#This Row],[NtvHawOrPacIsl]]=1,1,0),IF(tblParticipants[[#This Row],[White]]=1,1,0))&gt;1,1,0)</f>
        <v>0</v>
      </c>
      <c r="BY49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9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9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92" s="11">
        <f>IF(tblParticipants[[#This Row],[EarnWg2Qae]]=1,IFERROR(tblParticipants[[#This Row],[HoursPerWk2Qae]]*tblParticipants[[#This Row],[HrlyWg2Qae]]*13,0),0)</f>
        <v>0</v>
      </c>
      <c r="CC492" s="11">
        <f>IF(tblParticipants[[#This Row],[EarnWg3Qae]]=1,IFERROR(tblParticipants[[#This Row],[HoursPerWk3Qae]]*tblParticipants[[#This Row],[HrlyWg3Qae]]*13,0),0)</f>
        <v>0</v>
      </c>
      <c r="CD492" s="9">
        <f>IFERROR(IF(SUM(tblParticipants[[#This Row],[EarnWg1Qae]],tblParticipants[[#This Row],[EarnWg2Qae]],tblParticipants[[#This Row],[EarnWg3Qae]])=3,1,0),0)</f>
        <v>0</v>
      </c>
      <c r="CE492" s="12">
        <f>IF(tblParticipants[[#This Row],[EmplAll3Qae]]=1,tblParticipants[[#This Row],[Earnings2Qae]]+tblParticipants[[#This Row],[Earnings3Qae]],0)</f>
        <v>0</v>
      </c>
      <c r="CF492" s="407"/>
    </row>
    <row r="493" spans="1:84" x14ac:dyDescent="0.3">
      <c r="A493" s="19"/>
      <c r="B493" s="19"/>
      <c r="C493" s="20"/>
      <c r="D493" s="20"/>
      <c r="E493" s="26"/>
      <c r="F493" s="26"/>
      <c r="G493" s="26"/>
      <c r="H493" s="26"/>
      <c r="I493" s="26"/>
      <c r="J493" s="26"/>
      <c r="K493" s="26"/>
      <c r="L493" s="26"/>
      <c r="M493" s="20"/>
      <c r="N493" s="26"/>
      <c r="O493" s="22"/>
      <c r="P493" s="21"/>
      <c r="Q493" s="23"/>
      <c r="R493" s="21"/>
      <c r="S493" s="21"/>
      <c r="T493" s="21"/>
      <c r="U493" s="21"/>
      <c r="V493" s="21"/>
      <c r="W493" s="24"/>
      <c r="X493" s="20"/>
      <c r="Y493" s="20"/>
      <c r="Z493" s="21"/>
      <c r="AA493" s="21"/>
      <c r="AB493" s="21"/>
      <c r="AC493" s="21"/>
      <c r="AD493" s="21"/>
      <c r="AE493" s="21"/>
      <c r="AF493" s="21"/>
      <c r="AG493" s="21"/>
      <c r="AH493" s="21"/>
      <c r="AI493" s="25"/>
      <c r="AJ493" s="20"/>
      <c r="AK493" s="21"/>
      <c r="AL493" s="20"/>
      <c r="AM493" s="20"/>
      <c r="AN493" s="20"/>
      <c r="AO493" s="20"/>
      <c r="AP493" s="446"/>
      <c r="AQ493" s="20"/>
      <c r="AR493" s="20"/>
      <c r="AS493" s="20"/>
      <c r="AT493" s="20"/>
      <c r="AU493" s="26"/>
      <c r="AV493" s="98"/>
      <c r="AW493" s="98"/>
      <c r="AX493" s="98"/>
      <c r="AY493" s="98"/>
      <c r="AZ493" s="98"/>
      <c r="BA493" s="217"/>
      <c r="BB493" s="98"/>
      <c r="BC493" s="98"/>
      <c r="BD493" s="98"/>
      <c r="BE493" s="98"/>
      <c r="BF493" s="98"/>
      <c r="BG493" s="219"/>
      <c r="BH493" s="219"/>
      <c r="BI493" s="219"/>
      <c r="BJ493" s="26"/>
      <c r="BK493" s="21"/>
      <c r="BL493" s="21"/>
      <c r="BM493" s="22"/>
      <c r="BN493" s="21"/>
      <c r="BO493" s="21"/>
      <c r="BP493" s="22"/>
      <c r="BQ493" s="21"/>
      <c r="BR493" s="21"/>
      <c r="BS493" s="22"/>
      <c r="BT49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93" s="109" t="str">
        <f>IF(ISNUMBER(tblParticipants[[#This Row],[SvcStartDate]]),IF(AND(tblParticipants[[#This Row],[EnrollQtr]]=1,tblParticipants[[#This Row],[SvcStartDate]]&lt;DATE(conProgYear,7,1)),1,""),"")</f>
        <v/>
      </c>
      <c r="BV49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93" s="232" t="str">
        <f t="shared" ca="1" si="7"/>
        <v/>
      </c>
      <c r="BX493" s="9">
        <f>IF(SUM(IF(tblParticipants[[#This Row],[AmIndOrAkNtv]]=1,1,0),IF(tblParticipants[[#This Row],[Asian]]=1,1,0),IF(tblParticipants[[#This Row],[BlkOrAfAmer]]=1,1,0),IF(tblParticipants[[#This Row],[NtvHawOrPacIsl]]=1,1,0),IF(tblParticipants[[#This Row],[White]]=1,1,0))&gt;1,1,0)</f>
        <v>0</v>
      </c>
      <c r="BY49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9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9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93" s="11">
        <f>IF(tblParticipants[[#This Row],[EarnWg2Qae]]=1,IFERROR(tblParticipants[[#This Row],[HoursPerWk2Qae]]*tblParticipants[[#This Row],[HrlyWg2Qae]]*13,0),0)</f>
        <v>0</v>
      </c>
      <c r="CC493" s="11">
        <f>IF(tblParticipants[[#This Row],[EarnWg3Qae]]=1,IFERROR(tblParticipants[[#This Row],[HoursPerWk3Qae]]*tblParticipants[[#This Row],[HrlyWg3Qae]]*13,0),0)</f>
        <v>0</v>
      </c>
      <c r="CD493" s="9">
        <f>IFERROR(IF(SUM(tblParticipants[[#This Row],[EarnWg1Qae]],tblParticipants[[#This Row],[EarnWg2Qae]],tblParticipants[[#This Row],[EarnWg3Qae]])=3,1,0),0)</f>
        <v>0</v>
      </c>
      <c r="CE493" s="12">
        <f>IF(tblParticipants[[#This Row],[EmplAll3Qae]]=1,tblParticipants[[#This Row],[Earnings2Qae]]+tblParticipants[[#This Row],[Earnings3Qae]],0)</f>
        <v>0</v>
      </c>
      <c r="CF493" s="407"/>
    </row>
    <row r="494" spans="1:84" x14ac:dyDescent="0.3">
      <c r="A494" s="19"/>
      <c r="B494" s="19"/>
      <c r="C494" s="20"/>
      <c r="D494" s="20"/>
      <c r="E494" s="26"/>
      <c r="F494" s="26"/>
      <c r="G494" s="26"/>
      <c r="H494" s="26"/>
      <c r="I494" s="26"/>
      <c r="J494" s="26"/>
      <c r="K494" s="26"/>
      <c r="L494" s="26"/>
      <c r="M494" s="20"/>
      <c r="N494" s="26"/>
      <c r="O494" s="22"/>
      <c r="P494" s="21"/>
      <c r="Q494" s="23"/>
      <c r="R494" s="21"/>
      <c r="S494" s="21"/>
      <c r="T494" s="21"/>
      <c r="U494" s="21"/>
      <c r="V494" s="21"/>
      <c r="W494" s="24"/>
      <c r="X494" s="20"/>
      <c r="Y494" s="20"/>
      <c r="Z494" s="21"/>
      <c r="AA494" s="21"/>
      <c r="AB494" s="21"/>
      <c r="AC494" s="21"/>
      <c r="AD494" s="21"/>
      <c r="AE494" s="21"/>
      <c r="AF494" s="21"/>
      <c r="AG494" s="21"/>
      <c r="AH494" s="21"/>
      <c r="AI494" s="25"/>
      <c r="AJ494" s="20"/>
      <c r="AK494" s="21"/>
      <c r="AL494" s="20"/>
      <c r="AM494" s="20"/>
      <c r="AN494" s="20"/>
      <c r="AO494" s="20"/>
      <c r="AP494" s="446"/>
      <c r="AQ494" s="20"/>
      <c r="AR494" s="20"/>
      <c r="AS494" s="20"/>
      <c r="AT494" s="20"/>
      <c r="AU494" s="26"/>
      <c r="AV494" s="98"/>
      <c r="AW494" s="98"/>
      <c r="AX494" s="98"/>
      <c r="AY494" s="98"/>
      <c r="AZ494" s="98"/>
      <c r="BA494" s="217"/>
      <c r="BB494" s="98"/>
      <c r="BC494" s="98"/>
      <c r="BD494" s="98"/>
      <c r="BE494" s="98"/>
      <c r="BF494" s="98"/>
      <c r="BG494" s="219"/>
      <c r="BH494" s="219"/>
      <c r="BI494" s="219"/>
      <c r="BJ494" s="26"/>
      <c r="BK494" s="21"/>
      <c r="BL494" s="21"/>
      <c r="BM494" s="22"/>
      <c r="BN494" s="21"/>
      <c r="BO494" s="21"/>
      <c r="BP494" s="22"/>
      <c r="BQ494" s="21"/>
      <c r="BR494" s="21"/>
      <c r="BS494" s="22"/>
      <c r="BT49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94" s="109" t="str">
        <f>IF(ISNUMBER(tblParticipants[[#This Row],[SvcStartDate]]),IF(AND(tblParticipants[[#This Row],[EnrollQtr]]=1,tblParticipants[[#This Row],[SvcStartDate]]&lt;DATE(conProgYear,7,1)),1,""),"")</f>
        <v/>
      </c>
      <c r="BV49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94" s="232" t="str">
        <f t="shared" ca="1" si="7"/>
        <v/>
      </c>
      <c r="BX494" s="9">
        <f>IF(SUM(IF(tblParticipants[[#This Row],[AmIndOrAkNtv]]=1,1,0),IF(tblParticipants[[#This Row],[Asian]]=1,1,0),IF(tblParticipants[[#This Row],[BlkOrAfAmer]]=1,1,0),IF(tblParticipants[[#This Row],[NtvHawOrPacIsl]]=1,1,0),IF(tblParticipants[[#This Row],[White]]=1,1,0))&gt;1,1,0)</f>
        <v>0</v>
      </c>
      <c r="BY49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9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9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94" s="11">
        <f>IF(tblParticipants[[#This Row],[EarnWg2Qae]]=1,IFERROR(tblParticipants[[#This Row],[HoursPerWk2Qae]]*tblParticipants[[#This Row],[HrlyWg2Qae]]*13,0),0)</f>
        <v>0</v>
      </c>
      <c r="CC494" s="11">
        <f>IF(tblParticipants[[#This Row],[EarnWg3Qae]]=1,IFERROR(tblParticipants[[#This Row],[HoursPerWk3Qae]]*tblParticipants[[#This Row],[HrlyWg3Qae]]*13,0),0)</f>
        <v>0</v>
      </c>
      <c r="CD494" s="9">
        <f>IFERROR(IF(SUM(tblParticipants[[#This Row],[EarnWg1Qae]],tblParticipants[[#This Row],[EarnWg2Qae]],tblParticipants[[#This Row],[EarnWg3Qae]])=3,1,0),0)</f>
        <v>0</v>
      </c>
      <c r="CE494" s="12">
        <f>IF(tblParticipants[[#This Row],[EmplAll3Qae]]=1,tblParticipants[[#This Row],[Earnings2Qae]]+tblParticipants[[#This Row],[Earnings3Qae]],0)</f>
        <v>0</v>
      </c>
      <c r="CF494" s="407"/>
    </row>
    <row r="495" spans="1:84" x14ac:dyDescent="0.3">
      <c r="A495" s="19"/>
      <c r="B495" s="19"/>
      <c r="C495" s="20"/>
      <c r="D495" s="20"/>
      <c r="E495" s="26"/>
      <c r="F495" s="26"/>
      <c r="G495" s="26"/>
      <c r="H495" s="26"/>
      <c r="I495" s="26"/>
      <c r="J495" s="26"/>
      <c r="K495" s="26"/>
      <c r="L495" s="26"/>
      <c r="M495" s="20"/>
      <c r="N495" s="26"/>
      <c r="O495" s="22"/>
      <c r="P495" s="21"/>
      <c r="Q495" s="23"/>
      <c r="R495" s="21"/>
      <c r="S495" s="21"/>
      <c r="T495" s="21"/>
      <c r="U495" s="21"/>
      <c r="V495" s="21"/>
      <c r="W495" s="24"/>
      <c r="X495" s="20"/>
      <c r="Y495" s="20"/>
      <c r="Z495" s="21"/>
      <c r="AA495" s="21"/>
      <c r="AB495" s="21"/>
      <c r="AC495" s="21"/>
      <c r="AD495" s="21"/>
      <c r="AE495" s="21"/>
      <c r="AF495" s="21"/>
      <c r="AG495" s="21"/>
      <c r="AH495" s="21"/>
      <c r="AI495" s="25"/>
      <c r="AJ495" s="20"/>
      <c r="AK495" s="21"/>
      <c r="AL495" s="20"/>
      <c r="AM495" s="20"/>
      <c r="AN495" s="20"/>
      <c r="AO495" s="20"/>
      <c r="AP495" s="446"/>
      <c r="AQ495" s="20"/>
      <c r="AR495" s="20"/>
      <c r="AS495" s="20"/>
      <c r="AT495" s="20"/>
      <c r="AU495" s="26"/>
      <c r="AV495" s="98"/>
      <c r="AW495" s="98"/>
      <c r="AX495" s="98"/>
      <c r="AY495" s="98"/>
      <c r="AZ495" s="98"/>
      <c r="BA495" s="217"/>
      <c r="BB495" s="98"/>
      <c r="BC495" s="98"/>
      <c r="BD495" s="98"/>
      <c r="BE495" s="98"/>
      <c r="BF495" s="98"/>
      <c r="BG495" s="219"/>
      <c r="BH495" s="219"/>
      <c r="BI495" s="219"/>
      <c r="BJ495" s="26"/>
      <c r="BK495" s="21"/>
      <c r="BL495" s="21"/>
      <c r="BM495" s="22"/>
      <c r="BN495" s="21"/>
      <c r="BO495" s="21"/>
      <c r="BP495" s="22"/>
      <c r="BQ495" s="21"/>
      <c r="BR495" s="21"/>
      <c r="BS495" s="22"/>
      <c r="BT495"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95" s="109" t="str">
        <f>IF(ISNUMBER(tblParticipants[[#This Row],[SvcStartDate]]),IF(AND(tblParticipants[[#This Row],[EnrollQtr]]=1,tblParticipants[[#This Row],[SvcStartDate]]&lt;DATE(conProgYear,7,1)),1,""),"")</f>
        <v/>
      </c>
      <c r="BV495"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95" s="232" t="str">
        <f t="shared" ca="1" si="7"/>
        <v/>
      </c>
      <c r="BX495" s="9">
        <f>IF(SUM(IF(tblParticipants[[#This Row],[AmIndOrAkNtv]]=1,1,0),IF(tblParticipants[[#This Row],[Asian]]=1,1,0),IF(tblParticipants[[#This Row],[BlkOrAfAmer]]=1,1,0),IF(tblParticipants[[#This Row],[NtvHawOrPacIsl]]=1,1,0),IF(tblParticipants[[#This Row],[White]]=1,1,0))&gt;1,1,0)</f>
        <v>0</v>
      </c>
      <c r="BY495"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95"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95"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95" s="11">
        <f>IF(tblParticipants[[#This Row],[EarnWg2Qae]]=1,IFERROR(tblParticipants[[#This Row],[HoursPerWk2Qae]]*tblParticipants[[#This Row],[HrlyWg2Qae]]*13,0),0)</f>
        <v>0</v>
      </c>
      <c r="CC495" s="11">
        <f>IF(tblParticipants[[#This Row],[EarnWg3Qae]]=1,IFERROR(tblParticipants[[#This Row],[HoursPerWk3Qae]]*tblParticipants[[#This Row],[HrlyWg3Qae]]*13,0),0)</f>
        <v>0</v>
      </c>
      <c r="CD495" s="9">
        <f>IFERROR(IF(SUM(tblParticipants[[#This Row],[EarnWg1Qae]],tblParticipants[[#This Row],[EarnWg2Qae]],tblParticipants[[#This Row],[EarnWg3Qae]])=3,1,0),0)</f>
        <v>0</v>
      </c>
      <c r="CE495" s="12">
        <f>IF(tblParticipants[[#This Row],[EmplAll3Qae]]=1,tblParticipants[[#This Row],[Earnings2Qae]]+tblParticipants[[#This Row],[Earnings3Qae]],0)</f>
        <v>0</v>
      </c>
      <c r="CF495" s="407"/>
    </row>
    <row r="496" spans="1:84" x14ac:dyDescent="0.3">
      <c r="A496" s="19"/>
      <c r="B496" s="19"/>
      <c r="C496" s="20"/>
      <c r="D496" s="20"/>
      <c r="E496" s="26"/>
      <c r="F496" s="26"/>
      <c r="G496" s="26"/>
      <c r="H496" s="26"/>
      <c r="I496" s="26"/>
      <c r="J496" s="26"/>
      <c r="K496" s="26"/>
      <c r="L496" s="26"/>
      <c r="M496" s="20"/>
      <c r="N496" s="26"/>
      <c r="O496" s="22"/>
      <c r="P496" s="21"/>
      <c r="Q496" s="23"/>
      <c r="R496" s="21"/>
      <c r="S496" s="21"/>
      <c r="T496" s="21"/>
      <c r="U496" s="21"/>
      <c r="V496" s="21"/>
      <c r="W496" s="24"/>
      <c r="X496" s="20"/>
      <c r="Y496" s="20"/>
      <c r="Z496" s="21"/>
      <c r="AA496" s="21"/>
      <c r="AB496" s="21"/>
      <c r="AC496" s="21"/>
      <c r="AD496" s="21"/>
      <c r="AE496" s="21"/>
      <c r="AF496" s="21"/>
      <c r="AG496" s="21"/>
      <c r="AH496" s="21"/>
      <c r="AI496" s="25"/>
      <c r="AJ496" s="20"/>
      <c r="AK496" s="21"/>
      <c r="AL496" s="20"/>
      <c r="AM496" s="20"/>
      <c r="AN496" s="20"/>
      <c r="AO496" s="20"/>
      <c r="AP496" s="446"/>
      <c r="AQ496" s="20"/>
      <c r="AR496" s="20"/>
      <c r="AS496" s="20"/>
      <c r="AT496" s="20"/>
      <c r="AU496" s="26"/>
      <c r="AV496" s="98"/>
      <c r="AW496" s="98"/>
      <c r="AX496" s="98"/>
      <c r="AY496" s="98"/>
      <c r="AZ496" s="98"/>
      <c r="BA496" s="217"/>
      <c r="BB496" s="98"/>
      <c r="BC496" s="98"/>
      <c r="BD496" s="98"/>
      <c r="BE496" s="98"/>
      <c r="BF496" s="98"/>
      <c r="BG496" s="219"/>
      <c r="BH496" s="219"/>
      <c r="BI496" s="219"/>
      <c r="BJ496" s="26"/>
      <c r="BK496" s="21"/>
      <c r="BL496" s="21"/>
      <c r="BM496" s="22"/>
      <c r="BN496" s="21"/>
      <c r="BO496" s="21"/>
      <c r="BP496" s="22"/>
      <c r="BQ496" s="21"/>
      <c r="BR496" s="21"/>
      <c r="BS496" s="22"/>
      <c r="BT496"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96" s="109" t="str">
        <f>IF(ISNUMBER(tblParticipants[[#This Row],[SvcStartDate]]),IF(AND(tblParticipants[[#This Row],[EnrollQtr]]=1,tblParticipants[[#This Row],[SvcStartDate]]&lt;DATE(conProgYear,7,1)),1,""),"")</f>
        <v/>
      </c>
      <c r="BV496"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96" s="232" t="str">
        <f t="shared" ca="1" si="7"/>
        <v/>
      </c>
      <c r="BX496" s="9">
        <f>IF(SUM(IF(tblParticipants[[#This Row],[AmIndOrAkNtv]]=1,1,0),IF(tblParticipants[[#This Row],[Asian]]=1,1,0),IF(tblParticipants[[#This Row],[BlkOrAfAmer]]=1,1,0),IF(tblParticipants[[#This Row],[NtvHawOrPacIsl]]=1,1,0),IF(tblParticipants[[#This Row],[White]]=1,1,0))&gt;1,1,0)</f>
        <v>0</v>
      </c>
      <c r="BY496"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96"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96"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96" s="11">
        <f>IF(tblParticipants[[#This Row],[EarnWg2Qae]]=1,IFERROR(tblParticipants[[#This Row],[HoursPerWk2Qae]]*tblParticipants[[#This Row],[HrlyWg2Qae]]*13,0),0)</f>
        <v>0</v>
      </c>
      <c r="CC496" s="11">
        <f>IF(tblParticipants[[#This Row],[EarnWg3Qae]]=1,IFERROR(tblParticipants[[#This Row],[HoursPerWk3Qae]]*tblParticipants[[#This Row],[HrlyWg3Qae]]*13,0),0)</f>
        <v>0</v>
      </c>
      <c r="CD496" s="9">
        <f>IFERROR(IF(SUM(tblParticipants[[#This Row],[EarnWg1Qae]],tblParticipants[[#This Row],[EarnWg2Qae]],tblParticipants[[#This Row],[EarnWg3Qae]])=3,1,0),0)</f>
        <v>0</v>
      </c>
      <c r="CE496" s="12">
        <f>IF(tblParticipants[[#This Row],[EmplAll3Qae]]=1,tblParticipants[[#This Row],[Earnings2Qae]]+tblParticipants[[#This Row],[Earnings3Qae]],0)</f>
        <v>0</v>
      </c>
      <c r="CF496" s="407"/>
    </row>
    <row r="497" spans="1:84" x14ac:dyDescent="0.3">
      <c r="A497" s="19"/>
      <c r="B497" s="19"/>
      <c r="C497" s="20"/>
      <c r="D497" s="20"/>
      <c r="E497" s="26"/>
      <c r="F497" s="26"/>
      <c r="G497" s="26"/>
      <c r="H497" s="26"/>
      <c r="I497" s="26"/>
      <c r="J497" s="26"/>
      <c r="K497" s="26"/>
      <c r="L497" s="26"/>
      <c r="M497" s="20"/>
      <c r="N497" s="26"/>
      <c r="O497" s="22"/>
      <c r="P497" s="21"/>
      <c r="Q497" s="23"/>
      <c r="R497" s="21"/>
      <c r="S497" s="21"/>
      <c r="T497" s="21"/>
      <c r="U497" s="21"/>
      <c r="V497" s="21"/>
      <c r="W497" s="24"/>
      <c r="X497" s="20"/>
      <c r="Y497" s="20"/>
      <c r="Z497" s="21"/>
      <c r="AA497" s="21"/>
      <c r="AB497" s="21"/>
      <c r="AC497" s="21"/>
      <c r="AD497" s="21"/>
      <c r="AE497" s="21"/>
      <c r="AF497" s="21"/>
      <c r="AG497" s="21"/>
      <c r="AH497" s="21"/>
      <c r="AI497" s="25"/>
      <c r="AJ497" s="20"/>
      <c r="AK497" s="21"/>
      <c r="AL497" s="20"/>
      <c r="AM497" s="20"/>
      <c r="AN497" s="20"/>
      <c r="AO497" s="20"/>
      <c r="AP497" s="446"/>
      <c r="AQ497" s="20"/>
      <c r="AR497" s="20"/>
      <c r="AS497" s="20"/>
      <c r="AT497" s="20"/>
      <c r="AU497" s="26"/>
      <c r="AV497" s="98"/>
      <c r="AW497" s="98"/>
      <c r="AX497" s="98"/>
      <c r="AY497" s="98"/>
      <c r="AZ497" s="98"/>
      <c r="BA497" s="217"/>
      <c r="BB497" s="98"/>
      <c r="BC497" s="98"/>
      <c r="BD497" s="98"/>
      <c r="BE497" s="98"/>
      <c r="BF497" s="98"/>
      <c r="BG497" s="219"/>
      <c r="BH497" s="219"/>
      <c r="BI497" s="219"/>
      <c r="BJ497" s="26"/>
      <c r="BK497" s="21"/>
      <c r="BL497" s="21"/>
      <c r="BM497" s="22"/>
      <c r="BN497" s="21"/>
      <c r="BO497" s="21"/>
      <c r="BP497" s="22"/>
      <c r="BQ497" s="21"/>
      <c r="BR497" s="21"/>
      <c r="BS497" s="22"/>
      <c r="BT497"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97" s="109" t="str">
        <f>IF(ISNUMBER(tblParticipants[[#This Row],[SvcStartDate]]),IF(AND(tblParticipants[[#This Row],[EnrollQtr]]=1,tblParticipants[[#This Row],[SvcStartDate]]&lt;DATE(conProgYear,7,1)),1,""),"")</f>
        <v/>
      </c>
      <c r="BV497"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97" s="232" t="str">
        <f t="shared" ca="1" si="7"/>
        <v/>
      </c>
      <c r="BX497" s="9">
        <f>IF(SUM(IF(tblParticipants[[#This Row],[AmIndOrAkNtv]]=1,1,0),IF(tblParticipants[[#This Row],[Asian]]=1,1,0),IF(tblParticipants[[#This Row],[BlkOrAfAmer]]=1,1,0),IF(tblParticipants[[#This Row],[NtvHawOrPacIsl]]=1,1,0),IF(tblParticipants[[#This Row],[White]]=1,1,0))&gt;1,1,0)</f>
        <v>0</v>
      </c>
      <c r="BY497"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97"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97"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97" s="11">
        <f>IF(tblParticipants[[#This Row],[EarnWg2Qae]]=1,IFERROR(tblParticipants[[#This Row],[HoursPerWk2Qae]]*tblParticipants[[#This Row],[HrlyWg2Qae]]*13,0),0)</f>
        <v>0</v>
      </c>
      <c r="CC497" s="11">
        <f>IF(tblParticipants[[#This Row],[EarnWg3Qae]]=1,IFERROR(tblParticipants[[#This Row],[HoursPerWk3Qae]]*tblParticipants[[#This Row],[HrlyWg3Qae]]*13,0),0)</f>
        <v>0</v>
      </c>
      <c r="CD497" s="9">
        <f>IFERROR(IF(SUM(tblParticipants[[#This Row],[EarnWg1Qae]],tblParticipants[[#This Row],[EarnWg2Qae]],tblParticipants[[#This Row],[EarnWg3Qae]])=3,1,0),0)</f>
        <v>0</v>
      </c>
      <c r="CE497" s="12">
        <f>IF(tblParticipants[[#This Row],[EmplAll3Qae]]=1,tblParticipants[[#This Row],[Earnings2Qae]]+tblParticipants[[#This Row],[Earnings3Qae]],0)</f>
        <v>0</v>
      </c>
      <c r="CF497" s="407"/>
    </row>
    <row r="498" spans="1:84" x14ac:dyDescent="0.3">
      <c r="A498" s="19"/>
      <c r="B498" s="19"/>
      <c r="C498" s="20"/>
      <c r="D498" s="20"/>
      <c r="E498" s="26"/>
      <c r="F498" s="26"/>
      <c r="G498" s="26"/>
      <c r="H498" s="26"/>
      <c r="I498" s="26"/>
      <c r="J498" s="26"/>
      <c r="K498" s="26"/>
      <c r="L498" s="26"/>
      <c r="M498" s="20"/>
      <c r="N498" s="26"/>
      <c r="O498" s="22"/>
      <c r="P498" s="21"/>
      <c r="Q498" s="23"/>
      <c r="R498" s="21"/>
      <c r="S498" s="21"/>
      <c r="T498" s="21"/>
      <c r="U498" s="21"/>
      <c r="V498" s="21"/>
      <c r="W498" s="24"/>
      <c r="X498" s="20"/>
      <c r="Y498" s="20"/>
      <c r="Z498" s="21"/>
      <c r="AA498" s="21"/>
      <c r="AB498" s="21"/>
      <c r="AC498" s="21"/>
      <c r="AD498" s="21"/>
      <c r="AE498" s="21"/>
      <c r="AF498" s="21"/>
      <c r="AG498" s="21"/>
      <c r="AH498" s="21"/>
      <c r="AI498" s="25"/>
      <c r="AJ498" s="20"/>
      <c r="AK498" s="21"/>
      <c r="AL498" s="20"/>
      <c r="AM498" s="20"/>
      <c r="AN498" s="20"/>
      <c r="AO498" s="20"/>
      <c r="AP498" s="446"/>
      <c r="AQ498" s="20"/>
      <c r="AR498" s="20"/>
      <c r="AS498" s="20"/>
      <c r="AT498" s="20"/>
      <c r="AU498" s="26"/>
      <c r="AV498" s="98"/>
      <c r="AW498" s="98"/>
      <c r="AX498" s="98"/>
      <c r="AY498" s="98"/>
      <c r="AZ498" s="98"/>
      <c r="BA498" s="217"/>
      <c r="BB498" s="98"/>
      <c r="BC498" s="98"/>
      <c r="BD498" s="98"/>
      <c r="BE498" s="98"/>
      <c r="BF498" s="98"/>
      <c r="BG498" s="219"/>
      <c r="BH498" s="219"/>
      <c r="BI498" s="219"/>
      <c r="BJ498" s="26"/>
      <c r="BK498" s="21"/>
      <c r="BL498" s="21"/>
      <c r="BM498" s="22"/>
      <c r="BN498" s="21"/>
      <c r="BO498" s="21"/>
      <c r="BP498" s="22"/>
      <c r="BQ498" s="21"/>
      <c r="BR498" s="21"/>
      <c r="BS498" s="22"/>
      <c r="BT498"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98" s="109" t="str">
        <f>IF(ISNUMBER(tblParticipants[[#This Row],[SvcStartDate]]),IF(AND(tblParticipants[[#This Row],[EnrollQtr]]=1,tblParticipants[[#This Row],[SvcStartDate]]&lt;DATE(conProgYear,7,1)),1,""),"")</f>
        <v/>
      </c>
      <c r="BV498"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98" s="232" t="str">
        <f t="shared" ca="1" si="7"/>
        <v/>
      </c>
      <c r="BX498" s="9">
        <f>IF(SUM(IF(tblParticipants[[#This Row],[AmIndOrAkNtv]]=1,1,0),IF(tblParticipants[[#This Row],[Asian]]=1,1,0),IF(tblParticipants[[#This Row],[BlkOrAfAmer]]=1,1,0),IF(tblParticipants[[#This Row],[NtvHawOrPacIsl]]=1,1,0),IF(tblParticipants[[#This Row],[White]]=1,1,0))&gt;1,1,0)</f>
        <v>0</v>
      </c>
      <c r="BY498"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98"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98"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98" s="11">
        <f>IF(tblParticipants[[#This Row],[EarnWg2Qae]]=1,IFERROR(tblParticipants[[#This Row],[HoursPerWk2Qae]]*tblParticipants[[#This Row],[HrlyWg2Qae]]*13,0),0)</f>
        <v>0</v>
      </c>
      <c r="CC498" s="11">
        <f>IF(tblParticipants[[#This Row],[EarnWg3Qae]]=1,IFERROR(tblParticipants[[#This Row],[HoursPerWk3Qae]]*tblParticipants[[#This Row],[HrlyWg3Qae]]*13,0),0)</f>
        <v>0</v>
      </c>
      <c r="CD498" s="9">
        <f>IFERROR(IF(SUM(tblParticipants[[#This Row],[EarnWg1Qae]],tblParticipants[[#This Row],[EarnWg2Qae]],tblParticipants[[#This Row],[EarnWg3Qae]])=3,1,0),0)</f>
        <v>0</v>
      </c>
      <c r="CE498" s="12">
        <f>IF(tblParticipants[[#This Row],[EmplAll3Qae]]=1,tblParticipants[[#This Row],[Earnings2Qae]]+tblParticipants[[#This Row],[Earnings3Qae]],0)</f>
        <v>0</v>
      </c>
      <c r="CF498" s="407"/>
    </row>
    <row r="499" spans="1:84" x14ac:dyDescent="0.3">
      <c r="A499" s="19"/>
      <c r="B499" s="19"/>
      <c r="C499" s="20"/>
      <c r="D499" s="20"/>
      <c r="E499" s="26"/>
      <c r="F499" s="26"/>
      <c r="G499" s="26"/>
      <c r="H499" s="26"/>
      <c r="I499" s="26"/>
      <c r="J499" s="26"/>
      <c r="K499" s="26"/>
      <c r="L499" s="26"/>
      <c r="M499" s="20"/>
      <c r="N499" s="26"/>
      <c r="O499" s="22"/>
      <c r="P499" s="21"/>
      <c r="Q499" s="23"/>
      <c r="R499" s="21"/>
      <c r="S499" s="21"/>
      <c r="T499" s="21"/>
      <c r="U499" s="21"/>
      <c r="V499" s="21"/>
      <c r="W499" s="24"/>
      <c r="X499" s="20"/>
      <c r="Y499" s="20"/>
      <c r="Z499" s="21"/>
      <c r="AA499" s="21"/>
      <c r="AB499" s="21"/>
      <c r="AC499" s="21"/>
      <c r="AD499" s="21"/>
      <c r="AE499" s="21"/>
      <c r="AF499" s="21"/>
      <c r="AG499" s="21"/>
      <c r="AH499" s="21"/>
      <c r="AI499" s="25"/>
      <c r="AJ499" s="20"/>
      <c r="AK499" s="21"/>
      <c r="AL499" s="20"/>
      <c r="AM499" s="20"/>
      <c r="AN499" s="20"/>
      <c r="AO499" s="20"/>
      <c r="AP499" s="446"/>
      <c r="AQ499" s="20"/>
      <c r="AR499" s="20"/>
      <c r="AS499" s="20"/>
      <c r="AT499" s="20"/>
      <c r="AU499" s="26"/>
      <c r="AV499" s="98"/>
      <c r="AW499" s="98"/>
      <c r="AX499" s="98"/>
      <c r="AY499" s="98"/>
      <c r="AZ499" s="98"/>
      <c r="BA499" s="217"/>
      <c r="BB499" s="98"/>
      <c r="BC499" s="98"/>
      <c r="BD499" s="98"/>
      <c r="BE499" s="98"/>
      <c r="BF499" s="98"/>
      <c r="BG499" s="219"/>
      <c r="BH499" s="219"/>
      <c r="BI499" s="219"/>
      <c r="BJ499" s="26"/>
      <c r="BK499" s="21"/>
      <c r="BL499" s="21"/>
      <c r="BM499" s="22"/>
      <c r="BN499" s="21"/>
      <c r="BO499" s="21"/>
      <c r="BP499" s="22"/>
      <c r="BQ499" s="21"/>
      <c r="BR499" s="21"/>
      <c r="BS499" s="22"/>
      <c r="BT499"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499" s="109" t="str">
        <f>IF(ISNUMBER(tblParticipants[[#This Row],[SvcStartDate]]),IF(AND(tblParticipants[[#This Row],[EnrollQtr]]=1,tblParticipants[[#This Row],[SvcStartDate]]&lt;DATE(conProgYear,7,1)),1,""),"")</f>
        <v/>
      </c>
      <c r="BV499"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499" s="232" t="str">
        <f t="shared" ca="1" si="7"/>
        <v/>
      </c>
      <c r="BX499" s="9">
        <f>IF(SUM(IF(tblParticipants[[#This Row],[AmIndOrAkNtv]]=1,1,0),IF(tblParticipants[[#This Row],[Asian]]=1,1,0),IF(tblParticipants[[#This Row],[BlkOrAfAmer]]=1,1,0),IF(tblParticipants[[#This Row],[NtvHawOrPacIsl]]=1,1,0),IF(tblParticipants[[#This Row],[White]]=1,1,0))&gt;1,1,0)</f>
        <v>0</v>
      </c>
      <c r="BY499"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499"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499"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499" s="11">
        <f>IF(tblParticipants[[#This Row],[EarnWg2Qae]]=1,IFERROR(tblParticipants[[#This Row],[HoursPerWk2Qae]]*tblParticipants[[#This Row],[HrlyWg2Qae]]*13,0),0)</f>
        <v>0</v>
      </c>
      <c r="CC499" s="11">
        <f>IF(tblParticipants[[#This Row],[EarnWg3Qae]]=1,IFERROR(tblParticipants[[#This Row],[HoursPerWk3Qae]]*tblParticipants[[#This Row],[HrlyWg3Qae]]*13,0),0)</f>
        <v>0</v>
      </c>
      <c r="CD499" s="9">
        <f>IFERROR(IF(SUM(tblParticipants[[#This Row],[EarnWg1Qae]],tblParticipants[[#This Row],[EarnWg2Qae]],tblParticipants[[#This Row],[EarnWg3Qae]])=3,1,0),0)</f>
        <v>0</v>
      </c>
      <c r="CE499" s="12">
        <f>IF(tblParticipants[[#This Row],[EmplAll3Qae]]=1,tblParticipants[[#This Row],[Earnings2Qae]]+tblParticipants[[#This Row],[Earnings3Qae]],0)</f>
        <v>0</v>
      </c>
      <c r="CF499" s="407"/>
    </row>
    <row r="500" spans="1:84" x14ac:dyDescent="0.3">
      <c r="A500" s="19"/>
      <c r="B500" s="19"/>
      <c r="C500" s="20"/>
      <c r="D500" s="20"/>
      <c r="E500" s="26"/>
      <c r="F500" s="26"/>
      <c r="G500" s="26"/>
      <c r="H500" s="26"/>
      <c r="I500" s="26"/>
      <c r="J500" s="26"/>
      <c r="K500" s="26"/>
      <c r="L500" s="26"/>
      <c r="M500" s="20"/>
      <c r="N500" s="26"/>
      <c r="O500" s="22"/>
      <c r="P500" s="21"/>
      <c r="Q500" s="23"/>
      <c r="R500" s="21"/>
      <c r="S500" s="21"/>
      <c r="T500" s="21"/>
      <c r="U500" s="21"/>
      <c r="V500" s="21"/>
      <c r="W500" s="24"/>
      <c r="X500" s="20"/>
      <c r="Y500" s="20"/>
      <c r="Z500" s="21"/>
      <c r="AA500" s="21"/>
      <c r="AB500" s="21"/>
      <c r="AC500" s="21"/>
      <c r="AD500" s="21"/>
      <c r="AE500" s="21"/>
      <c r="AF500" s="21"/>
      <c r="AG500" s="21"/>
      <c r="AH500" s="21"/>
      <c r="AI500" s="25"/>
      <c r="AJ500" s="20"/>
      <c r="AK500" s="21"/>
      <c r="AL500" s="20"/>
      <c r="AM500" s="20"/>
      <c r="AN500" s="20"/>
      <c r="AO500" s="20"/>
      <c r="AP500" s="446"/>
      <c r="AQ500" s="20"/>
      <c r="AR500" s="20"/>
      <c r="AS500" s="20"/>
      <c r="AT500" s="20"/>
      <c r="AU500" s="26"/>
      <c r="AV500" s="98"/>
      <c r="AW500" s="98"/>
      <c r="AX500" s="98"/>
      <c r="AY500" s="98"/>
      <c r="AZ500" s="98"/>
      <c r="BA500" s="217"/>
      <c r="BB500" s="98"/>
      <c r="BC500" s="98"/>
      <c r="BD500" s="98"/>
      <c r="BE500" s="98"/>
      <c r="BF500" s="98"/>
      <c r="BG500" s="219"/>
      <c r="BH500" s="219"/>
      <c r="BI500" s="219"/>
      <c r="BJ500" s="26"/>
      <c r="BK500" s="21"/>
      <c r="BL500" s="21"/>
      <c r="BM500" s="22"/>
      <c r="BN500" s="21"/>
      <c r="BO500" s="21"/>
      <c r="BP500" s="22"/>
      <c r="BQ500" s="21"/>
      <c r="BR500" s="21"/>
      <c r="BS500" s="22"/>
      <c r="BT500"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500" s="109" t="str">
        <f>IF(ISNUMBER(tblParticipants[[#This Row],[SvcStartDate]]),IF(AND(tblParticipants[[#This Row],[EnrollQtr]]=1,tblParticipants[[#This Row],[SvcStartDate]]&lt;DATE(conProgYear,7,1)),1,""),"")</f>
        <v/>
      </c>
      <c r="BV500"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500" s="232" t="str">
        <f t="shared" ca="1" si="7"/>
        <v/>
      </c>
      <c r="BX500" s="9">
        <f>IF(SUM(IF(tblParticipants[[#This Row],[AmIndOrAkNtv]]=1,1,0),IF(tblParticipants[[#This Row],[Asian]]=1,1,0),IF(tblParticipants[[#This Row],[BlkOrAfAmer]]=1,1,0),IF(tblParticipants[[#This Row],[NtvHawOrPacIsl]]=1,1,0),IF(tblParticipants[[#This Row],[White]]=1,1,0))&gt;1,1,0)</f>
        <v>0</v>
      </c>
      <c r="BY500"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500"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500"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500" s="11">
        <f>IF(tblParticipants[[#This Row],[EarnWg2Qae]]=1,IFERROR(tblParticipants[[#This Row],[HoursPerWk2Qae]]*tblParticipants[[#This Row],[HrlyWg2Qae]]*13,0),0)</f>
        <v>0</v>
      </c>
      <c r="CC500" s="11">
        <f>IF(tblParticipants[[#This Row],[EarnWg3Qae]]=1,IFERROR(tblParticipants[[#This Row],[HoursPerWk3Qae]]*tblParticipants[[#This Row],[HrlyWg3Qae]]*13,0),0)</f>
        <v>0</v>
      </c>
      <c r="CD500" s="9">
        <f>IFERROR(IF(SUM(tblParticipants[[#This Row],[EarnWg1Qae]],tblParticipants[[#This Row],[EarnWg2Qae]],tblParticipants[[#This Row],[EarnWg3Qae]])=3,1,0),0)</f>
        <v>0</v>
      </c>
      <c r="CE500" s="12">
        <f>IF(tblParticipants[[#This Row],[EmplAll3Qae]]=1,tblParticipants[[#This Row],[Earnings2Qae]]+tblParticipants[[#This Row],[Earnings3Qae]],0)</f>
        <v>0</v>
      </c>
      <c r="CF500" s="407"/>
    </row>
    <row r="501" spans="1:84" x14ac:dyDescent="0.3">
      <c r="A501" s="19"/>
      <c r="B501" s="19"/>
      <c r="C501" s="20"/>
      <c r="D501" s="20"/>
      <c r="E501" s="26"/>
      <c r="F501" s="26"/>
      <c r="G501" s="26"/>
      <c r="H501" s="26"/>
      <c r="I501" s="26"/>
      <c r="J501" s="26"/>
      <c r="K501" s="26"/>
      <c r="L501" s="26"/>
      <c r="M501" s="20"/>
      <c r="N501" s="26"/>
      <c r="O501" s="22"/>
      <c r="P501" s="21"/>
      <c r="Q501" s="23"/>
      <c r="R501" s="21"/>
      <c r="S501" s="21"/>
      <c r="T501" s="21"/>
      <c r="U501" s="21"/>
      <c r="V501" s="21"/>
      <c r="W501" s="24"/>
      <c r="X501" s="20"/>
      <c r="Y501" s="20"/>
      <c r="Z501" s="21"/>
      <c r="AA501" s="21"/>
      <c r="AB501" s="21"/>
      <c r="AC501" s="21"/>
      <c r="AD501" s="21"/>
      <c r="AE501" s="21"/>
      <c r="AF501" s="21"/>
      <c r="AG501" s="21"/>
      <c r="AH501" s="21"/>
      <c r="AI501" s="25"/>
      <c r="AJ501" s="20"/>
      <c r="AK501" s="21"/>
      <c r="AL501" s="20"/>
      <c r="AM501" s="20"/>
      <c r="AN501" s="20"/>
      <c r="AO501" s="20"/>
      <c r="AP501" s="446"/>
      <c r="AQ501" s="20"/>
      <c r="AR501" s="20"/>
      <c r="AS501" s="20"/>
      <c r="AT501" s="20"/>
      <c r="AU501" s="26"/>
      <c r="AV501" s="98"/>
      <c r="AW501" s="98"/>
      <c r="AX501" s="98"/>
      <c r="AY501" s="98"/>
      <c r="AZ501" s="98"/>
      <c r="BA501" s="217"/>
      <c r="BB501" s="98"/>
      <c r="BC501" s="98"/>
      <c r="BD501" s="98"/>
      <c r="BE501" s="98"/>
      <c r="BF501" s="98"/>
      <c r="BG501" s="219"/>
      <c r="BH501" s="219"/>
      <c r="BI501" s="219"/>
      <c r="BJ501" s="26"/>
      <c r="BK501" s="21"/>
      <c r="BL501" s="21"/>
      <c r="BM501" s="22"/>
      <c r="BN501" s="21"/>
      <c r="BO501" s="21"/>
      <c r="BP501" s="22"/>
      <c r="BQ501" s="21"/>
      <c r="BR501" s="21"/>
      <c r="BS501" s="22"/>
      <c r="BT501"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501" s="109" t="str">
        <f>IF(ISNUMBER(tblParticipants[[#This Row],[SvcStartDate]]),IF(AND(tblParticipants[[#This Row],[EnrollQtr]]=1,tblParticipants[[#This Row],[SvcStartDate]]&lt;DATE(conProgYear,7,1)),1,""),"")</f>
        <v/>
      </c>
      <c r="BV501"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501" s="232" t="str">
        <f t="shared" ca="1" si="7"/>
        <v/>
      </c>
      <c r="BX501" s="9">
        <f>IF(SUM(IF(tblParticipants[[#This Row],[AmIndOrAkNtv]]=1,1,0),IF(tblParticipants[[#This Row],[Asian]]=1,1,0),IF(tblParticipants[[#This Row],[BlkOrAfAmer]]=1,1,0),IF(tblParticipants[[#This Row],[NtvHawOrPacIsl]]=1,1,0),IF(tblParticipants[[#This Row],[White]]=1,1,0))&gt;1,1,0)</f>
        <v>0</v>
      </c>
      <c r="BY501"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501"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501"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501" s="11">
        <f>IF(tblParticipants[[#This Row],[EarnWg2Qae]]=1,IFERROR(tblParticipants[[#This Row],[HoursPerWk2Qae]]*tblParticipants[[#This Row],[HrlyWg2Qae]]*13,0),0)</f>
        <v>0</v>
      </c>
      <c r="CC501" s="11">
        <f>IF(tblParticipants[[#This Row],[EarnWg3Qae]]=1,IFERROR(tblParticipants[[#This Row],[HoursPerWk3Qae]]*tblParticipants[[#This Row],[HrlyWg3Qae]]*13,0),0)</f>
        <v>0</v>
      </c>
      <c r="CD501" s="9">
        <f>IFERROR(IF(SUM(tblParticipants[[#This Row],[EarnWg1Qae]],tblParticipants[[#This Row],[EarnWg2Qae]],tblParticipants[[#This Row],[EarnWg3Qae]])=3,1,0),0)</f>
        <v>0</v>
      </c>
      <c r="CE501" s="12">
        <f>IF(tblParticipants[[#This Row],[EmplAll3Qae]]=1,tblParticipants[[#This Row],[Earnings2Qae]]+tblParticipants[[#This Row],[Earnings3Qae]],0)</f>
        <v>0</v>
      </c>
      <c r="CF501" s="407"/>
    </row>
    <row r="502" spans="1:84" x14ac:dyDescent="0.3">
      <c r="A502" s="19"/>
      <c r="B502" s="19"/>
      <c r="C502" s="20"/>
      <c r="D502" s="20"/>
      <c r="E502" s="26"/>
      <c r="F502" s="26"/>
      <c r="G502" s="26"/>
      <c r="H502" s="26"/>
      <c r="I502" s="26"/>
      <c r="J502" s="26"/>
      <c r="K502" s="26"/>
      <c r="L502" s="26"/>
      <c r="M502" s="20"/>
      <c r="N502" s="26"/>
      <c r="O502" s="22"/>
      <c r="P502" s="21"/>
      <c r="Q502" s="23"/>
      <c r="R502" s="21"/>
      <c r="S502" s="21"/>
      <c r="T502" s="21"/>
      <c r="U502" s="21"/>
      <c r="V502" s="21"/>
      <c r="W502" s="24"/>
      <c r="X502" s="20"/>
      <c r="Y502" s="20"/>
      <c r="Z502" s="21"/>
      <c r="AA502" s="21"/>
      <c r="AB502" s="21"/>
      <c r="AC502" s="21"/>
      <c r="AD502" s="21"/>
      <c r="AE502" s="21"/>
      <c r="AF502" s="21"/>
      <c r="AG502" s="21"/>
      <c r="AH502" s="21"/>
      <c r="AI502" s="25"/>
      <c r="AJ502" s="20"/>
      <c r="AK502" s="21"/>
      <c r="AL502" s="20"/>
      <c r="AM502" s="20"/>
      <c r="AN502" s="20"/>
      <c r="AO502" s="20"/>
      <c r="AP502" s="446"/>
      <c r="AQ502" s="20"/>
      <c r="AR502" s="20"/>
      <c r="AS502" s="20"/>
      <c r="AT502" s="20"/>
      <c r="AU502" s="26"/>
      <c r="AV502" s="98"/>
      <c r="AW502" s="98"/>
      <c r="AX502" s="98"/>
      <c r="AY502" s="98"/>
      <c r="AZ502" s="98"/>
      <c r="BA502" s="217"/>
      <c r="BB502" s="98"/>
      <c r="BC502" s="98"/>
      <c r="BD502" s="98"/>
      <c r="BE502" s="98"/>
      <c r="BF502" s="98"/>
      <c r="BG502" s="219"/>
      <c r="BH502" s="219"/>
      <c r="BI502" s="219"/>
      <c r="BJ502" s="26"/>
      <c r="BK502" s="21"/>
      <c r="BL502" s="21"/>
      <c r="BM502" s="22"/>
      <c r="BN502" s="21"/>
      <c r="BO502" s="21"/>
      <c r="BP502" s="22"/>
      <c r="BQ502" s="21"/>
      <c r="BR502" s="21"/>
      <c r="BS502" s="22"/>
      <c r="BT502"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502" s="109" t="str">
        <f>IF(ISNUMBER(tblParticipants[[#This Row],[SvcStartDate]]),IF(AND(tblParticipants[[#This Row],[EnrollQtr]]=1,tblParticipants[[#This Row],[SvcStartDate]]&lt;DATE(conProgYear,7,1)),1,""),"")</f>
        <v/>
      </c>
      <c r="BV502"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502" s="232" t="str">
        <f t="shared" ca="1" si="7"/>
        <v/>
      </c>
      <c r="BX502" s="9">
        <f>IF(SUM(IF(tblParticipants[[#This Row],[AmIndOrAkNtv]]=1,1,0),IF(tblParticipants[[#This Row],[Asian]]=1,1,0),IF(tblParticipants[[#This Row],[BlkOrAfAmer]]=1,1,0),IF(tblParticipants[[#This Row],[NtvHawOrPacIsl]]=1,1,0),IF(tblParticipants[[#This Row],[White]]=1,1,0))&gt;1,1,0)</f>
        <v>0</v>
      </c>
      <c r="BY502"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502"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502"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502" s="11">
        <f>IF(tblParticipants[[#This Row],[EarnWg2Qae]]=1,IFERROR(tblParticipants[[#This Row],[HoursPerWk2Qae]]*tblParticipants[[#This Row],[HrlyWg2Qae]]*13,0),0)</f>
        <v>0</v>
      </c>
      <c r="CC502" s="11">
        <f>IF(tblParticipants[[#This Row],[EarnWg3Qae]]=1,IFERROR(tblParticipants[[#This Row],[HoursPerWk3Qae]]*tblParticipants[[#This Row],[HrlyWg3Qae]]*13,0),0)</f>
        <v>0</v>
      </c>
      <c r="CD502" s="9">
        <f>IFERROR(IF(SUM(tblParticipants[[#This Row],[EarnWg1Qae]],tblParticipants[[#This Row],[EarnWg2Qae]],tblParticipants[[#This Row],[EarnWg3Qae]])=3,1,0),0)</f>
        <v>0</v>
      </c>
      <c r="CE502" s="12">
        <f>IF(tblParticipants[[#This Row],[EmplAll3Qae]]=1,tblParticipants[[#This Row],[Earnings2Qae]]+tblParticipants[[#This Row],[Earnings3Qae]],0)</f>
        <v>0</v>
      </c>
      <c r="CF502" s="407"/>
    </row>
    <row r="503" spans="1:84" x14ac:dyDescent="0.3">
      <c r="A503" s="19"/>
      <c r="B503" s="19"/>
      <c r="C503" s="20"/>
      <c r="D503" s="20"/>
      <c r="E503" s="26"/>
      <c r="F503" s="26"/>
      <c r="G503" s="26"/>
      <c r="H503" s="26"/>
      <c r="I503" s="26"/>
      <c r="J503" s="26"/>
      <c r="K503" s="26"/>
      <c r="L503" s="26"/>
      <c r="M503" s="20"/>
      <c r="N503" s="26"/>
      <c r="O503" s="22"/>
      <c r="P503" s="21"/>
      <c r="Q503" s="23"/>
      <c r="R503" s="21"/>
      <c r="S503" s="21"/>
      <c r="T503" s="21"/>
      <c r="U503" s="21"/>
      <c r="V503" s="21"/>
      <c r="W503" s="24"/>
      <c r="X503" s="20"/>
      <c r="Y503" s="20"/>
      <c r="Z503" s="21"/>
      <c r="AA503" s="21"/>
      <c r="AB503" s="21"/>
      <c r="AC503" s="21"/>
      <c r="AD503" s="21"/>
      <c r="AE503" s="21"/>
      <c r="AF503" s="21"/>
      <c r="AG503" s="21"/>
      <c r="AH503" s="21"/>
      <c r="AI503" s="25"/>
      <c r="AJ503" s="20"/>
      <c r="AK503" s="21"/>
      <c r="AL503" s="20"/>
      <c r="AM503" s="20"/>
      <c r="AN503" s="20"/>
      <c r="AO503" s="20"/>
      <c r="AP503" s="446"/>
      <c r="AQ503" s="20"/>
      <c r="AR503" s="20"/>
      <c r="AS503" s="20"/>
      <c r="AT503" s="20"/>
      <c r="AU503" s="26"/>
      <c r="AV503" s="98"/>
      <c r="AW503" s="98"/>
      <c r="AX503" s="98"/>
      <c r="AY503" s="98"/>
      <c r="AZ503" s="98"/>
      <c r="BA503" s="217"/>
      <c r="BB503" s="98"/>
      <c r="BC503" s="98"/>
      <c r="BD503" s="98"/>
      <c r="BE503" s="98"/>
      <c r="BF503" s="98"/>
      <c r="BG503" s="219"/>
      <c r="BH503" s="219"/>
      <c r="BI503" s="219"/>
      <c r="BJ503" s="26"/>
      <c r="BK503" s="21"/>
      <c r="BL503" s="21"/>
      <c r="BM503" s="22"/>
      <c r="BN503" s="21"/>
      <c r="BO503" s="21"/>
      <c r="BP503" s="22"/>
      <c r="BQ503" s="21"/>
      <c r="BR503" s="21"/>
      <c r="BS503" s="22"/>
      <c r="BT503"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503" s="109" t="str">
        <f>IF(ISNUMBER(tblParticipants[[#This Row],[SvcStartDate]]),IF(AND(tblParticipants[[#This Row],[EnrollQtr]]=1,tblParticipants[[#This Row],[SvcStartDate]]&lt;DATE(conProgYear,7,1)),1,""),"")</f>
        <v/>
      </c>
      <c r="BV503"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503" s="232" t="str">
        <f t="shared" ca="1" si="7"/>
        <v/>
      </c>
      <c r="BX503" s="9">
        <f>IF(SUM(IF(tblParticipants[[#This Row],[AmIndOrAkNtv]]=1,1,0),IF(tblParticipants[[#This Row],[Asian]]=1,1,0),IF(tblParticipants[[#This Row],[BlkOrAfAmer]]=1,1,0),IF(tblParticipants[[#This Row],[NtvHawOrPacIsl]]=1,1,0),IF(tblParticipants[[#This Row],[White]]=1,1,0))&gt;1,1,0)</f>
        <v>0</v>
      </c>
      <c r="BY503"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503"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503"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503" s="11">
        <f>IF(tblParticipants[[#This Row],[EarnWg2Qae]]=1,IFERROR(tblParticipants[[#This Row],[HoursPerWk2Qae]]*tblParticipants[[#This Row],[HrlyWg2Qae]]*13,0),0)</f>
        <v>0</v>
      </c>
      <c r="CC503" s="11">
        <f>IF(tblParticipants[[#This Row],[EarnWg3Qae]]=1,IFERROR(tblParticipants[[#This Row],[HoursPerWk3Qae]]*tblParticipants[[#This Row],[HrlyWg3Qae]]*13,0),0)</f>
        <v>0</v>
      </c>
      <c r="CD503" s="9">
        <f>IFERROR(IF(SUM(tblParticipants[[#This Row],[EarnWg1Qae]],tblParticipants[[#This Row],[EarnWg2Qae]],tblParticipants[[#This Row],[EarnWg3Qae]])=3,1,0),0)</f>
        <v>0</v>
      </c>
      <c r="CE503" s="12">
        <f>IF(tblParticipants[[#This Row],[EmplAll3Qae]]=1,tblParticipants[[#This Row],[Earnings2Qae]]+tblParticipants[[#This Row],[Earnings3Qae]],0)</f>
        <v>0</v>
      </c>
      <c r="CF503" s="407"/>
    </row>
    <row r="504" spans="1:84" x14ac:dyDescent="0.3">
      <c r="A504" s="19"/>
      <c r="B504" s="19"/>
      <c r="C504" s="20"/>
      <c r="D504" s="20"/>
      <c r="E504" s="26"/>
      <c r="F504" s="26"/>
      <c r="G504" s="26"/>
      <c r="H504" s="26"/>
      <c r="I504" s="26"/>
      <c r="J504" s="26"/>
      <c r="K504" s="26"/>
      <c r="L504" s="26"/>
      <c r="M504" s="20"/>
      <c r="N504" s="26"/>
      <c r="O504" s="22"/>
      <c r="P504" s="21"/>
      <c r="Q504" s="23"/>
      <c r="R504" s="21"/>
      <c r="S504" s="21"/>
      <c r="T504" s="21"/>
      <c r="U504" s="21"/>
      <c r="V504" s="21"/>
      <c r="W504" s="24"/>
      <c r="X504" s="20"/>
      <c r="Y504" s="20"/>
      <c r="Z504" s="21"/>
      <c r="AA504" s="21"/>
      <c r="AB504" s="21"/>
      <c r="AC504" s="21"/>
      <c r="AD504" s="21"/>
      <c r="AE504" s="21"/>
      <c r="AF504" s="21"/>
      <c r="AG504" s="21"/>
      <c r="AH504" s="21"/>
      <c r="AI504" s="25"/>
      <c r="AJ504" s="20"/>
      <c r="AK504" s="21"/>
      <c r="AL504" s="20"/>
      <c r="AM504" s="20"/>
      <c r="AN504" s="20"/>
      <c r="AO504" s="20"/>
      <c r="AP504" s="446"/>
      <c r="AQ504" s="20"/>
      <c r="AR504" s="20"/>
      <c r="AS504" s="20"/>
      <c r="AT504" s="20"/>
      <c r="AU504" s="26"/>
      <c r="AV504" s="98"/>
      <c r="AW504" s="98"/>
      <c r="AX504" s="98"/>
      <c r="AY504" s="98"/>
      <c r="AZ504" s="98"/>
      <c r="BA504" s="217"/>
      <c r="BB504" s="98"/>
      <c r="BC504" s="98"/>
      <c r="BD504" s="98"/>
      <c r="BE504" s="98"/>
      <c r="BF504" s="98"/>
      <c r="BG504" s="219"/>
      <c r="BH504" s="219"/>
      <c r="BI504" s="219"/>
      <c r="BJ504" s="26"/>
      <c r="BK504" s="21"/>
      <c r="BL504" s="21"/>
      <c r="BM504" s="22"/>
      <c r="BN504" s="21"/>
      <c r="BO504" s="21"/>
      <c r="BP504" s="22"/>
      <c r="BQ504" s="21"/>
      <c r="BR504" s="21"/>
      <c r="BS504" s="22"/>
      <c r="BT504" s="232" t="str">
        <f>IF(NOT(ISBLANK(tblParticipants[[#This Row],[SvcStartDate]])),IF(ISNUMBER(tblParticipants[[#This Row],[SvcStartDate]]),IF(AND(tblParticipants[[#This Row],[SvcStartDate]]&gt;=DATE(conProgYear-outOptYear,7,1),tblParticipants[[#This Row],[SvcStartDate]]&lt;=DATE(conProgYear,9,30)),1,IF(AND(tblParticipants[[#This Row],[SvcStartDate]]&gt;=DATE(conProgYear,10,1),tblParticipants[[#This Row],[SvcStartDate]]&lt;=DATE(conProgYear,12,31)),2,IF(AND(tblParticipants[[#This Row],[SvcStartDate]]&gt;=DATE(conProgYear+1,1,1),tblParticipants[[#This Row],[SvcStartDate]]&lt;=DATE(conProgYear+1,3,31)),3,IF(AND(tblParticipants[[#This Row],[SvcStartDate]]&gt;=DATE(conProgYear+1,4,1),tblParticipants[[#This Row],[SvcStartDate]]&lt;=DATE(conProgYear+1,6,30)),4,"ERR")))),"ERR"),"")</f>
        <v/>
      </c>
      <c r="BU504" s="109" t="str">
        <f>IF(ISNUMBER(tblParticipants[[#This Row],[SvcStartDate]]),IF(AND(tblParticipants[[#This Row],[EnrollQtr]]=1,tblParticipants[[#This Row],[SvcStartDate]]&lt;DATE(conProgYear,7,1)),1,""),"")</f>
        <v/>
      </c>
      <c r="BV504" s="10" t="str">
        <f>IF(NOT(ISBLANK(tblParticipants[[#This Row],[SvcEndDate]])),IF(ISNUMBER(tblParticipants[[#This Row],[SvcEndDate]]),IF(AND(ISNUMBER(tblParticipants[[#This Row],[EnrollQtr]]),tblParticipants[[#This Row],[EnrollQtr]]&gt;=1,tblParticipants[[#This Row],[EnrollQtr]]&lt;=4),IF(tblParticipants[[#This Row],[CarryOver]]=1,IF(AND(tblParticipants[[#This Row],[SvcEndDate]]&gt;=DATE(conProgYear,7,1),tblParticipants[[#This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Row],[SvcEndDate]]&lt;=DATE(conProgYear+1,6,30)),4,"ERR")))),"ERR"),IF(AND(tblParticipants[[#This Row],[SvcEndDate]]&gt;=tblParticipants[[#This Row],[SvcStartDate]],tblParticipants[[#This Row],[SvcEndDate]]&lt;=DATE(conProgYear+1,6,30)),IF(AND(tblParticipants[[#This Row],[SvcEndDate]]&gt;=DATE(conProgYear,7,1),tblParticipants[[#This Row],[SvcEndDate]]&lt;=DATE(conProgYear,9,30)),1,IF(AND(tblParticipants[[#This Row],[SvcEndDate]]&gt;=DATE(conProgYear,10,1),tblParticipants[[#This Row],[SvcEndDate]]&lt;=DATE(conProgYear,12,31)),2,IF(AND(tblParticipants[[#This Row],[SvcEndDate]]&gt;=DATE(conProgYear+1,1,1),tblParticipants[[#This Row],[SvcEndDate]]&lt;=DATE(conProgYear+1,3,31)),3,IF(AND(tblParticipants[[#This Row],[SvcEndDate]]&gt;=DATE(conProgYear+1,4,1),tblParticipants[[#This Row],[SvcEndDate]]&lt;=DATE(conProgYear+1,6,30)),4,"ERR")))),"ERR")),"ERR"),"ERR"),"")</f>
        <v/>
      </c>
      <c r="BW504" s="232" t="str">
        <f t="shared" ca="1" si="7"/>
        <v/>
      </c>
      <c r="BX504" s="9">
        <f>IF(SUM(IF(tblParticipants[[#This Row],[AmIndOrAkNtv]]=1,1,0),IF(tblParticipants[[#This Row],[Asian]]=1,1,0),IF(tblParticipants[[#This Row],[BlkOrAfAmer]]=1,1,0),IF(tblParticipants[[#This Row],[NtvHawOrPacIsl]]=1,1,0),IF(tblParticipants[[#This Row],[White]]=1,1,0))&gt;1,1,0)</f>
        <v>0</v>
      </c>
      <c r="BY504" s="234" t="str">
        <f>IF(AND(ISNUMBER(tblParticipants[[#This Row],[MilSvcDischargeDate]]),ISNUMBER(tblParticipants[[#This Row],[SvcStartDate]])),IF(AND(tblParticipants[[#This Row],[SvcStartDate]]&gt;=1,tblParticipants[[#This Row],[MilSvcDischargeDate]]&gt;=1,tblParticipants[[#This Row],[MilSvcDischargeDate]]&lt;=tblParticipants[[#This Row],[SvcStartDate]]),DATEDIF(tblParticipants[[#This Row],[MilSvcDischargeDate]],tblParticipants[[#This Row],[SvcStartDate]],"Y"),""),"")</f>
        <v/>
      </c>
      <c r="BZ504" s="18" t="str">
        <f>IF(MIN(tblParticipants[[#This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Row],[DtLastCustomTrn]])&gt;0,MIN(tblParticipants[[#This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A504" s="17" t="str">
        <f>IF(MAX(tblParticipants[[#This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Row],[DtLastCustomTrn]])&gt;0,MAX(tblParticipants[[#This Row],[DtFirstOjt]],tblParticipants[[#This Row],[DtFirstCareerTechTrn]],tblParticipants[[#This Row],[DtFirstEntrepTrn]],tblParticipants[[#This Row],[DtFirstOtherTrn]],tblParticipants[[#This Row],[DtFirstCustomTrn]],tblParticipants[[#This Row],[DtLastOjt]],tblParticipants[[#This Row],[DtLastCareerTechTrn]],tblParticipants[[#This Row],[DtLastEntrepTrn]],tblParticipants[[#This Row],[DtLastOtherTrn]],tblParticipants[[#This Row],[DtLastCustomTrn]]),"")</f>
        <v/>
      </c>
      <c r="CB504" s="11">
        <f>IF(tblParticipants[[#This Row],[EarnWg2Qae]]=1,IFERROR(tblParticipants[[#This Row],[HoursPerWk2Qae]]*tblParticipants[[#This Row],[HrlyWg2Qae]]*13,0),0)</f>
        <v>0</v>
      </c>
      <c r="CC504" s="11">
        <f>IF(tblParticipants[[#This Row],[EarnWg3Qae]]=1,IFERROR(tblParticipants[[#This Row],[HoursPerWk3Qae]]*tblParticipants[[#This Row],[HrlyWg3Qae]]*13,0),0)</f>
        <v>0</v>
      </c>
      <c r="CD504" s="9">
        <f>IFERROR(IF(SUM(tblParticipants[[#This Row],[EarnWg1Qae]],tblParticipants[[#This Row],[EarnWg2Qae]],tblParticipants[[#This Row],[EarnWg3Qae]])=3,1,0),0)</f>
        <v>0</v>
      </c>
      <c r="CE504" s="12">
        <f>IF(tblParticipants[[#This Row],[EmplAll3Qae]]=1,tblParticipants[[#This Row],[Earnings2Qae]]+tblParticipants[[#This Row],[Earnings3Qae]],0)</f>
        <v>0</v>
      </c>
      <c r="CF504" s="407"/>
    </row>
    <row r="505" spans="1:84" x14ac:dyDescent="0.3">
      <c r="A505" s="422">
        <f>SUBTOTAL(103,tblParticipants[ParticipantID])</f>
        <v>0</v>
      </c>
      <c r="B505" s="422">
        <f>SUBTOTAL(103,tblParticipants[ParticipantName])</f>
        <v>0</v>
      </c>
      <c r="C505" s="419">
        <f>SUBTOTAL(103,tblParticipants[SvcStartDate])</f>
        <v>0</v>
      </c>
      <c r="D505" s="419">
        <f>SUBTOTAL(103,tblParticipants[AjcDate])</f>
        <v>0</v>
      </c>
      <c r="E505" s="419">
        <f>SUBTOTAL(103,tblParticipants[CoEnrAjc])</f>
        <v>0</v>
      </c>
      <c r="F505" s="419">
        <f>SUBTOTAL(103,tblParticipants[CoEnrGpd])</f>
        <v>0</v>
      </c>
      <c r="G505" s="419">
        <f>SUBTOTAL(103,tblParticipants[CoEnrVash])</f>
        <v>0</v>
      </c>
      <c r="H505" s="419">
        <f>SUBTOTAL(103,tblParticipants[CoEnrSsvf])</f>
        <v>0</v>
      </c>
      <c r="I505" s="419">
        <f>SUBTOTAL(103,tblParticipants[CoEnrSsvfSs])</f>
        <v>0</v>
      </c>
      <c r="J505" s="419">
        <f>SUBTOTAL(103,tblParticipants[CoEnrFema])</f>
        <v>0</v>
      </c>
      <c r="K505" s="419">
        <f>SUBTOTAL(103,tblParticipants[CoEnrNahasda])</f>
        <v>0</v>
      </c>
      <c r="L505" s="419">
        <f>SUBTOTAL(103,tblParticipants[CoEnrHprp])</f>
        <v>0</v>
      </c>
      <c r="M505" s="419">
        <f>SUBTOTAL(103,tblParticipants[SvcEndDate])</f>
        <v>0</v>
      </c>
      <c r="N505" s="421">
        <f>SUBTOTAL(102,tblParticipants[PlacedInEmp])</f>
        <v>0</v>
      </c>
      <c r="O505" s="423">
        <f>SUBTOTAL(103,tblParticipants[HrlyWgPlmt])</f>
        <v>0</v>
      </c>
      <c r="P505" s="419">
        <f>SUBTOTAL(103,tblParticipants[Gender])</f>
        <v>0</v>
      </c>
      <c r="Q505" s="420">
        <f>SUBTOTAL(103,tblParticipants[Ethnicity])</f>
        <v>0</v>
      </c>
      <c r="R505" s="419">
        <f>SUBTOTAL(103,tblParticipants[AmIndOrAkNtv])</f>
        <v>0</v>
      </c>
      <c r="S505" s="419">
        <f>SUBTOTAL(103,tblParticipants[Asian])</f>
        <v>0</v>
      </c>
      <c r="T505" s="419">
        <f>SUBTOTAL(103,tblParticipants[BlkOrAfAmer])</f>
        <v>0</v>
      </c>
      <c r="U505" s="419">
        <f>SUBTOTAL(103,tblParticipants[NtvHawOrPacIsl])</f>
        <v>0</v>
      </c>
      <c r="V505" s="419">
        <f>SUBTOTAL(103,tblParticipants[White])</f>
        <v>0</v>
      </c>
      <c r="W505" s="421">
        <f>SUBTOTAL(103,tblParticipants[Age])</f>
        <v>0</v>
      </c>
      <c r="X505" s="419">
        <f>SUBTOTAL(103,tblParticipants[MilSvcEntryDate])</f>
        <v>0</v>
      </c>
      <c r="Y505" s="419">
        <f>SUBTOTAL(103,tblParticipants[MilSvcDischargeDate])</f>
        <v>0</v>
      </c>
      <c r="Z505" s="419">
        <f>SUBTOTAL(103,tblParticipants[LastMilSvcBranch])</f>
        <v>0</v>
      </c>
      <c r="AA505" s="419">
        <f>SUBTOTAL(103,tblParticipants[HighestEdLvl])</f>
        <v>0</v>
      </c>
      <c r="AB505" s="419">
        <f>SUBTOTAL(103,tblParticipants[AtRisk])</f>
        <v>0</v>
      </c>
      <c r="AC505" s="419">
        <f>SUBTOTAL(103,tblParticipants[Homeless])</f>
        <v>0</v>
      </c>
      <c r="AD505" s="419">
        <f>SUBTOTAL(103,tblParticipants[EpisHomeless])</f>
        <v>0</v>
      </c>
      <c r="AE505" s="419">
        <f>SUBTOTAL(103,tblParticipants[HlessWfam])</f>
        <v>0</v>
      </c>
      <c r="AF505" s="419">
        <f>SUBTOTAL(103,tblParticipants[IvtpElig])</f>
        <v>0</v>
      </c>
      <c r="AG505" s="424">
        <f>SUBTOTAL(103,tblParticipants[Disabled])</f>
        <v>0</v>
      </c>
      <c r="AH505" s="419">
        <f>SUBTOTAL(103,tblParticipants[SpcDisabled])</f>
        <v>0</v>
      </c>
      <c r="AI505" s="419">
        <f>SUBTOTAL(103,tblParticipants[DtFirstOjt])</f>
        <v>0</v>
      </c>
      <c r="AJ505" s="419">
        <f>SUBTOTAL(103,tblParticipants[DtLastOjt])</f>
        <v>0</v>
      </c>
      <c r="AK505" s="422">
        <f>SUBTOTAL(103,tblParticipants[OjtType])</f>
        <v>0</v>
      </c>
      <c r="AL505" s="422">
        <f>SUBTOTAL(103,tblParticipants[DtFirstCareerTechTrn])</f>
        <v>0</v>
      </c>
      <c r="AM505" s="421">
        <f>SUBTOTAL(103,tblParticipants[DtLastCareerTechTrn])</f>
        <v>0</v>
      </c>
      <c r="AN505" s="419">
        <f>SUBTOTAL(103,tblParticipants[DtFirstEntrepTrn])</f>
        <v>0</v>
      </c>
      <c r="AO505" s="422">
        <f>SUBTOTAL(103,tblParticipants[DtLastEntrepTrn])</f>
        <v>0</v>
      </c>
      <c r="AP505" s="422">
        <f>SUBTOTAL(103,tblParticipants[DtFirstOtherTrn])</f>
        <v>0</v>
      </c>
      <c r="AQ505" s="422">
        <f>SUBTOTAL(103,tblParticipants[DtLastOtherTrn])</f>
        <v>0</v>
      </c>
      <c r="AR505" s="422">
        <f>SUBTOTAL(103,tblParticipants[DtFirstCustomTrn])</f>
        <v>0</v>
      </c>
      <c r="AS505" s="419">
        <f>SUBTOTAL(103,tblParticipants[DtLastCustomTrn])</f>
        <v>0</v>
      </c>
      <c r="AT505" s="419">
        <f>SUBTOTAL(103,tblParticipants[DtLastPlcHous])</f>
        <v>0</v>
      </c>
      <c r="AU505" s="419">
        <f>SUBTOTAL(103,tblParticipants[QtrLastEmpAdjSvc])</f>
        <v>0</v>
      </c>
      <c r="AV505" s="419">
        <f>SUBTOTAL(103,tblParticipants[QtrLastJobSrchAsst])</f>
        <v>0</v>
      </c>
      <c r="AW505" s="419">
        <f>SUBTOTAL(103,tblParticipants[QtrLastJobReadTrn])</f>
        <v>0</v>
      </c>
      <c r="AX505" s="419">
        <f>SUBTOTAL(103,tblParticipants[QtrLastTransitJob])</f>
        <v>0</v>
      </c>
      <c r="AY505" s="419">
        <f>SUBTOTAL(103,tblParticipants[QtrLastTransport])</f>
        <v>0</v>
      </c>
      <c r="AZ505" s="419">
        <f>SUBTOTAL(103,tblParticipants[QtrLastChildCare])</f>
        <v>0</v>
      </c>
      <c r="BA505" s="425">
        <f>SUBTOTAL(103,tblParticipants[QtrLastEducFees])</f>
        <v>0</v>
      </c>
      <c r="BB505" s="419">
        <f>SUBTOTAL(103,tblParticipants[QtrLastAccomDisab])</f>
        <v>0</v>
      </c>
      <c r="BC505" s="419">
        <f>SUBTOTAL(103,tblParticipants[QtrLastHealthCare])</f>
        <v>0</v>
      </c>
      <c r="BD505" s="419">
        <f>SUBTOTAL(103,tblParticipants[QtrLastWorkAttireTools])</f>
        <v>0</v>
      </c>
      <c r="BE505" s="419">
        <f>SUBTOTAL(103,tblParticipants[QtrLastLegAid])</f>
        <v>0</v>
      </c>
      <c r="BF505" s="419">
        <f>SUBTOTAL(103,tblParticipants[QtrLastDrugAlcCouns])</f>
        <v>0</v>
      </c>
      <c r="BG505" s="425">
        <f>SUBTOTAL(103,tblParticipants[QtrLastTempShelt])</f>
        <v>0</v>
      </c>
      <c r="BH505" s="425">
        <f>SUBTOTAL(103,tblParticipants[QtrLastFinCouns])</f>
        <v>0</v>
      </c>
      <c r="BI505" s="425">
        <f>SUBTOTAL(103,tblParticipants[QtrLastOthSupSvc])</f>
        <v>0</v>
      </c>
      <c r="BJ505" s="419">
        <f>SUBTOTAL(109,tblParticipants[EarnWg1Qae])</f>
        <v>0</v>
      </c>
      <c r="BK505" s="419">
        <f>SUBTOTAL(109,tblParticipants[EarnWg2Qae])</f>
        <v>0</v>
      </c>
      <c r="BL505" s="422">
        <f>SUBTOTAL(109,tblParticipants[HoursPerWk2Qae])</f>
        <v>0</v>
      </c>
      <c r="BM505" s="426">
        <f>IFERROR(SUBTOTAL(101,tblParticipants[HrlyWg2Qae]),0)</f>
        <v>0</v>
      </c>
      <c r="BN505" s="419">
        <f>SUBTOTAL(109,tblParticipants[EarnWg3Qae])</f>
        <v>0</v>
      </c>
      <c r="BO505" s="422">
        <f>SUBTOTAL(109,tblParticipants[HoursPerWk3Qae])</f>
        <v>0</v>
      </c>
      <c r="BP505" s="426">
        <f>IFERROR(SUBTOTAL(101,tblParticipants[HrlyWg3Qae]),0)</f>
        <v>0</v>
      </c>
      <c r="BQ505" s="419">
        <f>SUBTOTAL(109,tblParticipants[EarnWg4Qae])</f>
        <v>0</v>
      </c>
      <c r="BR505" s="422">
        <f>SUBTOTAL(109,tblParticipants[HoursPerWk4Qae])</f>
        <v>0</v>
      </c>
      <c r="BS505" s="426">
        <f>IFERROR(SUBTOTAL(101,tblParticipants[HrlyWg4Qae]),0)</f>
        <v>0</v>
      </c>
      <c r="BT505" s="233">
        <f>SUBTOTAL(102,tblParticipants[EnrollQtr])</f>
        <v>0</v>
      </c>
      <c r="BU505" s="195">
        <f>SUBTOTAL(102,tblParticipants[CarryOver])</f>
        <v>0</v>
      </c>
      <c r="BV505" s="195">
        <f>SUBTOTAL(102,tblParticipants[ExitQtr])</f>
        <v>0</v>
      </c>
      <c r="BW505" s="233">
        <f ca="1">SUBTOTAL(102,tblParticipants[EmployQtr])</f>
        <v>0</v>
      </c>
      <c r="BX505" s="9">
        <f>SUBTOTAL(109,tblParticipants[Multiracial])</f>
        <v>0</v>
      </c>
      <c r="BY505" s="233">
        <f>SUBTOTAL(102,tblParticipants[LastMilSvc])</f>
        <v>0</v>
      </c>
      <c r="BZ505" s="195">
        <f>SUBTOTAL(102,tblParticipants[DtFirstTrain])</f>
        <v>0</v>
      </c>
      <c r="CA505" s="195">
        <f>SUBTOTAL(102,tblParticipants[DtLastTrain])</f>
        <v>0</v>
      </c>
      <c r="CB505" s="11">
        <f>SUBTOTAL(109,tblParticipants[Earnings2Qae])</f>
        <v>0</v>
      </c>
      <c r="CC505" s="11">
        <f>SUBTOTAL(109,tblParticipants[Earnings3Qae])</f>
        <v>0</v>
      </c>
      <c r="CD505" s="9">
        <f>SUBTOTAL(109,tblParticipants[EmplAll3Qae])</f>
        <v>0</v>
      </c>
      <c r="CE505" s="12">
        <f>SUBTOTAL(109,tblParticipants[Earnings2and3Qae])</f>
        <v>0</v>
      </c>
      <c r="CF505" s="8"/>
    </row>
    <row r="506" spans="1:84" x14ac:dyDescent="0.3"/>
    <row r="507" spans="1:84" x14ac:dyDescent="0.3"/>
    <row r="508" spans="1:84" x14ac:dyDescent="0.3"/>
    <row r="509" spans="1:84" x14ac:dyDescent="0.3"/>
    <row r="510" spans="1:84" x14ac:dyDescent="0.3"/>
    <row r="511" spans="1:84" x14ac:dyDescent="0.3"/>
    <row r="512" spans="1:84" x14ac:dyDescent="0.3"/>
  </sheetData>
  <sheetProtection algorithmName="SHA-512" hashValue="Sr/zWB7/XhtX067DAZUIaeU3dasz4xufZNbRV7/YYroKf30yBlp689g4XKmqHM8/843wDL54LfbPejYgihItgA==" saltValue="G9sNr/Np8SP0FVxq1AulMA==" spinCount="100000" sheet="1" objects="1" scenarios="1" formatColumns="0" formatRows="0" selectLockedCells="1" sort="0" autoFilter="0"/>
  <protectedRanges>
    <protectedRange sqref="A4:CE505" name="tblParticipantsEdit"/>
    <protectedRange sqref="B1" name="btnFilterEdit"/>
    <protectedRange sqref="A1" name="btnFormViewEdit"/>
  </protectedRanges>
  <mergeCells count="4">
    <mergeCell ref="BT2:CE2"/>
    <mergeCell ref="AI2:AS2"/>
    <mergeCell ref="AT2:BI2"/>
    <mergeCell ref="BJ2:BS2"/>
  </mergeCells>
  <conditionalFormatting sqref="BV5:BV504">
    <cfRule type="expression" dxfId="299" priority="116">
      <formula>OR(AND(NOT(ISBLANK(INDIRECT("tblParticipants[@ExitQtr]"))),INDIRECT("tblParticipants[@ExitQtr]")&lt;1),AND(NOT(ISBLANK(INDIRECT("tblParticipants[@ExitQtr]"))),INDIRECT("tblParticipants[@ExitQtr]")&gt;4),AND(NOT(ISBLANK(INDIRECT("tblParticipants[@ExitQtr]"))),NOT(ISNUMBER(INDIRECT("tblParticipants[@ExitQtr]")))))</formula>
    </cfRule>
  </conditionalFormatting>
  <conditionalFormatting sqref="O5:O504">
    <cfRule type="expression" dxfId="298" priority="37">
      <formula>IF(NOT(ISBLANK(INDIRECT("tblParticipants[@HrlyWgPlmt]"))),IF(ISNUMBER(INDIRECT("tblParticipants[@HrlyWgPlmt]")),NOT(AND(INDIRECT("tblParticipants[@HrlyWgPlmt]")&gt;=1,INDIRECT("tblParticipants[@HrlyWgPlmt]")&lt;=200)),TRUE),FALSE)</formula>
    </cfRule>
    <cfRule type="expression" dxfId="297" priority="114">
      <formula>IF(ISBLANK(INDIRECT("tblParticipants[@HrlyWgPlmt]")),INDIRECT("tblParticipants[@PlacedInEmp]")=1,FALSE)</formula>
    </cfRule>
  </conditionalFormatting>
  <conditionalFormatting sqref="P5:P504">
    <cfRule type="expression" dxfId="296" priority="108">
      <formula>ISERROR(MATCH(INDIRECT("tblParticipants[@Gender]"),INDIRECT("tblGender[Value]"),0))</formula>
    </cfRule>
  </conditionalFormatting>
  <conditionalFormatting sqref="Q5:Q504">
    <cfRule type="expression" dxfId="295" priority="107">
      <formula>ISERROR(MATCH(INDIRECT("tblParticipants[@Ethnicity]"),INDIRECT("tblYesNo[Value]"),0))</formula>
    </cfRule>
  </conditionalFormatting>
  <conditionalFormatting sqref="R5:R504">
    <cfRule type="expression" dxfId="294" priority="106">
      <formula>ISERROR(MATCH(INDIRECT("tblParticipants[@AmIndOrAkNtv]"),INDIRECT("tblYesNo[Value]"),0))</formula>
    </cfRule>
  </conditionalFormatting>
  <conditionalFormatting sqref="S5:S504">
    <cfRule type="expression" dxfId="293" priority="105">
      <formula>ISERROR(MATCH(INDIRECT("tblParticipants[@Asian]"),INDIRECT("tblYesNo[Value]"),0))</formula>
    </cfRule>
  </conditionalFormatting>
  <conditionalFormatting sqref="T5:T504">
    <cfRule type="expression" dxfId="292" priority="104">
      <formula>ISERROR(MATCH(INDIRECT("tblParticipants[@BlkOrAfAmer]"),INDIRECT("tblYesNo[Value]"),0))</formula>
    </cfRule>
  </conditionalFormatting>
  <conditionalFormatting sqref="U5:U504">
    <cfRule type="expression" dxfId="291" priority="103">
      <formula>ISERROR(MATCH(INDIRECT("tblParticipants[@NtvHawOrPacIsl]"),INDIRECT("tblYesNo[Value]"),0))</formula>
    </cfRule>
  </conditionalFormatting>
  <conditionalFormatting sqref="V5:V504">
    <cfRule type="expression" dxfId="290" priority="102">
      <formula>ISERROR(MATCH(INDIRECT("tblParticipants[@White]"),INDIRECT("tblYesNo[Value]"),0))</formula>
    </cfRule>
  </conditionalFormatting>
  <conditionalFormatting sqref="AC5:AC504">
    <cfRule type="expression" dxfId="289" priority="101">
      <formula>AND(ISBLANK(INDIRECT("tblParticipants[@Homeless]")),OR(INDIRECT("tblParticipants[@EpisHomeless]")=1,INDIRECT("tblParticipants[@HlessWfam]")=1))</formula>
    </cfRule>
  </conditionalFormatting>
  <conditionalFormatting sqref="AB5:AB504">
    <cfRule type="expression" dxfId="288" priority="100">
      <formula>IF(NOT(ISBLANK(INDIRECT("tblParticipants[@AtRisk]"))),IF(OR(INDIRECT("tblParticipants[@AtRisk]")=0,INDIRECT("tblParticipants[@AtRisk]")=1),AND(INDIRECT("tblParticipants[@AtRisk]")=1,OR(INDIRECT("tblParticipants[@Homeless]")=1,INDIRECT("tblParticipants[@EpisHomeless]")=1,INDIRECT("tblParticipants[@HlessWfam]")=1)),TRUE),FALSE)</formula>
    </cfRule>
  </conditionalFormatting>
  <conditionalFormatting sqref="AD5:AD504">
    <cfRule type="expression" dxfId="287" priority="99">
      <formula>ISERROR(MATCH(INDIRECT("tblParticipants[@EpisHomeless]"),INDIRECT("tblYesNo[Value]"),0))</formula>
    </cfRule>
  </conditionalFormatting>
  <conditionalFormatting sqref="AE5:AE504">
    <cfRule type="expression" dxfId="286" priority="98">
      <formula>ISERROR(MATCH(INDIRECT("tblParticipants[@HlessWfam]"),INDIRECT("tblYesNo[Value]"),0))</formula>
    </cfRule>
  </conditionalFormatting>
  <conditionalFormatting sqref="AF5:AF504">
    <cfRule type="expression" dxfId="285" priority="97">
      <formula>ISERROR(MATCH(INDIRECT("tblParticipants[@IvtpElig]"),INDIRECT("tblYesNo[Value]"),0))</formula>
    </cfRule>
  </conditionalFormatting>
  <conditionalFormatting sqref="AG5:AG504">
    <cfRule type="expression" dxfId="284" priority="96">
      <formula>ISERROR(MATCH(INDIRECT("tblParticipants[@Disabled]"),INDIRECT("tblYesNo[Value]"),0))</formula>
    </cfRule>
  </conditionalFormatting>
  <conditionalFormatting sqref="AH5:AH504">
    <cfRule type="expression" dxfId="283" priority="95">
      <formula>ISERROR(MATCH(INDIRECT("tblParticipants[@SpcDisabled]"),INDIRECT("tblYesNo[Value]"),0))</formula>
    </cfRule>
  </conditionalFormatting>
  <conditionalFormatting sqref="BK5:BK504">
    <cfRule type="expression" dxfId="282" priority="23">
      <formula>ISERROR(MATCH(INDIRECT("tblParticipants[@EarnWg2Qae]"),INDIRECT("tblYesNo[Value]"),0))</formula>
    </cfRule>
    <cfRule type="expression" dxfId="281" priority="94">
      <formula>IF(ISBLANK(INDIRECT("tblParticipants[@EarnWg2Qae]")),OR(NOT(ISBLANK(INDIRECT("tblParticipants[@HoursPerWk2Qae]"))),NOT(ISBLANK(INDIRECT("tblParticipants[@HrlyWg2Qae]")))),FALSE)</formula>
    </cfRule>
  </conditionalFormatting>
  <conditionalFormatting sqref="BJ5:BJ504">
    <cfRule type="expression" dxfId="280" priority="93">
      <formula>ISERROR(MATCH(INDIRECT("tblParticipants[@EarnWg1Qae]"),INDIRECT("tblYesNo[Value]"),0))</formula>
    </cfRule>
  </conditionalFormatting>
  <conditionalFormatting sqref="BN5:BN504">
    <cfRule type="expression" dxfId="279" priority="19">
      <formula>ISERROR(MATCH(INDIRECT("tblParticipants[@EarnWg3Qae]"),INDIRECT("tblYesNo[Value]"),0))</formula>
    </cfRule>
    <cfRule type="expression" dxfId="278" priority="92">
      <formula>IF(ISBLANK(INDIRECT("tblParticipants[@EarnWg3Qae]")),OR(NOT(ISBLANK(INDIRECT("tblParticipants[@HoursPerWk3Qae]"))),NOT(ISBLANK(INDIRECT("tblParticipants[@HrlyWg3Qae]")))),FALSE)</formula>
    </cfRule>
  </conditionalFormatting>
  <conditionalFormatting sqref="BQ5:BQ504">
    <cfRule type="expression" dxfId="277" priority="15">
      <formula>ISERROR(MATCH(INDIRECT("tblParticipants[@EarnWg4Qae]"),INDIRECT("tblYesNo[Value]"),0))</formula>
    </cfRule>
    <cfRule type="expression" dxfId="276" priority="91">
      <formula>IF(ISBLANK(INDIRECT("tblParticipants[@EarnWg4Qae]")),OR(NOT(ISBLANK(INDIRECT("tblParticipants[@HoursPerWk4Qae]"))),NOT(ISBLANK(INDIRECT("tblParticipants[@HrlyWg4Qae]")))),FALSE)</formula>
    </cfRule>
  </conditionalFormatting>
  <conditionalFormatting sqref="Z5:Z504">
    <cfRule type="expression" dxfId="275" priority="90">
      <formula>ISERROR(MATCH(INDIRECT("tblParticipants[@LastMilSvcBranch]"),INDIRECT("tblMilitaryBranch[Value]"),0))</formula>
    </cfRule>
  </conditionalFormatting>
  <conditionalFormatting sqref="AA5:AA504">
    <cfRule type="expression" dxfId="274" priority="89">
      <formula>ISERROR(MATCH(INDIRECT("tblParticipants[@HighestEdLvl]"),INDIRECT("tblEducLevel[Value]"),0))</formula>
    </cfRule>
  </conditionalFormatting>
  <conditionalFormatting sqref="CB5:CB504">
    <cfRule type="expression" dxfId="273" priority="88">
      <formula>AND(INDIRECT("tblParticipants[@EarnWg2Qae]")=1,ISERROR(INDIRECT("tblParticipants[@HoursPerWk2Qae]")*INDIRECT("tblParticipants[@HrlyWg2Qae]")*13))</formula>
    </cfRule>
  </conditionalFormatting>
  <conditionalFormatting sqref="BL5:BL504">
    <cfRule type="expression" dxfId="272" priority="22">
      <formula>IF(NOT(ISBLANK(INDIRECT("tblParticipants[@HoursPerWk23Qae]"))),IF(ISNUMBER(INDIRECT("tblParticipants[@HoursPerWk2Qae]")),NOT(AND(INDIRECT("tblParticipants[@HoursPerWk2Qae]")&gt;=0,INDIRECT("tblParticipants[@HoursPerWk2Qae]")&lt;=168)),TRUE),FALSE)</formula>
    </cfRule>
    <cfRule type="expression" dxfId="271" priority="87">
      <formula>IF(ISBLANK(INDIRECT("tblParticipants[@HoursPerWk2Qae]")),OR(NOT(ISBLANK(INDIRECT("tblParticipants[@EarnWg2Qae]"))),NOT(ISBLANK(INDIRECT("tblParticipants[@HrlyWg2Qae]")))),FALSE)</formula>
    </cfRule>
  </conditionalFormatting>
  <conditionalFormatting sqref="BM5:BM504">
    <cfRule type="expression" dxfId="270" priority="21">
      <formula>OR(AND(ISNUMBER(INDIRECT("tblParticipants[@HrlyWg2Qae]")),INDIRECT("tblParticipants[@HrlyWg2Qae]")&lt;0,INDIRECT("tblParticipants[@HrlyWg2Qae]")&gt;200),AND(NOT(ISBLANK(INDIRECT("tblParticipants[@HrlyWg2Qae]"))),NOT(ISNUMBER(INDIRECT("tblParticipants[@HrlyWg2Qae]")))))</formula>
    </cfRule>
    <cfRule type="expression" dxfId="269" priority="85">
      <formula>IF(ISBLANK(INDIRECT("tblParticipants[@HrlyWg2Qae]")),OR(NOT(ISBLANK(INDIRECT("tblParticipants[@EarnWg2Qae]"))),NOT(ISBLANK(INDIRECT("tblParticipants[@HoursPerWk2Qae]")))),FALSE)</formula>
    </cfRule>
  </conditionalFormatting>
  <conditionalFormatting sqref="BO5:BO504">
    <cfRule type="expression" dxfId="268" priority="18">
      <formula>IF(NOT(ISBLANK(INDIRECT("tblParticipants[@HoursPerWk3Qae]"))),IF(ISNUMBER(INDIRECT("tblParticipants[@HoursPerWk3Qae]")),NOT(AND(INDIRECT("tblParticipants[@HoursPerWk3Qae]")&gt;=0,INDIRECT("tblParticipants[@HoursPerWk3Qae]")&lt;=168)),TRUE),FALSE)</formula>
    </cfRule>
    <cfRule type="expression" dxfId="267" priority="84">
      <formula>IF(ISBLANK(INDIRECT("tblParticipants[@HoursPerWk3Qae]")),OR(NOT(ISBLANK(INDIRECT("tblParticipants[@EarnWg3Qae]"))),NOT(ISBLANK(INDIRECT("tblParticipants[@HrlyWg3Qae]")))),FALSE)</formula>
    </cfRule>
  </conditionalFormatting>
  <conditionalFormatting sqref="CC5:CC504">
    <cfRule type="expression" dxfId="266" priority="83">
      <formula>AND(INDIRECT("tblParticipants[@EarnWg3Qae]")=1,ISERROR(INDIRECT("tblParticipants[@HoursPerWk3Qae]")*INDIRECT("tblParticipants[@HrlyWg3Qae]")*13))</formula>
    </cfRule>
  </conditionalFormatting>
  <conditionalFormatting sqref="CD5:CD504">
    <cfRule type="expression" dxfId="265" priority="82">
      <formula>OR(ISERROR(MATCH(INDIRECT("tblParticipants[@EmplAll3Qae]"),INDIRECT("tblYesNo[Value]"),0)),ISERROR(INDIRECT("tblParticipants[@EarnWg1Qae]")+INDIRECT("tblParticipants[@EarnWg2Qae]")+INDIRECT("tblParticipants[@EarnWg3Qae]")))</formula>
    </cfRule>
  </conditionalFormatting>
  <conditionalFormatting sqref="BR5:BR504">
    <cfRule type="expression" dxfId="264" priority="11">
      <formula>IF(NOT(ISBLANK(INDIRECT("tblParticipants[@HoursPerWk4Qae]"))),IF(ISNUMBER(INDIRECT("tblParticipants[@HoursPerWk4Qae]")),NOT(AND(INDIRECT("tblParticipants[@HoursPerWk4Qae]")&gt;=0,INDIRECT("tblParticipants[@HoursPerWk4Qae]")&lt;=168)),TRUE),FALSE)</formula>
    </cfRule>
    <cfRule type="expression" dxfId="263" priority="81">
      <formula>IF(ISBLANK(INDIRECT("tblParticipants[@HoursPerWk4Qae]")),OR(NOT(ISBLANK(INDIRECT("tblParticipants[@EarnWg4Qae]"))),NOT(ISBLANK(INDIRECT("tblParticipants[@HrlyWg4Qae]")))),FALSE)</formula>
    </cfRule>
  </conditionalFormatting>
  <conditionalFormatting sqref="BP5:BP504">
    <cfRule type="expression" dxfId="262" priority="16">
      <formula>OR(AND(ISNUMBER(INDIRECT("tblParticipants[@HrlyWg3Qae]")),INDIRECT("tblParticipants[@HrlyWg3Qae]")&lt;0,INDIRECT("tblParticipants[@HrlyWg3Qae]")&gt;200),AND(NOT(ISBLANK(INDIRECT("tblParticipants[@HrlyWg3Qae]"))),NOT(ISNUMBER(INDIRECT("tblParticipants[@HrlyWg3Qae]")))))</formula>
    </cfRule>
    <cfRule type="expression" dxfId="261" priority="80">
      <formula>IF(ISBLANK(INDIRECT("tblParticipants[@HrlyWg3Qae]")),OR(NOT(ISBLANK(INDIRECT("tblParticipants[@EarnWg3Qae]"))),NOT(ISBLANK(INDIRECT("tblParticipants[@HoursPerWk3Qae]")))),FALSE)</formula>
    </cfRule>
  </conditionalFormatting>
  <conditionalFormatting sqref="BS5:BS504">
    <cfRule type="expression" dxfId="260" priority="12">
      <formula>IF(NOT(ISBLANK(INDIRECT("tblParticipants[@HrlyWg4Qae]"))),IF(ISNUMBER(INDIRECT("tblParticipants[@HrlyWg4Qae]")),NOT(AND(INDIRECT("tblParticipants[@HrlyWg4Qae]")&gt;=1,INDIRECT("tblParticipants[@HrlyWg4Qae]")&lt;=200)),TRUE),FALSE)</formula>
    </cfRule>
    <cfRule type="expression" dxfId="259" priority="79">
      <formula>IF(ISBLANK(INDIRECT("tblParticipants[@HrlyWg4Qae]")),OR(NOT(ISBLANK(INDIRECT("tblParticipants[@EarnWg4Qae]"))),NOT(ISBLANK(INDIRECT("tblParticipants[@HoursPerWk4Qae]")))),FALSE)</formula>
    </cfRule>
  </conditionalFormatting>
  <conditionalFormatting sqref="W5:W504">
    <cfRule type="expression" dxfId="258" priority="78">
      <formula>IF(ISNUMBER(INDIRECT("tblParticipants[@Age]")),OR(INDIRECT("tblParticipants[@Age]")&lt;17,INDIRECT("tblParticipants[@Age]")&gt;125),AND(NOT(ISBLANK(INDIRECT("tblParticipants[@Age]"))),NOT(ISNUMBER(INDIRECT("tblParticipants[@Age]")))))</formula>
    </cfRule>
  </conditionalFormatting>
  <conditionalFormatting sqref="BZ5:BZ504">
    <cfRule type="expression" dxfId="257" priority="10">
      <formula>IF(ISNUMBER(INDIRECT("tblParticipants[@DtFirstTrain]")),OR(QUOTIENT(INDIRECT("tblParticipants[@DtFirstTrain]"),1)&lt;DATE(conProgYear,7,1),QUOTIENT(INDIRECT("tblParticipants[@DtFirstTrain]"),1)&gt;DATE(conProgYear+1,6,30)),FALSE)</formula>
    </cfRule>
    <cfRule type="expression" dxfId="256" priority="77">
      <formula>OR(IF(AND(ISNUMBER(INDIRECT("tblParticipants[@DtFirstOjt]")),ISNUMBER(INDIRECT("tblParticipants[@DtLastOjt]"))),QUOTIENT(INDIRECT("tblParticipants[@DtFirstOjt]"),1)&gt;QUOTIENT(INDIRECT("tblParticipants[@DtLastOjt]"),1),FALSE),IF(AND(ISNUMBER(INDIRECT("tblParticipants[@DtFirstCareerTechTrn]")),ISNUMBER(INDIRECT("tblParticipants[@DtLastCareerTechTrn]"))),QUOTIENT(INDIRECT("tblParticipants[@DtFirstCareerTechTrn]"),1)&gt;QUOTIENT(INDIRECT("tblParticipants[@DtLastCareerTechTrn]"),1),FALSE),IF(AND(ISNUMBER(INDIRECT("tblParticipants[@DtFirstEntrepTrn]")),ISNUMBER(INDIRECT("tblParticipants[@DtLastEntrepTrn]"))),QUOTIENT(INDIRECT("tblParticipants[@DtFirstEntrepTrn]"),1)&gt;QUOTIENT(INDIRECT("tblParticipants[@DtLastEntrepTrn]"),1),FALSE),IF(AND(ISNUMBER(INDIRECT("tblParticipants[@DtFirstOtherTrn]")),ISNUMBER(INDIRECT("tblParticipants[@DtLastOtherTrn]"))),QUOTIENT(INDIRECT("tblParticipants[@DtFirstOtherTrn]"),1)&gt;QUOTIENT(INDIRECT("tblParticipants[@DtLastOtherTrn]"),1),FALSE),IF(AND(ISNUMBER(INDIRECT("tblParticipants[@DtFirstCustomTrn]")),ISNUMBER(INDIRECT("tblParticipants[@DtLastCustomTrn]"))),QUOTIENT(INDIRECT("tblParticipants[@DtFirstCustomTrn]"),1)&gt;QUOTIENT(INDIRECT("tblParticipants[@DtLastCustomTrn]"),1),FALSE))</formula>
    </cfRule>
  </conditionalFormatting>
  <conditionalFormatting sqref="CA5:CA504">
    <cfRule type="expression" dxfId="255" priority="9">
      <formula>IF(ISNUMBER(INDIRECT("tblParticipants[@DtLastTrain]")),OR(QUOTIENT(INDIRECT("tblParticipants[@DtLastTrain]"),1)&lt;DATE(conProgYear,7,1),QUOTIENT(INDIRECT("tblParticipants[@DtLastTrain]"),1)&gt;DATE(conProgYear+1,6,30)),FALSE)</formula>
    </cfRule>
    <cfRule type="expression" dxfId="254" priority="76">
      <formula>OR(IF(AND(ISNUMBER(INDIRECT("tblParticipants[@DtFirstOjt]")),ISNUMBER(INDIRECT("tblParticipants[@DtLastOjt]"))),QUOTIENT(INDIRECT("tblParticipants[@DtFirstOjt]"),1)&gt;QUOTIENT(INDIRECT("tblParticipants[@DtLastOjt]"),1),FALSE),IF(AND(ISNUMBER(INDIRECT("tblParticipants[@DtFirstCareerTechTrn]")),ISNUMBER(INDIRECT("tblParticipants[@DtLastCareerTechTrn]"))),QUOTIENT(INDIRECT("tblParticipants[@DtFirstCareerTechTrn]"),1)&gt;QUOTIENT(INDIRECT("tblParticipants[@DtLastCareerTechTrn]"),1),FALSE),IF(AND(ISNUMBER(INDIRECT("tblParticipants[@DtFirstEntrepTrn]")),ISNUMBER(INDIRECT("tblParticipants[@DtLastEntrepTrn]"))),QUOTIENT(INDIRECT("tblParticipants[@DtFirstEntrepTrn]"),1)&gt;QUOTIENT(INDIRECT("tblParticipants[@DtLastEntrepTrn]"),1),FALSE),IF(AND(ISNUMBER(INDIRECT("tblParticipants[@DtFirstOtherTrn]")),ISNUMBER(INDIRECT("tblParticipants[@DtLastOtherTrn]"))),QUOTIENT(INDIRECT("tblParticipants[@DtFirstOtherTrn]"),1)&gt;QUOTIENT(INDIRECT("tblParticipants[@DtLastOtherTrn]"),1),FALSE),IF(AND(ISNUMBER(INDIRECT("tblParticipants[@DtFirstCustomTrn]")),ISNUMBER(INDIRECT("tblParticipants[@DtLastCustomTrn]"))),QUOTIENT(INDIRECT("tblParticipants[@DtFirstCustomTrn]"),1)&gt;QUOTIENT(INDIRECT("tblParticipants[@DtLastCustomTrn]"),1),FALSE))</formula>
    </cfRule>
  </conditionalFormatting>
  <conditionalFormatting sqref="AI5:AI504">
    <cfRule type="expression" dxfId="253" priority="33">
      <formula>IF(NOT(ISBLANK(INDIRECT("tblParticipants[@DtFirstOjt]"))),IF(ISNUMBER(INDIRECT("tblParticipants[@DtFirstOjt]")),IF(AND(INT(INDIRECT("tblParticipants[@DtFirstOjt]"))&gt;=DATE(conProgYear,7,1),INT(INDIRECT("tblParticipants[@DtFirstOjt]"))&lt;=DATE(conProgYear+1,6,30)),IF(NOT(ISBLANK(INDIRECT("tblParticipants[@SvcStartDate]"))),IF(NOT(ISBLANK(INDIRECT("tblParticipants[@SvcEndDate]"))),OR(IF(ISNUMBER(INDIRECT("tblParticipants[@SvcStartDate]")),INT(INDIRECT("tblParticipants[@DtFirstOjt]"))&lt;INT(INDIRECT("tblParticipants[@SvcStartDate]")),FALSE),IF(ISNUMBER(INDIRECT("tblParticipants[@SvcEndDate]")),INT(INDIRECT("tblParticipants[@DtFirstOjt]"))&gt;INT(INDIRECT("tblParticipants[@SvcEndDate]")),FALSE)),IF(ISNUMBER(INDIRECT("tblParticipants[@SvcStartDate]")),INT(INDIRECT("tblParticipants[@DtFirstOjt]"))&lt;INT(INDIRECT("tblParticipants[@SvcStartDate]")),FALSE)),TRUE),TRUE),TRUE),FALSE)</formula>
    </cfRule>
    <cfRule type="expression" dxfId="252" priority="75">
      <formula>IF(AND(ISNUMBER(INDIRECT("tblParticipants[@DtFirstOjt]")),ISNUMBER(INDIRECT("tblParticipants[@DtLastOjt]"))),QUOTIENT(INDIRECT("tblParticipants[@DtFirstOjt]"),1)&gt;QUOTIENT(INDIRECT("tblParticipants[@DtLastOjt]"),1),FALSE)</formula>
    </cfRule>
  </conditionalFormatting>
  <conditionalFormatting sqref="AJ5:AJ504">
    <cfRule type="expression" dxfId="251" priority="32">
      <formula>IF(NOT(ISBLANK(INDIRECT("tblParticipants[@DtLastOjt]"))),IF(ISNUMBER(INDIRECT("tblParticipants[@DtLastOjt]")),IF(AND(INT(INDIRECT("tblParticipants[@DtLastOjt]"))&gt;=DATE(conProgYear,7,1),INT(INDIRECT("tblParticipants[@DtLastOjt]"))&lt;=DATE(conProgYear+1,6,30)),IF(NOT(ISBLANK(INDIRECT("tblParticipants[@SvcStartDate]"))),IF(NOT(ISBLANK(INDIRECT("tblParticipants[@SvcEndDate]"))),OR(IF(ISNUMBER(INDIRECT("tblParticipants[@SvcStartDate]")),INT(INDIRECT("tblParticipants[@DtLastOjt]"))&lt;INT(INDIRECT("tblParticipants[@SvcStartDate]")),FALSE),IF(ISNUMBER(INDIRECT("tblParticipants[@SvcEndDate]")),INT(INDIRECT("tblParticipants[@DtLastOjt]"))&gt;INT(INDIRECT("tblParticipants[@SvcEndDate]")),FALSE)),IF(ISNUMBER(INDIRECT("tblParticipants[@SvcStartDate]")),INT(INDIRECT("tblParticipants[@DtLastOjt]"))&lt;INT(INDIRECT("tblParticipants[@SvcStartDate]")),FALSE)),TRUE),TRUE),TRUE),FALSE)</formula>
    </cfRule>
    <cfRule type="expression" dxfId="250" priority="74">
      <formula>IF(AND(ISNUMBER(INDIRECT("tblParticipants[@DtFirstOjt]")),ISNUMBER(INDIRECT("tblParticipants[@DtLastOjt]"))),QUOTIENT(INDIRECT("tblParticipants[@DtFirstOjt]"),1)&gt;QUOTIENT(INDIRECT("tblParticipants[@DtLastOjt]"),1),FALSE)</formula>
    </cfRule>
  </conditionalFormatting>
  <conditionalFormatting sqref="AL5:AL504">
    <cfRule type="expression" dxfId="249" priority="31">
      <formula>IF(NOT(ISBLANK(INDIRECT("tblParticipants[@DtFirstCareerTechTrn]"))),IF(ISNUMBER(INDIRECT("tblParticipants[@DtFirstCareerTechTrn]")),IF(AND(INT(INDIRECT("tblParticipants[@DtFirstCareerTechTrn]"))&gt;=DATE(conProgYear,7,1),INT(INDIRECT("tblParticipants[@DtFirstCareerTechTrn]"))&lt;=DATE(conProgYear+1,6,30)),IF(NOT(ISBLANK(INDIRECT("tblParticipants[@SvcStartDate]"))),IF(NOT(ISBLANK(INDIRECT("tblParticipants[@SvcEndDate]"))),OR(IF(ISNUMBER(INDIRECT("tblParticipants[@SvcStartDate]")),INT(INDIRECT("tblParticipants[@DtFirstCareerTechTrn]"))&lt;INT(INDIRECT("tblParticipants[@SvcStartDate]")),FALSE),IF(ISNUMBER(INDIRECT("tblParticipants[@SvcEndDate]")),INT(INDIRECT("tblParticipants[@DtFirstCareerTechTrn]"))&gt;INT(INDIRECT("tblParticipants[@SvcEndDate]")),FALSE)),IF(ISNUMBER(INDIRECT("tblParticipants[@SvcStartDate]")),INT(INDIRECT("tblParticipants[@DtFirstCareerTechTrn]"))&lt;INT(INDIRECT("tblParticipants[@SvcStartDate]")),FALSE)),TRUE),TRUE),TRUE),FALSE)</formula>
    </cfRule>
    <cfRule type="expression" dxfId="248" priority="73">
      <formula>IF(AND(ISNUMBER(INDIRECT("tblParticipants[@DtFirstCareerTechTrn]")),ISNUMBER(INDIRECT("tblParticipants[@DtLastCareerTechTrn]"))),QUOTIENT(INDIRECT("tblParticipants[@DtFirstCareerTechTrn]"),1)&gt;QUOTIENT(INDIRECT("tblParticipants[@DtLastCareerTechTrn]"),1),FALSE)</formula>
    </cfRule>
  </conditionalFormatting>
  <conditionalFormatting sqref="AM5:AM504">
    <cfRule type="expression" dxfId="247" priority="30">
      <formula>IF(NOT(ISBLANK(INDIRECT("tblParticipants[@DtLastCareerTechTrn]"))),IF(ISNUMBER(INDIRECT("tblParticipants[@DtLastCareerTechTrn]")),IF(AND(INT(INDIRECT("tblParticipants[@DtLastCareerTechTrn]"))&gt;=DATE(conProgYear,7,1),INT(INDIRECT("tblParticipants[@DtLastCareerTechTrn]"))&lt;=DATE(conProgYear+1,6,30)),IF(NOT(ISBLANK(INDIRECT("tblParticipants[@SvcStartDate]"))),IF(NOT(ISBLANK(INDIRECT("tblParticipants[@SvcEndDate]"))),OR(IF(ISNUMBER(INDIRECT("tblParticipants[@SvcStartDate]")),INT(INDIRECT("tblParticipants[@DtLastCareerTechTrn]"))&lt;INT(INDIRECT("tblParticipants[@SvcStartDate]")),FALSE),IF(ISNUMBER(INDIRECT("tblParticipants[@SvcEndDate]")),INT(INDIRECT("tblParticipants[@DtLastCareerTechTrn]"))&gt;INT(INDIRECT("tblParticipants[@SvcEndDate]")),FALSE)),IF(ISNUMBER(INDIRECT("tblParticipants[@SvcStartDate]")),INT(INDIRECT("tblParticipants[@DtLastCareerTechTrn]"))&lt;INT(INDIRECT("tblParticipants[@SvcStartDate]")),FALSE)),TRUE),TRUE),TRUE),FALSE)</formula>
    </cfRule>
    <cfRule type="expression" dxfId="246" priority="72">
      <formula>IF(AND(ISNUMBER(INDIRECT("tblParticipants[@DtFirstCareerTechTrn]")),ISNUMBER(INDIRECT("tblParticipants[@DtLastCareerTechTrn]"))),QUOTIENT(INDIRECT("tblParticipants[@DtFirstCareerTechTrn]"),1)&gt;QUOTIENT(INDIRECT("tblParticipants[@DtLastCareerTechTrn]"),1),FALSE)</formula>
    </cfRule>
  </conditionalFormatting>
  <conditionalFormatting sqref="AN5:AN504">
    <cfRule type="expression" dxfId="245" priority="29">
      <formula>IF(NOT(ISBLANK(INDIRECT("tblParticipants[@DtFirstEntrepTrn]"))),IF(ISNUMBER(INDIRECT("tblParticipants[@DtFirstEntrepTrn]")),IF(AND(INT(INDIRECT("tblParticipants[@DtFirstEntrepTrn]"))&gt;=DATE(conProgYear,7,1),INT(INDIRECT("tblParticipants[@DtFirstEntrepTrn]"))&lt;=DATE(conProgYear+1,6,30)),IF(NOT(ISBLANK(INDIRECT("tblParticipants[@SvcStartDate]"))),IF(NOT(ISBLANK(INDIRECT("tblParticipants[@SvcEndDate]"))),OR(IF(ISNUMBER(INDIRECT("tblParticipants[@SvcStartDate]")),INT(INDIRECT("tblParticipants[@DtFirstEntrepTrn]"))&lt;INT(INDIRECT("tblParticipants[@SvcStartDate]")),FALSE),IF(ISNUMBER(INDIRECT("tblParticipants[@SvcEndDate]")),INT(INDIRECT("tblParticipants[@DtFirstEntrepTrn]"))&gt;INT(INDIRECT("tblParticipants[@SvcEndDate]")),FALSE)),IF(ISNUMBER(INDIRECT("tblParticipants[@SvcStartDate]")),INT(INDIRECT("tblParticipants[@DtFirstEntrepTrn]"))&lt;INT(INDIRECT("tblParticipants[@SvcStartDate]")),FALSE)),TRUE),TRUE),TRUE),FALSE)</formula>
    </cfRule>
    <cfRule type="expression" dxfId="244" priority="71">
      <formula>IF(AND(ISNUMBER(INDIRECT("tblParticipants[@DtFirstEntrepTrn]")),ISNUMBER(INDIRECT("tblParticipants[@DtLastEntrepTrn]"))),QUOTIENT(INDIRECT("tblParticipants[@DtFirstEntrepTrn]"),1)&gt;QUOTIENT(INDIRECT("tblParticipants[@DtLastEntrepTrn]"),1),FALSE)</formula>
    </cfRule>
  </conditionalFormatting>
  <conditionalFormatting sqref="AO5:AO504">
    <cfRule type="expression" dxfId="243" priority="28">
      <formula>IF(NOT(ISBLANK(INDIRECT("tblParticipants[@DtLastEntrepTrn]"))),IF(ISNUMBER(INDIRECT("tblParticipants[@DtLastEntrepTrn]")),IF(AND(INT(INDIRECT("tblParticipants[@DtLastEntrepTrn]"))&gt;=DATE(conProgYear,7,1),INT(INDIRECT("tblParticipants[@DtLastEntrepTrn]"))&lt;=DATE(conProgYear+1,6,30)),IF(NOT(ISBLANK(INDIRECT("tblParticipants[@SvcStartDate]"))),IF(NOT(ISBLANK(INDIRECT("tblParticipants[@SvcEndDate]"))),OR(IF(ISNUMBER(INDIRECT("tblParticipants[@SvcStartDate]")),INT(INDIRECT("tblParticipants[@DtLastEntrepTrn]"))&lt;INT(INDIRECT("tblParticipants[@SvcStartDate]")),FALSE),IF(ISNUMBER(INDIRECT("tblParticipants[@SvcEndDate]")),INT(INDIRECT("tblParticipants[@DtLastEntrepTrn]"))&gt;INT(INDIRECT("tblParticipants[@SvcEndDate]")),FALSE)),IF(ISNUMBER(INDIRECT("tblParticipants[@SvcStartDate]")),INT(INDIRECT("tblParticipants[@DtLastEntrepTrn]"))&lt;INT(INDIRECT("tblParticipants[@SvcStartDate]")),FALSE)),TRUE),TRUE),TRUE),FALSE)</formula>
    </cfRule>
    <cfRule type="expression" dxfId="242" priority="70">
      <formula>IF(AND(ISNUMBER(INDIRECT("tblParticipants[@DtFirstEntrepTrn]")),ISNUMBER(INDIRECT("tblParticipants[@DtLastEntrepTrn]"))),QUOTIENT(INDIRECT("tblParticipants[@DtFirstEntrepTrn]"),1)&gt;QUOTIENT(INDIRECT("tblParticipants[@DtLastEntrepTrn]"),1),FALSE)</formula>
    </cfRule>
  </conditionalFormatting>
  <conditionalFormatting sqref="D5:D504">
    <cfRule type="expression" dxfId="241" priority="69">
      <formula>OR(INDIRECT("tblParticipants[@AjcDate]")&lt;DATE(conProgYear-INDIRECT("'VETS-701 Tech Perf Report'!outOptYear"),7,1),INDIRECT("tblParticipants[@AjcDate]")&gt;DATE(conProgYear+1,6,30))</formula>
    </cfRule>
  </conditionalFormatting>
  <conditionalFormatting sqref="C5:C504">
    <cfRule type="expression" dxfId="240" priority="68">
      <formula>IF(NOT(ISBLANK(INDIRECT("tblParticipants[@SvcStartDate]"))),IF(ISNUMBER(INDIRECT("tblParticipants[@SvcStartDate]")),OR(QUOTIENT(INDIRECT("tblParticipants[@SvcStartDate]"),1)&lt;DATE(conProgYear-outOptYear,7,1),QUOTIENT(INDIRECT("tblParticipants[@SvcStartDate]"),1)&gt;DATE(conProgYear+1,6,30)),TRUE),FALSE)</formula>
    </cfRule>
  </conditionalFormatting>
  <conditionalFormatting sqref="BW5:BW504">
    <cfRule type="cellIs" dxfId="239" priority="66" operator="equal">
      <formula>"ERR"</formula>
    </cfRule>
  </conditionalFormatting>
  <conditionalFormatting sqref="BT5:BT504">
    <cfRule type="expression" dxfId="238" priority="64">
      <formula>IF(NOT(ISBLANK(INDIRECT("tblParticipants[@EnrollQtr]"))),IF(ISNUMBER(INDIRECT("tblParticipants[@EnrollQtr]")),NOT(AND(INDIRECT("tblParticipants[@EnrollQtr]")&gt;=1,INDIRECT("tblParticipants[@EnrollQtr]")&lt;=4)),TRUE),FALSE)</formula>
    </cfRule>
  </conditionalFormatting>
  <conditionalFormatting sqref="X5:X504">
    <cfRule type="expression" dxfId="237" priority="63">
      <formula>IF(NOT(ISBLANK(INDIRECT("tblParticipants[@MilSvcEntryDate]"))),IF(ISNUMBER(INDIRECT("tblParticipants[@MilSvcEntryDate]")),NOT(INDIRECT("tblParticipants[@MilSvcEntryDate]")&gt;DATE(1900,1,1)),TRUE),FALSE)</formula>
    </cfRule>
  </conditionalFormatting>
  <conditionalFormatting sqref="Y5:Y504">
    <cfRule type="expression" dxfId="236" priority="62">
      <formula>IF(NOT(ISBLANK(INDIRECT("tblParticipants[@MilSvcDischargeDate]"))),IF(ISNUMBER(INDIRECT("tblParticipants[@MilSvcDischargeDate]")),IF(INDIRECT("tblParticipants[@MilSvcDischargeDate]")&gt;DATE(1900,1,1),IF(NOT(ISBLANK(INDIRECT("tblParticipants[@MilSvcEntryDate]"))),IF(ISNUMBER(INDIRECT("tblParticipants[@MilSvcEntryDate]")),NOT(INDIRECT("tblParticipants[@MilSvcEntryDate]")&lt;=INDIRECT("tblParticipants[@MilSvcDischargeDate]")),TRUE),NOT(INDIRECT("tblParticipants[@MilSvcDischargeDate]")&gt;DATE(1900,1,1))),TRUE),TRUE),FALSE)</formula>
    </cfRule>
  </conditionalFormatting>
  <conditionalFormatting sqref="AT5:AU504">
    <cfRule type="expression" dxfId="235" priority="61">
      <formula>IF(NOT(ISBLANK(INDIRECT("tblParticipants[@QtrLastEmpAdjSvc]"))),IF(ISNUMBER(INDIRECT("tblParticipants[@QtrLastEmpAdjSvc]")),IF(AND(INDIRECT("tblParticipants[@QtrLastEmpAdjSvc]")&gt;=1,INDIRECT("tblParticipants[@QtrLastEmpAdjSvc]")&lt;=4),IF(AND(INDIRECT("tblParticipants[@EnrollQtr]")&gt;=1,INDIRECT("tblParticipants[@EnrollQtr]")&lt;=4),IF(INDIRECT("tblParticipants[@QtrLastEmpAdjSvc]")&gt;=INDIRECT("tblParticipants[@EnrollQtr]"),IF(NOT(ISBLANK(INDIRECT("tblParticipants[@ExitQtr]"))),IF(ISNUMBER(INDIRECT("tblParticipants[@ExitQtr]")),IF(INDIRECT("tblParticipants[@QtrLastEmpAdjSvc]")&gt;INDIRECT("tblParticipants[@ExitQtr]"),TRUE,FALSE),FALSE),FALSE),TRUE),TRUE),TRUE),TRUE),FALSE)</formula>
    </cfRule>
  </conditionalFormatting>
  <conditionalFormatting sqref="AV5:AV504">
    <cfRule type="expression" dxfId="234" priority="60">
      <formula>IF(NOT(ISBLANK(INDIRECT("tblParticipants[@QtrLastJobSrchAsst]"))),IF(ISNUMBER(INDIRECT("tblParticipants[@QtrLastJobSrchAsst]")),IF(AND(INDIRECT("tblParticipants[@QtrLastJobSrchAsst]")&gt;=1,INDIRECT("tblParticipants[@QtrLastJobSrchAsst]")&lt;=4),IF(AND(INDIRECT("tblParticipants[@EnrollQtr]")&gt;=1,INDIRECT("tblParticipants[@EnrollQtr]")&lt;=4),IF(INDIRECT("tblParticipants[@QtrLastJobSrchAsst]")&gt;=INDIRECT("tblParticipants[@EnrollQtr]"),IF(NOT(ISBLANK(INDIRECT("tblParticipants[@ExitQtr]"))),IF(ISNUMBER(INDIRECT("tblParticipants[@ExitQtr]")),IF(INDIRECT("tblParticipants[@QtrLastJobSrchAsst]")&gt;INDIRECT("tblParticipants[@ExitQtr]"),TRUE,FALSE),FALSE),FALSE),TRUE),TRUE),TRUE),TRUE),FALSE)</formula>
    </cfRule>
  </conditionalFormatting>
  <conditionalFormatting sqref="AW5:AW504">
    <cfRule type="expression" dxfId="233" priority="59">
      <formula>IF(NOT(ISBLANK(INDIRECT("tblParticipants[@QtrLastJobReadTrn]"))),IF(ISNUMBER(INDIRECT("tblParticipants[@QtrLastJobReadTrn]")),IF(AND(INDIRECT("tblParticipants[@QtrLastJobReadTrn]")&gt;=1,INDIRECT("tblParticipants[@QtrLastJobReadTrn]")&lt;=4),IF(AND(INDIRECT("tblParticipants[@EnrollQtr]")&gt;=1,INDIRECT("tblParticipants[@EnrollQtr]")&lt;=4),IF(INDIRECT("tblParticipants[@QtrLastJobReadTrn]")&gt;=INDIRECT("tblParticipants[@EnrollQtr]"),IF(NOT(ISBLANK(INDIRECT("tblParticipants[@ExitQtr]"))),IF(ISNUMBER(INDIRECT("tblParticipants[@ExitQtr]")),IF(INDIRECT("tblParticipants[@QtrLastJobReadTrn]")&gt;INDIRECT("tblParticipants[@ExitQtr]"),TRUE,FALSE),FALSE),FALSE),TRUE),TRUE),TRUE),TRUE),FALSE)</formula>
    </cfRule>
  </conditionalFormatting>
  <conditionalFormatting sqref="BI5:BI504">
    <cfRule type="expression" dxfId="232" priority="58">
      <formula>IF(NOT(ISBLANK(INDIRECT("tblParticipants[@QtrLastFinCouns]"))),IF(ISNUMBER(INDIRECT("tblParticipants[@QtrLastFinCouns]")),IF(AND(INDIRECT("tblParticipants[@QtrLastFinCouns]")&gt;=1,INDIRECT("tblParticipants[@QtrLastFinCouns]")&lt;=4),IF(AND(INDIRECT("tblParticipants[@EnrollQtr]")&gt;=1,INDIRECT("tblParticipants[@EnrollQtr]")&lt;=4),IF(INDIRECT("tblParticipants[@QtrLastFinCouns]")&gt;=INDIRECT("tblParticipants[@EnrollQtr]"),IF(NOT(ISBLANK(INDIRECT("tblParticipants[@ExitQtr]"))),IF(ISNUMBER(INDIRECT("tblParticipants[@ExitQtr]")),IF(INDIRECT("tblParticipants[@QtrLastFinCouns]")&gt;INDIRECT("tblParticipants[@ExitQtr]"),TRUE,FALSE),FALSE),FALSE),TRUE),TRUE),TRUE),TRUE),FALSE)</formula>
    </cfRule>
  </conditionalFormatting>
  <conditionalFormatting sqref="AX5:AX504">
    <cfRule type="expression" dxfId="231" priority="57">
      <formula>IF(NOT(ISBLANK(INDIRECT("tblParticipants[@QtrLastTransitJob]"))),IF(ISNUMBER(INDIRECT("tblParticipants[@QtrLastTransitJob]")),IF(AND(INDIRECT("tblParticipants[@QtrLastTransitJob]")&gt;=1,INDIRECT("tblParticipants[@QtrLastTransitJob]")&lt;=4),IF(AND(INDIRECT("tblParticipants[@EnrollQtr]")&gt;=1,INDIRECT("tblParticipants[@EnrollQtr]")&lt;=4),IF(INDIRECT("tblParticipants[@QtrLastTransitJob]")&gt;=INDIRECT("tblParticipants[@EnrollQtr]"),IF(NOT(ISBLANK(INDIRECT("tblParticipants[@ExitQtr]"))),IF(ISNUMBER(INDIRECT("tblParticipants[@ExitQtr]")),IF(INDIRECT("tblParticipants[@QtrLastTransitJob]")&gt;INDIRECT("tblParticipants[@ExitQtr]"),TRUE,FALSE),FALSE),FALSE),TRUE),TRUE),TRUE),TRUE),FALSE)</formula>
    </cfRule>
  </conditionalFormatting>
  <conditionalFormatting sqref="AY5:AY504">
    <cfRule type="expression" dxfId="230" priority="55">
      <formula>IF(NOT(ISBLANK(INDIRECT("tblParticipants[@QtrLastTransport]"))),IF(ISNUMBER(INDIRECT("tblParticipants[@QtrLastTransport]")),IF(AND(INDIRECT("tblParticipants[@QtrLastTransport]")&gt;=1,INDIRECT("tblParticipants[@QtrLastTransport]")&lt;=4),IF(AND(INDIRECT("tblParticipants[@EnrollQtr]")&gt;=1,INDIRECT("tblParticipants[@EnrollQtr]")&lt;=4),IF(INDIRECT("tblParticipants[@QtrLastTransport]")&gt;=INDIRECT("tblParticipants[@EnrollQtr]"),IF(NOT(ISBLANK(INDIRECT("tblParticipants[@ExitQtr]"))),IF(ISNUMBER(INDIRECT("tblParticipants[@ExitQtr]")),IF(INDIRECT("tblParticipants[@QtrLastTransport]")&gt;INDIRECT("tblParticipants[@ExitQtr]"),TRUE,FALSE),FALSE),FALSE),TRUE),TRUE),TRUE),TRUE),FALSE)</formula>
    </cfRule>
  </conditionalFormatting>
  <conditionalFormatting sqref="AZ5:AZ504">
    <cfRule type="expression" dxfId="229" priority="54">
      <formula>IF(NOT(ISBLANK(INDIRECT("tblParticipants[@QtrLastChildCare]"))),IF(ISNUMBER(INDIRECT("tblParticipants[@QtrLastChildCare]")),IF(AND(INDIRECT("tblParticipants[@QtrLastChildCare]")&gt;=1,INDIRECT("tblParticipants[@QtrLastChildCare]")&lt;=4),IF(AND(INDIRECT("tblParticipants[@EnrollQtr]")&gt;=1,INDIRECT("tblParticipants[@EnrollQtr]")&lt;=4),IF(INDIRECT("tblParticipants[@QtrLastChildCare]")&gt;=INDIRECT("tblParticipants[@EnrollQtr]"),IF(NOT(ISBLANK(INDIRECT("tblParticipants[@ExitQtr]"))),IF(ISNUMBER(INDIRECT("tblParticipants[@ExitQtr]")),IF(INDIRECT("tblParticipants[@QtrLastChildCare]")&gt;INDIRECT("tblParticipants[@ExitQtr]"),TRUE,FALSE),FALSE),FALSE),TRUE),TRUE),TRUE),TRUE),FALSE)</formula>
    </cfRule>
  </conditionalFormatting>
  <conditionalFormatting sqref="BA5:BA504">
    <cfRule type="expression" dxfId="228" priority="53">
      <formula>IF(NOT(ISBLANK(INDIRECT("tblParticipants[@QtrLastEducFees]"))),IF(ISNUMBER(INDIRECT("tblParticipants[@QtrLastEducFees]")),IF(AND(INDIRECT("tblParticipants[@QtrLastEducFees]")&gt;=1,INDIRECT("tblParticipants[@QtrLastEducFees]")&lt;=4),IF(AND(INDIRECT("tblParticipants[@EnrollQtr]")&gt;=1,INDIRECT("tblParticipants[@EnrollQtr]")&lt;=4),IF(INDIRECT("tblParticipants[@QtrLastEducFees]")&gt;=INDIRECT("tblParticipants[@EnrollQtr]"),IF(NOT(ISBLANK(INDIRECT("tblParticipants[@ExitQtr]"))),IF(ISNUMBER(INDIRECT("tblParticipants[@ExitQtr]")),IF(INDIRECT("tblParticipants[@QtrLastEducFees]")&gt;INDIRECT("tblParticipants[@ExitQtr]"),TRUE,FALSE),FALSE),FALSE),TRUE),TRUE),TRUE),TRUE),FALSE)</formula>
    </cfRule>
  </conditionalFormatting>
  <conditionalFormatting sqref="BB5:BB504">
    <cfRule type="expression" dxfId="227" priority="52">
      <formula>IF(NOT(ISBLANK(INDIRECT("tblParticipants[@QtrLastAccomDisab]"))),IF(ISNUMBER(INDIRECT("tblParticipants[@QtrLastAccomDisab]")),IF(AND(INDIRECT("tblParticipants[@QtrLastAccomDisab]")&gt;=1,INDIRECT("tblParticipants[@QtrLastAccomDisab]")&lt;=4),IF(AND(INDIRECT("tblParticipants[@EnrollQtr]")&gt;=1,INDIRECT("tblParticipants[@EnrollQtr]")&lt;=4),IF(INDIRECT("tblParticipants[@QtrLastAccomDisab]")&gt;=INDIRECT("tblParticipants[@EnrollQtr]"),IF(NOT(ISBLANK(INDIRECT("tblParticipants[@ExitQtr]"))),IF(ISNUMBER(INDIRECT("tblParticipants[@ExitQtr]")),IF(INDIRECT("tblParticipants[@QtrLastAccomDisab]")&gt;INDIRECT("tblParticipants[@ExitQtr]"),TRUE,FALSE),FALSE),FALSE),TRUE),TRUE),TRUE),TRUE),FALSE)</formula>
    </cfRule>
  </conditionalFormatting>
  <conditionalFormatting sqref="BC5:BC504">
    <cfRule type="expression" dxfId="226" priority="50">
      <formula>IF(NOT(ISBLANK(INDIRECT("tblParticipants[@QtrLastHealthCare]"))),IF(ISNUMBER(INDIRECT("tblParticipants[@QtrLastHealthCare]")),IF(AND(INDIRECT("tblParticipants[@QtrLastHealthCare]")&gt;=1,INDIRECT("tblParticipants[@QtrLastHealthCare]")&lt;=4),IF(AND(INDIRECT("tblParticipants[@EnrollQtr]")&gt;=1,INDIRECT("tblParticipants[@EnrollQtr]")&lt;=4),IF(INDIRECT("tblParticipants[@QtrLastHealthCare]")&gt;=INDIRECT("tblParticipants[@EnrollQtr]"),IF(NOT(ISBLANK(INDIRECT("tblParticipants[@ExitQtr]"))),IF(ISNUMBER(INDIRECT("tblParticipants[@ExitQtr]")),IF(INDIRECT("tblParticipants[@QtrLastHealthCare]")&gt;INDIRECT("tblParticipants[@ExitQtr]"),TRUE,FALSE),FALSE),FALSE),TRUE),TRUE),TRUE),TRUE),FALSE)</formula>
    </cfRule>
  </conditionalFormatting>
  <conditionalFormatting sqref="BD5:BD504">
    <cfRule type="expression" dxfId="225" priority="49">
      <formula>IF(NOT(ISBLANK(INDIRECT("tblParticipants[@QtrLastWorkAttireTools]"))),IF(ISNUMBER(INDIRECT("tblParticipants[@QtrLastWorkAttireTools]")),IF(AND(INDIRECT("tblParticipants[@QtrLastWorkAttireTools]")&gt;=1,INDIRECT("tblParticipants[@QtrLastWorkAttireTools]")&lt;=4),IF(AND(INDIRECT("tblParticipants[@EnrollQtr]")&gt;=1,INDIRECT("tblParticipants[@EnrollQtr]")&lt;=4),IF(INDIRECT("tblParticipants[@QtrLastWorkAttireTools]")&gt;=INDIRECT("tblParticipants[@EnrollQtr]"),IF(NOT(ISBLANK(INDIRECT("tblParticipants[@ExitQtr]"))),IF(ISNUMBER(INDIRECT("tblParticipants[@ExitQtr]")),IF(INDIRECT("tblParticipants[@QtrLastWorkAttireTools]")&gt;INDIRECT("tblParticipants[@ExitQtr]"),TRUE,FALSE),FALSE),FALSE),TRUE),TRUE),TRUE),TRUE),FALSE)</formula>
    </cfRule>
  </conditionalFormatting>
  <conditionalFormatting sqref="BE5:BE504">
    <cfRule type="expression" dxfId="224" priority="48">
      <formula>IF(NOT(ISBLANK(INDIRECT("tblParticipants[@QtrLastLegAid]"))),IF(ISNUMBER(INDIRECT("tblParticipants[@QtrLastLegAid]")),IF(AND(INDIRECT("tblParticipants[@QtrLastLegAid]")&gt;=1,INDIRECT("tblParticipants[@QtrLastLegAid]")&lt;=4),IF(AND(INDIRECT("tblParticipants[@EnrollQtr]")&gt;=1,INDIRECT("tblParticipants[@EnrollQtr]")&lt;=4),IF(INDIRECT("tblParticipants[@QtrLastLegAid]")&gt;=INDIRECT("tblParticipants[@EnrollQtr]"),IF(NOT(ISBLANK(INDIRECT("tblParticipants[@ExitQtr]"))),IF(ISNUMBER(INDIRECT("tblParticipants[@ExitQtr]")),IF(INDIRECT("tblParticipants[@QtrLastLegAid]")&gt;INDIRECT("tblParticipants[@ExitQtr]"),TRUE,FALSE),FALSE),FALSE),TRUE),TRUE),TRUE),TRUE),FALSE)</formula>
    </cfRule>
  </conditionalFormatting>
  <conditionalFormatting sqref="BF5:BF504">
    <cfRule type="expression" dxfId="223" priority="47">
      <formula>IF(NOT(ISBLANK(INDIRECT("tblParticipants[@QtrLastDrugAlcCouns]"))),IF(ISNUMBER(INDIRECT("tblParticipants[@QtrLastDrugAlcCouns]")),IF(AND(INDIRECT("tblParticipants[@QtrLastDrugAlcCouns]")&gt;=1,INDIRECT("tblParticipants[@QtrLastDrugAlcCouns]")&lt;=4),IF(AND(INDIRECT("tblParticipants[@EnrollQtr]")&gt;=1,INDIRECT("tblParticipants[@EnrollQtr]")&lt;=4),IF(INDIRECT("tblParticipants[@QtrLastDrugAlcCouns]")&gt;=INDIRECT("tblParticipants[@EnrollQtr]"),IF(NOT(ISBLANK(INDIRECT("tblParticipants[@ExitQtr]"))),IF(ISNUMBER(INDIRECT("tblParticipants[@ExitQtr]")),IF(INDIRECT("tblParticipants[@QtrLastDrugAlcCouns]")&gt;INDIRECT("tblParticipants[@ExitQtr]"),TRUE,FALSE),FALSE),FALSE),TRUE),TRUE),TRUE),TRUE),FALSE)</formula>
    </cfRule>
  </conditionalFormatting>
  <conditionalFormatting sqref="BG5:BG504">
    <cfRule type="expression" dxfId="222" priority="46">
      <formula>IF(NOT(ISBLANK(INDIRECT("tblParticipants[@QtrLastTempShelt]"))),IF(ISNUMBER(INDIRECT("tblParticipants[@QtrLastTempShelt]")),IF(AND(INDIRECT("tblParticipants[@QtrLastTempShelt]")&gt;=1,INDIRECT("tblParticipants[@QtrLastTempShelt]")&lt;=4),IF(AND(INDIRECT("tblParticipants[@EnrollQtr]")&gt;=1,INDIRECT("tblParticipants[@EnrollQtr]")&lt;=4),IF(INDIRECT("tblParticipants[@QtrLastTempShelt]")&gt;=INDIRECT("tblParticipants[@EnrollQtr]"),IF(NOT(ISBLANK(INDIRECT("tblParticipants[@ExitQtr]"))),IF(ISNUMBER(INDIRECT("tblParticipants[@ExitQtr]")),IF(INDIRECT("tblParticipants[@QtrLastTempShelt]")&gt;INDIRECT("tblParticipants[@ExitQtr]"),TRUE,FALSE),FALSE),FALSE),TRUE),TRUE),TRUE),TRUE),FALSE)</formula>
    </cfRule>
  </conditionalFormatting>
  <conditionalFormatting sqref="BH5:BH504">
    <cfRule type="expression" dxfId="221" priority="45">
      <formula>IF(NOT(ISBLANK(INDIRECT("tblParticipants[@QtrLastFinCouns]"))),IF(ISNUMBER(INDIRECT("tblParticipants[@QtrLastFinCouns]")),IF(AND(INDIRECT("tblParticipants[@QtrLastFinCouns]")&gt;=1,INDIRECT("tblParticipants[@QtrLastFinCouns]")&lt;=4),IF(AND(INDIRECT("tblParticipants[@EnrollQtr]")&gt;=1,INDIRECT("tblParticipants[@EnrollQtr]")&lt;=4),IF(INDIRECT("tblParticipants[@QtrLastFinCouns]")&gt;=INDIRECT("tblParticipants[@EnrollQtr]"),IF(NOT(ISBLANK(INDIRECT("tblParticipants[@ExitQtr]"))),IF(ISNUMBER(INDIRECT("tblParticipants[@ExitQtr]")),IF(INDIRECT("tblParticipants[@QtrLastFinCouns]")&gt;INDIRECT("tblParticipants[@ExitQtr]"),TRUE,FALSE),FALSE),FALSE),TRUE),TRUE),TRUE),TRUE),FALSE)</formula>
    </cfRule>
  </conditionalFormatting>
  <conditionalFormatting sqref="AK5:AK504">
    <cfRule type="expression" dxfId="220" priority="44">
      <formula>IF(NOT(ISBLANK(INDIRECT("tblParticipants[@OjtType]"))),IF(ISNUMBER(INDIRECT("tblParticipants[@OjtType]")),NOT(AND(INDIRECT("tblParticipants[@OjtType]")&gt;=1,INDIRECT("tblParticipants[@OjtType]")&lt;=2)),TRUE),FALSE)</formula>
    </cfRule>
  </conditionalFormatting>
  <conditionalFormatting sqref="AP5:AP504">
    <cfRule type="expression" dxfId="219" priority="27">
      <formula>IF(NOT(ISBLANK(INDIRECT("tblParticipants[@DtFirstOtherTrn]"))),IF(ISNUMBER(INDIRECT("tblParticipants[@DtFirstOtherTrn]")),IF(AND(INT(INDIRECT("tblParticipants[@DtFirstOtherTrn]"))&gt;=DATE(conProgYear,7,1),INT(INDIRECT("tblParticipants[@DtFirstOtherTrn]"))&lt;=DATE(conProgYear+1,6,30)),IF(NOT(ISBLANK(INDIRECT("tblParticipants[@SvcStartDate]"))),IF(NOT(ISBLANK(INDIRECT("tblParticipants[@SvcEndDate]"))),OR(IF(ISNUMBER(INDIRECT("tblParticipants[@SvcStartDate]")),INT(INDIRECT("tblParticipants[@DtFirstOtherTrn]"))&lt;INT(INDIRECT("tblParticipants[@SvcStartDate]")),FALSE),IF(ISNUMBER(INDIRECT("tblParticipants[@SvcEndDate]")),INT(INDIRECT("tblParticipants[@DtFirstOtherTrn]"))&gt;INT(INDIRECT("tblParticipants[@SvcEndDate]")),FALSE)),IF(ISNUMBER(INDIRECT("tblParticipants[@SvcStartDate]")),INT(INDIRECT("tblParticipants[@DtFirstOtherTrn]"))&lt;INT(INDIRECT("tblParticipants[@SvcStartDate]")),FALSE)),TRUE),TRUE),TRUE),FALSE)</formula>
    </cfRule>
    <cfRule type="expression" dxfId="218" priority="43">
      <formula>IF(AND(ISNUMBER(INDIRECT("tblParticipants[@DtFirstOtherTrn]")),ISNUMBER(INDIRECT("tblParticipants[@DtLastOtherTrn]"))),QUOTIENT(INDIRECT("tblParticipants[@DtFirstOtherTrn]"),1)&gt;QUOTIENT(INDIRECT("tblParticipants[@DtLastOtherTrn]"),1),FALSE)</formula>
    </cfRule>
  </conditionalFormatting>
  <conditionalFormatting sqref="AR5:AR504">
    <cfRule type="expression" dxfId="217" priority="25">
      <formula>IF(NOT(ISBLANK(INDIRECT("tblParticipants[@DtFirstCustomTrn]"))),IF(ISNUMBER(INDIRECT("tblParticipants[@DtFirstCustomTrn]")),IF(AND(INT(INDIRECT("tblParticipants[@DtFirstCustomTrn]"))&gt;=DATE(conProgYear,7,1),INT(INDIRECT("tblParticipants[@DtFirstCustomTrn]"))&lt;=DATE(conProgYear+1,6,30)),IF(NOT(ISBLANK(INDIRECT("tblParticipants[@SvcStartDate]"))),IF(NOT(ISBLANK(INDIRECT("tblParticipants[@SvcEndDate]"))),OR(IF(ISNUMBER(INDIRECT("tblParticipants[@SvcStartDate]")),INT(INDIRECT("tblParticipants[@DtFirstCustomTrn]"))&lt;INT(INDIRECT("tblParticipants[@SvcStartDate]")),FALSE),IF(ISNUMBER(INDIRECT("tblParticipants[@SvcEndDate]")),INT(INDIRECT("tblParticipants[@DtFirstCustomTrn]"))&gt;INT(INDIRECT("tblParticipants[@SvcEndDate]")),FALSE)),IF(ISNUMBER(INDIRECT("tblParticipants[@SvcStartDate]")),INT(INDIRECT("tblParticipants[@DtFirstCustomTrn]"))&lt;INT(INDIRECT("tblParticipants[@SvcStartDate]")),FALSE)),TRUE),TRUE),TRUE),FALSE)</formula>
    </cfRule>
    <cfRule type="expression" dxfId="216" priority="42">
      <formula>IF(AND(ISNUMBER(INDIRECT("tblParticipants[@DtFirstCustomTrn]")),ISNUMBER(INDIRECT("tblParticipants[@DtLastCustomTrn]"))),QUOTIENT(INDIRECT("tblParticipants[@DtFirstCustomTrn]"),1)&gt;QUOTIENT(INDIRECT("tblParticipants[@DtLastCustomTrn]"),1),FALSE)</formula>
    </cfRule>
  </conditionalFormatting>
  <conditionalFormatting sqref="AQ5:AQ504">
    <cfRule type="expression" dxfId="215" priority="26">
      <formula>IF(NOT(ISBLANK(INDIRECT("tblParticipants[@DtLastOtherTrn]"))),IF(ISNUMBER(INDIRECT("tblParticipants[@DtLastOtherTrn]")),IF(AND(INT(INDIRECT("tblParticipants[@DtLastOtherTrn]"))&gt;=DATE(conProgYear,7,1),INT(INDIRECT("tblParticipants[@DtLastOtherTrn]"))&lt;=DATE(conProgYear+1,6,30)),IF(NOT(ISBLANK(INDIRECT("tblParticipants[@SvcStartDate]"))),IF(NOT(ISBLANK(INDIRECT("tblParticipants[@SvcEndDate]"))),OR(IF(ISNUMBER(INDIRECT("tblParticipants[@SvcStartDate]")),INT(INDIRECT("tblParticipants[@DtLastOtherTrn]"))&lt;INT(INDIRECT("tblParticipants[@SvcStartDate]")),FALSE),IF(ISNUMBER(INDIRECT("tblParticipants[@SvcEndDate]")),INT(INDIRECT("tblParticipants[@DtLastOtherTrn]"))&gt;INT(INDIRECT("tblParticipants[@SvcEndDate]")),FALSE)),IF(ISNUMBER(INDIRECT("tblParticipants[@SvcStartDate]")),INT(INDIRECT("tblParticipants[@DtLastOtherTrn]"))&lt;INT(INDIRECT("tblParticipants[@SvcStartDate]")),FALSE)),TRUE),TRUE),TRUE),FALSE)</formula>
    </cfRule>
    <cfRule type="expression" dxfId="214" priority="41">
      <formula>IF(AND(ISNUMBER(INDIRECT("tblParticipants[@DtFirstOtherTrn]")),ISNUMBER(INDIRECT("tblParticipants[@DtLastOtherTrn]"))),QUOTIENT(INDIRECT("tblParticipants[@DtFirstOtherTrn]"),1)&gt;QUOTIENT(INDIRECT("tblParticipants[@DtLastOtherTrn]"),1),FALSE)</formula>
    </cfRule>
  </conditionalFormatting>
  <conditionalFormatting sqref="AS5:AS504">
    <cfRule type="expression" dxfId="213" priority="24">
      <formula>IF(NOT(ISBLANK(INDIRECT("tblParticipants[@DtLastCustomTrn]"))),IF(ISNUMBER(INDIRECT("tblParticipants[@DtLastCustomTrn]")),IF(AND(INT(INDIRECT("tblParticipants[@DtLastCustomTrn]"))&gt;=DATE(conProgYear,7,1),INT(INDIRECT("tblParticipants[@DtLastCustomTrn]"))&lt;=DATE(conProgYear+1,6,30)),IF(NOT(ISBLANK(INDIRECT("tblParticipants[@SvcStartDate]"))),IF(NOT(ISBLANK(INDIRECT("tblParticipants[@SvcEndDate]"))),OR(IF(ISNUMBER(INDIRECT("tblParticipants[@SvcStartDate]")),INT(INDIRECT("tblParticipants[@DtLastCustomTrn]"))&lt;INT(INDIRECT("tblParticipants[@SvcStartDate]")),FALSE),IF(ISNUMBER(INDIRECT("tblParticipants[@SvcEndDate]")),INT(INDIRECT("tblParticipants[@DtLastCustomTrn]"))&gt;INT(INDIRECT("tblParticipants[@SvcEndDate]")),FALSE)),IF(ISNUMBER(INDIRECT("tblParticipants[@SvcStartDate]")),INT(INDIRECT("tblParticipants[@DtLastCustomTrn]"))&lt;INT(INDIRECT("tblParticipants[@SvcStartDate]")),FALSE)),TRUE),TRUE),TRUE),FALSE)</formula>
    </cfRule>
    <cfRule type="expression" dxfId="212" priority="40">
      <formula>IF(AND(ISNUMBER(INDIRECT("tblParticipants[@DtFirstCustomTrn]")),ISNUMBER(INDIRECT("tblParticipants[@DtLastCustomTrn]"))),QUOTIENT(INDIRECT("tblParticipants[@DtFirstCustomTrn]"),1)&gt;QUOTIENT(INDIRECT("tblParticipants[@DtLastCustomTrn]"),1),FALSE)</formula>
    </cfRule>
  </conditionalFormatting>
  <conditionalFormatting sqref="N5:N504">
    <cfRule type="expression" dxfId="211" priority="36">
      <formula>IF(NOT(ISERROR(MATCH(INDIRECT("tblParticipants[@PlacedInEmp]"),INDIRECT("tblYesNo[Value]"),0))),AND(INDIRECT("tblParticipants[@PlacedInEmp]")=0,NOT(ISBLANK(INDIRECT("tblParticipants[@HrlyWgPlmt]")))),TRUE)</formula>
    </cfRule>
    <cfRule type="expression" dxfId="210" priority="39">
      <formula>IF(ISBLANK(INDIRECT("tblParticipants[@PlacedInEmp]")),NOT(ISBLANK(INDIRECT("tblParticipants[@HrlyWgPlmt]"))),FALSE)</formula>
    </cfRule>
  </conditionalFormatting>
  <conditionalFormatting sqref="M5:M504">
    <cfRule type="expression" dxfId="209" priority="35">
      <formula>IF(NOT(ISBLANK(INDIRECT("tblParticipants[@SvcEndDate]"))),IF(ISNUMBER(INDIRECT("tblParticipants[@SvcEndDate]")),OR(NOT(AND(QUOTIENT(INDIRECT("tblParticipants[@SvcEndDate]"),1)&gt;=DATE(conProgYear,7,1),QUOTIENT(INDIRECT("tblParticipants[@SvcEndDate]"),1)&lt;=DATE(conProgYear+1,6,30))),IF(ISNUMBER(INDIRECT("tblParticipants[@EnrollQtr]")),IF(AND(INDIRECT("tblParticipants[@EnrollQtr]")&gt;=1,INDIRECT("tblParticipants[@EnrollQtr]")&lt;=4),NOT(QUOTIENT(INDIRECT("tblParticipants[@SvcEndDate]"),1)&gt;=QUOTIENT(INDIRECT("tblParticipants[@SvcStartDate]"),1)),TRUE),TRUE)),TRUE),FALSE)</formula>
    </cfRule>
    <cfRule type="expression" dxfId="208" priority="38">
      <formula>IF(ISBLANK(INDIRECT("tblParticipants[@SvcEndDate]")),OR(INDIRECT("tblParticipants[@PlacedInEmp]")=1,NOT(ISBLANK(INDIRECT("tblParticipants[@HrlyWgPlmt]")))),FALSE)</formula>
    </cfRule>
  </conditionalFormatting>
  <conditionalFormatting sqref="E5:E504">
    <cfRule type="expression" dxfId="207" priority="8">
      <formula>ISERROR(MATCH(INDIRECT("tblParticipants[@CoEnrAjc]"),INDIRECT("tblYesNo[Value]"),0))</formula>
    </cfRule>
  </conditionalFormatting>
  <conditionalFormatting sqref="F5:F504">
    <cfRule type="expression" dxfId="206" priority="7">
      <formula>ISERROR(MATCH(INDIRECT("tblParticipants[@CoEnrGpd]"),INDIRECT("tblYesNo[Value]"),0))</formula>
    </cfRule>
  </conditionalFormatting>
  <conditionalFormatting sqref="G5:G504">
    <cfRule type="expression" dxfId="205" priority="6">
      <formula>ISERROR(MATCH(INDIRECT("tblParticipants[@CoEnrVash]"),INDIRECT("tblYesNo[Value]"),0))</formula>
    </cfRule>
  </conditionalFormatting>
  <conditionalFormatting sqref="H5:H504">
    <cfRule type="expression" dxfId="204" priority="5">
      <formula>ISERROR(MATCH(INDIRECT("tblParticipants[@CoEnrSsvf]"),INDIRECT("tblYesNo[Value]"),0))</formula>
    </cfRule>
  </conditionalFormatting>
  <conditionalFormatting sqref="I5:I504">
    <cfRule type="expression" dxfId="203" priority="4">
      <formula>ISERROR(MATCH(INDIRECT("tblParticipants[@CoEnrSsvfSs]"),INDIRECT("tblYesNo[Value]"),0))</formula>
    </cfRule>
  </conditionalFormatting>
  <conditionalFormatting sqref="J5:J504">
    <cfRule type="expression" dxfId="202" priority="3">
      <formula>ISERROR(MATCH(INDIRECT("tblParticipants[@CoEnrFema]"),INDIRECT("tblYesNo[Value]"),0))</formula>
    </cfRule>
  </conditionalFormatting>
  <conditionalFormatting sqref="K5:K504">
    <cfRule type="expression" dxfId="201" priority="2">
      <formula>ISERROR(MATCH(INDIRECT("tblParticipants[@CoEnrNahasda]"),INDIRECT("tblYesNo[Value]"),0))</formula>
    </cfRule>
  </conditionalFormatting>
  <conditionalFormatting sqref="L5:L504">
    <cfRule type="expression" dxfId="200" priority="1">
      <formula>ISERROR(MATCH(INDIRECT("tblParticipants[@CoEnrHprp]"),INDIRECT("tblYesNo[Value]"),0))</formula>
    </cfRule>
  </conditionalFormatting>
  <dataValidations count="14">
    <dataValidation type="list" allowBlank="1" showInputMessage="1" showErrorMessage="1" errorTitle="Military Branch Error" error="Invalid entry." sqref="Z5:Z504">
      <formula1>INDIRECT("tblMilitaryBranch")</formula1>
    </dataValidation>
    <dataValidation type="list" allowBlank="1" showInputMessage="1" showErrorMessage="1" errorTitle="Gender Error" error="Invalid entry." sqref="P5:P504">
      <formula1>INDIRECT("tblGender[Value]")</formula1>
    </dataValidation>
    <dataValidation type="list" allowBlank="1" showInputMessage="1" showErrorMessage="1" errorTitle="Yes/No Error" error="You must select from the list." sqref="BQ5:BQ504 R5:V504 BJ5:BK504 BN5:BN504 AB5:AH504">
      <formula1>INDIRECT("tblYesNo[Value]")</formula1>
    </dataValidation>
    <dataValidation type="decimal" allowBlank="1" showInputMessage="1" showErrorMessage="1" error="Please enter an Age in years between 17 and 125." sqref="W5:W504">
      <formula1>17</formula1>
      <formula2>125</formula2>
    </dataValidation>
    <dataValidation type="list" allowBlank="1" showInputMessage="1" showErrorMessage="1" errorTitle="Education Error" error="Invalid entry." sqref="AA5:AA504">
      <formula1>INDIRECT("tblEducLevel[Value]")</formula1>
    </dataValidation>
    <dataValidation type="list" allowBlank="1" showInputMessage="1" showErrorMessage="1" errorTitle="Ethnicity Error" error="Invalid entry." sqref="Q5:Q504">
      <formula1>INDIRECT("tblEthnicity[Value]")</formula1>
    </dataValidation>
    <dataValidation type="decimal" allowBlank="1" showInputMessage="1" showErrorMessage="1" errorTitle="Hourly Wage Error" error="Hourly Wage must be between $1 and $200. " sqref="BP5:BP504 O5:O504">
      <formula1>1</formula1>
      <formula2>200</formula2>
    </dataValidation>
    <dataValidation type="date" operator="greaterThan" allowBlank="1" showInputMessage="1" showErrorMessage="1" errorTitle="Date Error" error="Please enter a valid date." sqref="X5:Y504 AI5:AJ504 AL5:AT504 C5:D504 M5:M504">
      <formula1>1</formula1>
    </dataValidation>
    <dataValidation type="decimal" allowBlank="1" showInputMessage="1" showErrorMessage="1" errorTitle="Hourly Wage Error" error="Hourly Wage must be between $1 and $200." sqref="BS5:BS504 BM5:BM504">
      <formula1>1</formula1>
      <formula2>200</formula2>
    </dataValidation>
    <dataValidation type="decimal" allowBlank="1" showInputMessage="1" showErrorMessage="1" error="Must be between 0 and 168." sqref="BL5:BL504 BO5:BO504 BR5:BR504">
      <formula1>0</formula1>
      <formula2>168</formula2>
    </dataValidation>
    <dataValidation type="list" allowBlank="1" showInputMessage="1" showErrorMessage="1" error="Enter '1' for 'Apprenticeship', or '2' for 'Not an Apprenticeship'._x000a_" sqref="AK5:AK504">
      <formula1>"1,2"</formula1>
    </dataValidation>
    <dataValidation type="list" allowBlank="1" showInputMessage="1" showErrorMessage="1" errorTitle="Quarter Error" error="You must select from the list." sqref="AV5:BI504">
      <formula1>"1,2,3,4"</formula1>
    </dataValidation>
    <dataValidation type="list" operator="greaterThan" allowBlank="1" showInputMessage="1" showErrorMessage="1" errorTitle="Yes/No Error" error="You must select from the list." sqref="N5:N504 E5:E504 F5:F504 G5:G504 H5:H504 I5:I504 J5:J504 K5:K504 L5:L504">
      <formula1>INDIRECT("tblYesNo[Value]")</formula1>
    </dataValidation>
    <dataValidation type="list" operator="greaterThan" allowBlank="1" showInputMessage="1" showErrorMessage="1" errorTitle="Quarter Error" error="You must select from the list." sqref="AU5:AU504">
      <formula1>"1,2,3,4"</formula1>
    </dataValidation>
  </dataValidations>
  <pageMargins left="0.7" right="0.7" top="0.75" bottom="0.75" header="0.3" footer="0.3"/>
  <pageSetup orientation="portrait"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Export1"/>
  <dimension ref="A1:FM8"/>
  <sheetViews>
    <sheetView workbookViewId="0">
      <selection activeCell="A40" sqref="A40"/>
    </sheetView>
  </sheetViews>
  <sheetFormatPr defaultRowHeight="14.4" x14ac:dyDescent="0.3"/>
  <cols>
    <col min="1" max="4" width="18.109375" bestFit="1" customWidth="1"/>
    <col min="5" max="5" width="18.5546875" customWidth="1"/>
    <col min="6" max="9" width="21.6640625" bestFit="1" customWidth="1"/>
    <col min="10" max="10" width="22.109375" bestFit="1" customWidth="1"/>
    <col min="11" max="11" width="10.88671875" bestFit="1" customWidth="1"/>
    <col min="12" max="15" width="14.6640625" bestFit="1" customWidth="1"/>
    <col min="16" max="16" width="15.109375" bestFit="1" customWidth="1"/>
    <col min="17" max="20" width="17.88671875" bestFit="1" customWidth="1"/>
    <col min="21" max="21" width="18.33203125" bestFit="1" customWidth="1"/>
    <col min="22" max="25" width="17.88671875" bestFit="1" customWidth="1"/>
    <col min="26" max="26" width="18.33203125" bestFit="1" customWidth="1"/>
    <col min="27" max="30" width="12.44140625" bestFit="1" customWidth="1"/>
    <col min="31" max="31" width="12.88671875" bestFit="1" customWidth="1"/>
    <col min="32" max="35" width="14.44140625" bestFit="1" customWidth="1"/>
    <col min="36" max="36" width="14.88671875" bestFit="1" customWidth="1"/>
    <col min="37" max="40" width="14.33203125" bestFit="1" customWidth="1"/>
    <col min="41" max="41" width="14.6640625" bestFit="1" customWidth="1"/>
    <col min="42" max="45" width="17.5546875" bestFit="1" customWidth="1"/>
    <col min="46" max="50" width="18" bestFit="1" customWidth="1"/>
    <col min="51" max="51" width="18.44140625" bestFit="1" customWidth="1"/>
    <col min="52" max="55" width="18" bestFit="1" customWidth="1"/>
    <col min="56" max="56" width="18.44140625" bestFit="1" customWidth="1"/>
    <col min="57" max="60" width="10.5546875" bestFit="1" customWidth="1"/>
    <col min="61" max="61" width="11" bestFit="1" customWidth="1"/>
    <col min="62" max="62" width="23.109375" bestFit="1" customWidth="1"/>
    <col min="63" max="63" width="106.44140625" bestFit="1" customWidth="1"/>
    <col min="64" max="64" width="18.33203125" bestFit="1" customWidth="1"/>
    <col min="65" max="65" width="18.6640625" bestFit="1" customWidth="1"/>
    <col min="66" max="66" width="16.44140625" bestFit="1" customWidth="1"/>
    <col min="67" max="70" width="16.33203125" bestFit="1" customWidth="1"/>
    <col min="71" max="71" width="16.6640625" bestFit="1" customWidth="1"/>
    <col min="72" max="72" width="14.44140625" bestFit="1" customWidth="1"/>
    <col min="73" max="73" width="10" bestFit="1" customWidth="1"/>
    <col min="74" max="77" width="19.109375" bestFit="1" customWidth="1"/>
    <col min="78" max="78" width="19.5546875" bestFit="1" customWidth="1"/>
    <col min="79" max="79" width="11.109375" bestFit="1" customWidth="1"/>
    <col min="80" max="80" width="14.5546875" bestFit="1" customWidth="1"/>
    <col min="81" max="84" width="17" bestFit="1" customWidth="1"/>
    <col min="85" max="85" width="17.5546875" bestFit="1" customWidth="1"/>
    <col min="86" max="86" width="19.6640625" bestFit="1" customWidth="1"/>
    <col min="87" max="87" width="18" bestFit="1" customWidth="1"/>
    <col min="88" max="88" width="17.88671875" bestFit="1" customWidth="1"/>
    <col min="89" max="89" width="17.5546875" bestFit="1" customWidth="1"/>
    <col min="90" max="93" width="13.88671875" bestFit="1" customWidth="1"/>
    <col min="94" max="94" width="14.33203125" bestFit="1" customWidth="1"/>
    <col min="95" max="98" width="14.44140625" bestFit="1" customWidth="1"/>
    <col min="99" max="99" width="14.88671875" bestFit="1" customWidth="1"/>
    <col min="100" max="103" width="19.33203125" bestFit="1" customWidth="1"/>
    <col min="104" max="104" width="19.6640625" bestFit="1" customWidth="1"/>
    <col min="105" max="108" width="18.88671875" bestFit="1" customWidth="1"/>
    <col min="109" max="109" width="19.33203125" bestFit="1" customWidth="1"/>
    <col min="110" max="110" width="21" bestFit="1" customWidth="1"/>
    <col min="111" max="111" width="12.5546875" bestFit="1" customWidth="1"/>
    <col min="112" max="112" width="17.44140625" bestFit="1" customWidth="1"/>
    <col min="113" max="113" width="12.6640625" bestFit="1" customWidth="1"/>
    <col min="114" max="114" width="13.88671875" bestFit="1" customWidth="1"/>
    <col min="115" max="118" width="13.44140625" bestFit="1" customWidth="1"/>
    <col min="119" max="119" width="13.88671875" bestFit="1" customWidth="1"/>
    <col min="120" max="120" width="15.88671875" bestFit="1" customWidth="1"/>
  </cols>
  <sheetData>
    <row r="1" spans="1:169" s="2" customFormat="1" x14ac:dyDescent="0.3">
      <c r="A1" s="2" t="s">
        <v>2924</v>
      </c>
      <c r="B1" s="2" t="s">
        <v>2925</v>
      </c>
      <c r="C1" s="2" t="s">
        <v>2926</v>
      </c>
      <c r="D1" s="2" t="s">
        <v>2927</v>
      </c>
      <c r="E1" s="2" t="s">
        <v>2928</v>
      </c>
      <c r="F1" s="2" t="s">
        <v>2929</v>
      </c>
      <c r="G1" s="2" t="s">
        <v>2930</v>
      </c>
      <c r="H1" s="2" t="s">
        <v>2931</v>
      </c>
      <c r="I1" s="2" t="s">
        <v>2932</v>
      </c>
      <c r="J1" s="2" t="s">
        <v>2933</v>
      </c>
      <c r="K1" s="2" t="s">
        <v>2934</v>
      </c>
      <c r="L1" s="2" t="s">
        <v>2935</v>
      </c>
      <c r="M1" s="2" t="s">
        <v>2936</v>
      </c>
      <c r="N1" s="2" t="s">
        <v>2937</v>
      </c>
      <c r="O1" s="2" t="s">
        <v>2938</v>
      </c>
      <c r="P1" s="2" t="s">
        <v>2939</v>
      </c>
      <c r="Q1" s="2" t="s">
        <v>2940</v>
      </c>
      <c r="R1" s="2" t="s">
        <v>2941</v>
      </c>
      <c r="S1" s="2" t="s">
        <v>2942</v>
      </c>
      <c r="T1" s="2" t="s">
        <v>2943</v>
      </c>
      <c r="U1" s="2" t="s">
        <v>2944</v>
      </c>
      <c r="V1" s="2" t="s">
        <v>2945</v>
      </c>
      <c r="W1" s="2" t="s">
        <v>2946</v>
      </c>
      <c r="X1" s="2" t="s">
        <v>2947</v>
      </c>
      <c r="Y1" s="2" t="s">
        <v>2948</v>
      </c>
      <c r="Z1" s="2" t="s">
        <v>2949</v>
      </c>
      <c r="AA1" s="2" t="s">
        <v>2950</v>
      </c>
      <c r="AB1" s="2" t="s">
        <v>2951</v>
      </c>
      <c r="AC1" s="2" t="s">
        <v>2952</v>
      </c>
      <c r="AD1" s="2" t="s">
        <v>2953</v>
      </c>
      <c r="AE1" s="2" t="s">
        <v>2954</v>
      </c>
      <c r="AF1" s="2" t="s">
        <v>2955</v>
      </c>
      <c r="AG1" s="2" t="s">
        <v>2956</v>
      </c>
      <c r="AH1" s="2" t="s">
        <v>2957</v>
      </c>
      <c r="AI1" s="2" t="s">
        <v>2958</v>
      </c>
      <c r="AJ1" s="2" t="s">
        <v>2959</v>
      </c>
      <c r="AK1" s="2" t="s">
        <v>2960</v>
      </c>
      <c r="AL1" s="2" t="s">
        <v>2961</v>
      </c>
      <c r="AM1" s="2" t="s">
        <v>2962</v>
      </c>
      <c r="AN1" s="2" t="s">
        <v>2963</v>
      </c>
      <c r="AO1" s="2" t="s">
        <v>2964</v>
      </c>
      <c r="AP1" s="2" t="s">
        <v>2965</v>
      </c>
      <c r="AQ1" s="2" t="s">
        <v>2966</v>
      </c>
      <c r="AR1" s="2" t="s">
        <v>2967</v>
      </c>
      <c r="AS1" s="2" t="s">
        <v>2968</v>
      </c>
      <c r="AT1" s="2" t="s">
        <v>2969</v>
      </c>
      <c r="AU1" s="2" t="s">
        <v>2970</v>
      </c>
      <c r="AV1" s="2" t="s">
        <v>2971</v>
      </c>
      <c r="AW1" s="2" t="s">
        <v>2972</v>
      </c>
      <c r="AX1" s="2" t="s">
        <v>2973</v>
      </c>
      <c r="AY1" s="2" t="s">
        <v>2974</v>
      </c>
      <c r="AZ1" s="2" t="s">
        <v>2975</v>
      </c>
      <c r="BA1" s="2" t="s">
        <v>2976</v>
      </c>
      <c r="BB1" s="2" t="s">
        <v>2977</v>
      </c>
      <c r="BC1" s="2" t="s">
        <v>2978</v>
      </c>
      <c r="BD1" s="2" t="s">
        <v>2979</v>
      </c>
      <c r="BE1" s="2" t="s">
        <v>2980</v>
      </c>
      <c r="BF1" s="2" t="s">
        <v>2981</v>
      </c>
      <c r="BG1" s="2" t="s">
        <v>2982</v>
      </c>
      <c r="BH1" s="2" t="s">
        <v>2983</v>
      </c>
      <c r="BI1" s="2" t="s">
        <v>2984</v>
      </c>
      <c r="BJ1" s="2" t="s">
        <v>2985</v>
      </c>
      <c r="BK1" s="2" t="s">
        <v>2986</v>
      </c>
      <c r="BL1" s="2" t="s">
        <v>2987</v>
      </c>
      <c r="BM1" s="2" t="s">
        <v>2988</v>
      </c>
      <c r="BN1" s="2" t="s">
        <v>2989</v>
      </c>
      <c r="BO1" s="2" t="s">
        <v>2990</v>
      </c>
      <c r="BP1" s="2" t="s">
        <v>2991</v>
      </c>
      <c r="BQ1" s="2" t="s">
        <v>2992</v>
      </c>
      <c r="BR1" s="2" t="s">
        <v>2993</v>
      </c>
      <c r="BS1" s="2" t="s">
        <v>2994</v>
      </c>
      <c r="BT1" s="2" t="s">
        <v>2995</v>
      </c>
      <c r="BU1" s="2" t="s">
        <v>2996</v>
      </c>
      <c r="BV1" s="2" t="s">
        <v>2997</v>
      </c>
      <c r="BW1" s="2" t="s">
        <v>2998</v>
      </c>
      <c r="BX1" s="2" t="s">
        <v>2999</v>
      </c>
      <c r="BY1" s="2" t="s">
        <v>3000</v>
      </c>
      <c r="BZ1" s="2" t="s">
        <v>3001</v>
      </c>
      <c r="CA1" s="2" t="s">
        <v>3002</v>
      </c>
      <c r="CB1" s="2" t="s">
        <v>3003</v>
      </c>
      <c r="CC1" s="2" t="s">
        <v>3004</v>
      </c>
      <c r="CD1" s="2" t="s">
        <v>3005</v>
      </c>
      <c r="CE1" s="2" t="s">
        <v>3006</v>
      </c>
      <c r="CF1" s="2" t="s">
        <v>3007</v>
      </c>
      <c r="CG1" s="2" t="s">
        <v>3008</v>
      </c>
      <c r="CH1" s="2" t="s">
        <v>3009</v>
      </c>
      <c r="CI1" s="2" t="s">
        <v>3010</v>
      </c>
      <c r="CJ1" s="2" t="s">
        <v>3011</v>
      </c>
      <c r="CK1" s="2" t="s">
        <v>3012</v>
      </c>
      <c r="CL1" s="2" t="s">
        <v>3013</v>
      </c>
      <c r="CM1" s="2" t="s">
        <v>3014</v>
      </c>
      <c r="CN1" s="2" t="s">
        <v>3015</v>
      </c>
      <c r="CO1" s="2" t="s">
        <v>3016</v>
      </c>
      <c r="CP1" s="2" t="s">
        <v>3017</v>
      </c>
      <c r="CQ1" s="2" t="s">
        <v>3018</v>
      </c>
      <c r="CR1" s="2" t="s">
        <v>3019</v>
      </c>
      <c r="CS1" s="2" t="s">
        <v>3020</v>
      </c>
      <c r="CT1" s="2" t="s">
        <v>3021</v>
      </c>
      <c r="CU1" s="2" t="s">
        <v>3022</v>
      </c>
      <c r="CV1" s="2" t="s">
        <v>3023</v>
      </c>
      <c r="CW1" s="2" t="s">
        <v>3024</v>
      </c>
      <c r="CX1" s="2" t="s">
        <v>3025</v>
      </c>
      <c r="CY1" s="2" t="s">
        <v>3026</v>
      </c>
      <c r="CZ1" s="2" t="s">
        <v>3027</v>
      </c>
      <c r="DA1" s="2" t="s">
        <v>3028</v>
      </c>
      <c r="DB1" s="2" t="s">
        <v>3029</v>
      </c>
      <c r="DC1" s="2" t="s">
        <v>3030</v>
      </c>
      <c r="DD1" s="2" t="s">
        <v>3031</v>
      </c>
      <c r="DE1" s="2" t="s">
        <v>3032</v>
      </c>
      <c r="DF1" s="2" t="s">
        <v>3033</v>
      </c>
      <c r="DG1" s="2" t="s">
        <v>3034</v>
      </c>
      <c r="DH1" s="2" t="s">
        <v>3035</v>
      </c>
      <c r="DI1" s="2" t="s">
        <v>3036</v>
      </c>
      <c r="DJ1" s="2" t="s">
        <v>3037</v>
      </c>
      <c r="DK1" s="2" t="s">
        <v>3038</v>
      </c>
      <c r="DL1" s="2" t="s">
        <v>3039</v>
      </c>
      <c r="DM1" s="2" t="s">
        <v>3040</v>
      </c>
      <c r="DN1" s="2" t="s">
        <v>3041</v>
      </c>
      <c r="DO1" s="2" t="s">
        <v>3042</v>
      </c>
      <c r="DP1" s="2" t="s">
        <v>3043</v>
      </c>
    </row>
    <row r="2" spans="1:169" x14ac:dyDescent="0.3">
      <c r="A2" s="105">
        <f>'VETS-700 Planned Goals'!$AB$54</f>
        <v>0</v>
      </c>
      <c r="B2" s="105">
        <f>'VETS-700 Planned Goals'!$AJ$54</f>
        <v>0</v>
      </c>
      <c r="C2" s="105">
        <f>'VETS-700 Planned Goals'!$AR$54</f>
        <v>0</v>
      </c>
      <c r="D2" s="105">
        <f>'VETS-700 Planned Goals'!$AZ$54</f>
        <v>0</v>
      </c>
      <c r="E2" s="105">
        <f>'VETS-700 Planned Goals'!$CN$54</f>
        <v>0</v>
      </c>
      <c r="F2" s="105">
        <f>IFERROR(ROUND('VETS-700 Planned Goals'!$AB$24,2),0)</f>
        <v>0</v>
      </c>
      <c r="G2" s="105">
        <f>IFERROR(ROUND('VETS-700 Planned Goals'!$AJ$24,2),0)</f>
        <v>0</v>
      </c>
      <c r="H2" s="105">
        <f>IFERROR(ROUND('VETS-700 Planned Goals'!$AR$24,2),)</f>
        <v>0</v>
      </c>
      <c r="I2" s="105">
        <f>IFERROR(ROUND('VETS-700 Planned Goals'!$AZ$24,2),0)</f>
        <v>0</v>
      </c>
      <c r="J2" s="105">
        <f>'VETS-700 Planned Goals'!$CN$24</f>
        <v>0</v>
      </c>
      <c r="K2">
        <f>IFERROR(ROUND('VETS-700 Planned Goals'!$CN$44,0),)</f>
        <v>0</v>
      </c>
      <c r="L2" s="105">
        <f>IFERROR(ROUND('VETS-700 Planned Goals'!$AB$53,2),0)</f>
        <v>0</v>
      </c>
      <c r="M2" s="105">
        <f>IFERROR(ROUND('VETS-700 Planned Goals'!$AJ$53,2),0)</f>
        <v>0</v>
      </c>
      <c r="N2" s="105">
        <f>IFERROR(ROUND('VETS-700 Planned Goals'!$AR$53,2),0)</f>
        <v>0</v>
      </c>
      <c r="O2" s="105">
        <f>IFERROR(ROUND('VETS-700 Planned Goals'!$AZ$53,2),0)</f>
        <v>0</v>
      </c>
      <c r="P2" s="105">
        <f>'VETS-700 Planned Goals'!$CN$53</f>
        <v>0</v>
      </c>
      <c r="Q2">
        <f>'VETS-700 Planned Goals'!$AR$28</f>
        <v>0</v>
      </c>
      <c r="R2">
        <f>'VETS-700 Planned Goals'!$AZ$28</f>
        <v>0</v>
      </c>
      <c r="S2">
        <f>'VETS-700 Planned Goals'!$BH$28</f>
        <v>0</v>
      </c>
      <c r="T2">
        <f>'VETS-700 Planned Goals'!$BP$28</f>
        <v>0</v>
      </c>
      <c r="U2">
        <f>'VETS-700 Planned Goals'!$CN$28</f>
        <v>0</v>
      </c>
      <c r="V2">
        <f>'VETS-700 Planned Goals'!$BH$31</f>
        <v>0</v>
      </c>
      <c r="W2">
        <f>'VETS-700 Planned Goals'!$BP$31</f>
        <v>0</v>
      </c>
      <c r="X2">
        <f>'VETS-700 Planned Goals'!$BX$31</f>
        <v>0</v>
      </c>
      <c r="Y2">
        <f>'VETS-700 Planned Goals'!$CF$31</f>
        <v>0</v>
      </c>
      <c r="Z2">
        <f>'VETS-700 Planned Goals'!$CN$31</f>
        <v>0</v>
      </c>
      <c r="AA2" s="411">
        <f>IFERROR(ROUND('VETS-700 Planned Goals'!$AB$21,0),0)</f>
        <v>0</v>
      </c>
      <c r="AB2" s="411">
        <f>IFERROR(ROUND('VETS-700 Planned Goals'!$AJ$21,0),)</f>
        <v>0</v>
      </c>
      <c r="AC2" s="411">
        <f>IFERROR(ROUND('VETS-700 Planned Goals'!$AR$21,0),)</f>
        <v>0</v>
      </c>
      <c r="AD2" s="411">
        <f>IFERROR(ROUND('VETS-700 Planned Goals'!$AZ$21,0),0)</f>
        <v>0</v>
      </c>
      <c r="AE2" s="411">
        <f>'VETS-700 Planned Goals'!$CN$21</f>
        <v>0</v>
      </c>
      <c r="AF2" s="411">
        <f>IFERROR(ROUND('VETS-700 Planned Goals'!$AB$33,0),0)</f>
        <v>0</v>
      </c>
      <c r="AG2" s="411">
        <f>IFERROR(ROUND('VETS-700 Planned Goals'!$AJ$33,0),0)</f>
        <v>0</v>
      </c>
      <c r="AH2" s="411">
        <f>IFERROR(ROUND('VETS-700 Planned Goals'!$AR$33,0),0)</f>
        <v>0</v>
      </c>
      <c r="AI2" s="411">
        <f>IFERROR(ROUND('VETS-700 Planned Goals'!$AZ$33,0),0)</f>
        <v>0</v>
      </c>
      <c r="AJ2">
        <f>'VETS-700 Planned Goals'!$CN$33</f>
        <v>0</v>
      </c>
      <c r="AK2" s="411">
        <f>IFERROR(ROUND('VETS-700 Planned Goals'!$AB$34,0),0)</f>
        <v>0</v>
      </c>
      <c r="AL2" s="411">
        <f>IFERROR(ROUND('VETS-700 Planned Goals'!$AJ$34,0),0)</f>
        <v>0</v>
      </c>
      <c r="AM2" s="411">
        <f>IFERROR(ROUND('VETS-700 Planned Goals'!$AR$34,0),0)</f>
        <v>0</v>
      </c>
      <c r="AN2" s="411">
        <f>IFERROR(ROUND('VETS-700 Planned Goals'!$AZ$34,0),0)</f>
        <v>0</v>
      </c>
      <c r="AO2">
        <f>'VETS-700 Planned Goals'!$CN$34</f>
        <v>0</v>
      </c>
      <c r="AP2" s="411">
        <f>IFERROR(ROUND('VETS-700 Planned Goals'!$AB$35,0),0)</f>
        <v>0</v>
      </c>
      <c r="AQ2" s="411">
        <f>IFERROR(ROUND('VETS-700 Planned Goals'!$AJ$35,0),0)</f>
        <v>0</v>
      </c>
      <c r="AR2" s="411">
        <f>IFERROR(ROUND('VETS-700 Planned Goals'!$AR$35,0),0)</f>
        <v>0</v>
      </c>
      <c r="AS2" s="411">
        <f>IFERROR(ROUND('VETS-700 Planned Goals'!$AZ$35,0),0)</f>
        <v>0</v>
      </c>
      <c r="AT2">
        <f>'VETS-700 Planned Goals'!$CN$35</f>
        <v>0</v>
      </c>
      <c r="AU2" s="411">
        <f>IFERROR(ROUND('VETS-700 Planned Goals'!$AR$27,0),0)</f>
        <v>0</v>
      </c>
      <c r="AV2" s="411">
        <f>IFERROR(ROUND('VETS-700 Planned Goals'!$AZ$27,0),0)</f>
        <v>0</v>
      </c>
      <c r="AW2" s="411">
        <f>IFERROR(ROUND('VETS-700 Planned Goals'!$BH$27,0),0)</f>
        <v>0</v>
      </c>
      <c r="AX2" s="411">
        <f>IFERROR(ROUND('VETS-700 Planned Goals'!$BP$27,0),0)</f>
        <v>0</v>
      </c>
      <c r="AY2">
        <f>'VETS-700 Planned Goals'!$CN$27</f>
        <v>0</v>
      </c>
      <c r="AZ2" s="411">
        <f>IFERROR(ROUND('VETS-700 Planned Goals'!$BH$30,0),0)</f>
        <v>0</v>
      </c>
      <c r="BA2" s="411">
        <f>IFERROR(ROUND('VETS-700 Planned Goals'!$BP$30,0),0)</f>
        <v>0</v>
      </c>
      <c r="BB2" s="411">
        <f>IFERROR(ROUND('VETS-700 Planned Goals'!$BX$30,0),0)</f>
        <v>0</v>
      </c>
      <c r="BC2" s="411">
        <f>IFERROR(ROUND('VETS-700 Planned Goals'!$CF$30,0),0)</f>
        <v>0</v>
      </c>
      <c r="BD2">
        <f>'VETS-700 Planned Goals'!$CN$30</f>
        <v>0</v>
      </c>
      <c r="BE2" s="411">
        <f>IFERROR(ROUND('VETS-700 Planned Goals'!$AB$26,0),0)</f>
        <v>0</v>
      </c>
      <c r="BF2" s="411">
        <f>IFERROR(ROUND('VETS-700 Planned Goals'!$AJ$26,0),0)</f>
        <v>0</v>
      </c>
      <c r="BG2" s="411">
        <f>IFERROR(ROUND('VETS-700 Planned Goals'!$AR$26,0),0)</f>
        <v>0</v>
      </c>
      <c r="BH2" s="411">
        <f>IFERROR(ROUND('VETS-700 Planned Goals'!$AZ$26,0),0)</f>
        <v>0</v>
      </c>
      <c r="BI2" s="411">
        <f>'VETS-700 Planned Goals'!$CN$26</f>
        <v>0</v>
      </c>
      <c r="BJ2" s="1">
        <f>'VETS-700 Planned Goals'!$DA$7</f>
        <v>0</v>
      </c>
      <c r="BK2" s="1">
        <f>'VETS-700 Planned Goals'!$BB$11</f>
        <v>0</v>
      </c>
      <c r="BL2" s="412">
        <f>'VETS-700 Planned Goals'!$AI$6</f>
        <v>0</v>
      </c>
      <c r="BM2">
        <f>'VETS-700 Planned Goals'!$L$9</f>
        <v>0</v>
      </c>
      <c r="BN2" s="412">
        <f>'VETS-700 Planned Goals'!$AI$7</f>
        <v>0</v>
      </c>
      <c r="BO2" s="105">
        <f>IFERROR(ROUND('VETS-700 Planned Goals'!$AB$52,2),0)</f>
        <v>0</v>
      </c>
      <c r="BP2" s="105">
        <f>IFERROR(ROUND('VETS-700 Planned Goals'!$AJ$52,2),0)</f>
        <v>0</v>
      </c>
      <c r="BQ2" s="105">
        <f>IFERROR(ROUND('VETS-700 Planned Goals'!$AR$52,2),0)</f>
        <v>0</v>
      </c>
      <c r="BR2" s="105">
        <f>IFERROR(ROUND('VETS-700 Planned Goals'!$AZ$52,2),0)</f>
        <v>0</v>
      </c>
      <c r="BS2" s="105">
        <f>'VETS-700 Planned Goals'!$CN$52</f>
        <v>0</v>
      </c>
      <c r="BT2">
        <f>IFERROR(ROUND('VETS-700 Planned Goals'!$CN$48,0),0)</f>
        <v>0</v>
      </c>
      <c r="BU2" t="str">
        <f>'VETS-700 Planned Goals'!$BK$6</f>
        <v>Unlocked</v>
      </c>
      <c r="BV2" s="105">
        <f>IFERROR(ROUND('VETS-700 Planned Goals'!$AR$29,2),0)</f>
        <v>0</v>
      </c>
      <c r="BW2" s="105">
        <f>IFERROR(ROUND('VETS-700 Planned Goals'!$AZ$29,2),0)</f>
        <v>0</v>
      </c>
      <c r="BX2" s="105">
        <f>IFERROR(ROUND('VETS-700 Planned Goals'!$BH$29,2),0)</f>
        <v>0</v>
      </c>
      <c r="BY2" s="105">
        <f>IFERROR(ROUND('VETS-700 Planned Goals'!$BP$29,2),0)</f>
        <v>0</v>
      </c>
      <c r="BZ2" s="105">
        <f>'VETS-700 Planned Goals'!$CN$29</f>
        <v>0</v>
      </c>
      <c r="CA2">
        <f>IFERROR(ROUND('VETS-700 Planned Goals'!$CN$46,0),0)</f>
        <v>0</v>
      </c>
      <c r="CB2">
        <f>IFERROR(ROUND('VETS-700 Planned Goals'!$CN$45,0),0)</f>
        <v>0</v>
      </c>
      <c r="CC2" s="105">
        <f>IFERROR(ROUND('VETS-700 Planned Goals'!$AB$51,2),0)</f>
        <v>0</v>
      </c>
      <c r="CD2" s="105">
        <f>IFERROR(ROUND('VETS-700 Planned Goals'!$AJ$51,2),0)</f>
        <v>0</v>
      </c>
      <c r="CE2" s="105">
        <f>IFERROR(ROUND('VETS-700 Planned Goals'!$AR$51,2),0)</f>
        <v>0</v>
      </c>
      <c r="CF2" s="105">
        <f>IFERROR(ROUND('VETS-700 Planned Goals'!$AZ$51,2),0)</f>
        <v>0</v>
      </c>
      <c r="CG2" s="105">
        <f>'VETS-700 Planned Goals'!$CN$51</f>
        <v>0</v>
      </c>
      <c r="CH2" s="414">
        <f>IFERROR('VETS-700 Planned Goals'!$CN$38,0)</f>
        <v>0</v>
      </c>
      <c r="CI2" s="414">
        <f>IFERROR('VETS-700 Planned Goals'!$CN$40,0)</f>
        <v>0</v>
      </c>
      <c r="CJ2" s="414">
        <f>IFERROR('VETS-700 Planned Goals'!$CN$39,0)</f>
        <v>0</v>
      </c>
      <c r="CK2" s="414">
        <f>IFERROR('VETS-700 Planned Goals'!$CN$37,0)</f>
        <v>0</v>
      </c>
      <c r="CL2" s="415">
        <f>IFERROR(ROUND('VETS-700 Planned Goals'!$AB$23,0),0)</f>
        <v>0</v>
      </c>
      <c r="CM2" s="415">
        <f>IFERROR(ROUND('VETS-700 Planned Goals'!$AJ$23,0),0)</f>
        <v>0</v>
      </c>
      <c r="CN2" s="415">
        <f>IFERROR(ROUND('VETS-700 Planned Goals'!$AR$23,0),0)</f>
        <v>0</v>
      </c>
      <c r="CO2" s="415">
        <f>IFERROR(ROUND('VETS-700 Planned Goals'!$AZ$23,0),0)</f>
        <v>0</v>
      </c>
      <c r="CP2" s="411">
        <f>'VETS-700 Planned Goals'!$CN$23</f>
        <v>0</v>
      </c>
      <c r="CQ2" s="411">
        <f>IFERROR(ROUND('VETS-700 Planned Goals'!$AB$22,0),0)</f>
        <v>0</v>
      </c>
      <c r="CR2" s="411">
        <f>IFERROR(ROUND('VETS-700 Planned Goals'!$AJ$22,0),0)</f>
        <v>0</v>
      </c>
      <c r="CS2" s="411">
        <f>IFERROR(ROUND('VETS-700 Planned Goals'!$AR$22,0),0)</f>
        <v>0</v>
      </c>
      <c r="CT2" s="411">
        <f>IFERROR(ROUND('VETS-700 Planned Goals'!$AZ$22,0),0)</f>
        <v>0</v>
      </c>
      <c r="CU2" s="411">
        <f>'VETS-700 Planned Goals'!$CN$22</f>
        <v>0</v>
      </c>
      <c r="CV2">
        <f>'VETS-700 Planned Goals'!$AB$36</f>
        <v>0</v>
      </c>
      <c r="CW2">
        <f>'VETS-700 Planned Goals'!$AJ$36</f>
        <v>0</v>
      </c>
      <c r="CX2">
        <f>'VETS-700 Planned Goals'!$AR$36</f>
        <v>0</v>
      </c>
      <c r="CY2">
        <f>'VETS-700 Planned Goals'!$AZ$36</f>
        <v>0</v>
      </c>
      <c r="CZ2" s="414">
        <f>'VETS-700 Planned Goals'!$CN$36</f>
        <v>0</v>
      </c>
      <c r="DA2">
        <f>'VETS-700 Planned Goals'!$AB$25</f>
        <v>0</v>
      </c>
      <c r="DB2">
        <f>'VETS-700 Planned Goals'!$AJ$25</f>
        <v>0</v>
      </c>
      <c r="DC2">
        <f>'VETS-700 Planned Goals'!$AR$25</f>
        <v>0</v>
      </c>
      <c r="DD2">
        <f>'VETS-700 Planned Goals'!$AZ$25</f>
        <v>0</v>
      </c>
      <c r="DE2" s="414">
        <f>'VETS-700 Planned Goals'!$CN$25</f>
        <v>0</v>
      </c>
      <c r="DF2">
        <f>'VETS-700 Planned Goals'!$L$13</f>
        <v>0</v>
      </c>
      <c r="DG2">
        <f>IFERROR(ROUND('VETS-700 Planned Goals'!$CN$47,0),0)</f>
        <v>0</v>
      </c>
      <c r="DH2" s="105">
        <f>'VETS-700 Planned Goals'!$L$6</f>
        <v>0</v>
      </c>
      <c r="DI2">
        <f>'VETS-700 Planned Goals'!$BK$8</f>
        <v>0</v>
      </c>
      <c r="DJ2">
        <f>'VETS-700 Planned Goals'!$BO$8</f>
        <v>0</v>
      </c>
      <c r="DK2" s="105">
        <f>'VETS-700 Planned Goals'!$AB$55</f>
        <v>0</v>
      </c>
      <c r="DL2" s="105">
        <f>'VETS-700 Planned Goals'!$AJ$55</f>
        <v>0</v>
      </c>
      <c r="DM2" s="105">
        <f>'VETS-700 Planned Goals'!$AR$55</f>
        <v>0</v>
      </c>
      <c r="DN2" s="105">
        <f>'VETS-700 Planned Goals'!$AZ$55</f>
        <v>0</v>
      </c>
      <c r="DO2" s="105">
        <f>'VETS-700 Planned Goals'!$CN$55</f>
        <v>0</v>
      </c>
      <c r="DP2">
        <f>IFERROR(ROUND('VETS-700 Planned Goals'!$CN$43,0),0)</f>
        <v>0</v>
      </c>
    </row>
    <row r="3" spans="1:169" x14ac:dyDescent="0.3">
      <c r="C3" s="49"/>
    </row>
    <row r="6" spans="1:169" x14ac:dyDescent="0.3">
      <c r="D6" s="50"/>
    </row>
    <row r="7" spans="1:169" x14ac:dyDescent="0.3">
      <c r="B7" s="410"/>
      <c r="C7" s="410"/>
      <c r="D7" s="410"/>
      <c r="DU7" s="410"/>
      <c r="DV7" s="410"/>
      <c r="DW7" s="410"/>
      <c r="DX7" s="410"/>
      <c r="DY7" s="410"/>
      <c r="DZ7" s="410"/>
      <c r="EA7" s="410"/>
      <c r="EB7" s="410"/>
      <c r="EC7" s="410"/>
      <c r="ED7" s="410"/>
      <c r="EE7" s="410"/>
      <c r="EF7" s="410"/>
      <c r="EG7" s="410"/>
      <c r="EH7" s="410"/>
      <c r="EI7" s="410"/>
      <c r="EJ7" s="410"/>
      <c r="EK7" s="410"/>
      <c r="EL7" s="410"/>
      <c r="EM7" s="410"/>
      <c r="EN7" s="410"/>
      <c r="EO7" s="410"/>
      <c r="EP7" s="410"/>
      <c r="EQ7" s="410"/>
      <c r="ER7" s="410"/>
      <c r="ES7" s="410"/>
      <c r="ET7" s="410"/>
      <c r="EU7" s="410"/>
      <c r="EV7" s="410"/>
      <c r="EW7" s="410"/>
      <c r="EX7" s="410"/>
      <c r="EY7" s="410"/>
      <c r="EZ7" s="410"/>
      <c r="FA7" s="410"/>
      <c r="FB7" s="410"/>
      <c r="FC7" s="410"/>
      <c r="FD7" s="410"/>
      <c r="FE7" s="410"/>
      <c r="FF7" s="410"/>
      <c r="FG7" s="410"/>
      <c r="FH7" s="410"/>
      <c r="FI7" s="410"/>
      <c r="FJ7" s="410"/>
      <c r="FK7" s="410"/>
      <c r="FL7" s="410"/>
      <c r="FM7" s="410"/>
    </row>
    <row r="8" spans="1:169" x14ac:dyDescent="0.3">
      <c r="FD8" s="413"/>
      <c r="FE8" s="413"/>
      <c r="FF8" s="413"/>
      <c r="FG8" s="413"/>
    </row>
  </sheetData>
  <sheetProtection algorithmName="SHA-512" hashValue="Kt0R2dQrUxis2KohJ0cpwBZ1tVl/46z7rz5tKAXUcvKswnyDYQC/2UNBwPykK8h95KY9kf/8ReFtrloykIg4lw==" saltValue="TCPePecv0VYcRmNhXfO4aw=="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Export2"/>
  <dimension ref="A1:CU2"/>
  <sheetViews>
    <sheetView workbookViewId="0">
      <selection activeCell="A5" sqref="A5"/>
    </sheetView>
  </sheetViews>
  <sheetFormatPr defaultRowHeight="14.4" x14ac:dyDescent="0.3"/>
  <cols>
    <col min="1" max="4" width="18.109375" bestFit="1" customWidth="1"/>
    <col min="5" max="5" width="18.5546875" bestFit="1" customWidth="1"/>
    <col min="6" max="9" width="10" bestFit="1" customWidth="1"/>
    <col min="10" max="10" width="10.44140625" bestFit="1" customWidth="1"/>
    <col min="11" max="12" width="12.6640625" bestFit="1" customWidth="1"/>
    <col min="13" max="13" width="13.33203125" bestFit="1" customWidth="1"/>
    <col min="14" max="17" width="21.6640625" bestFit="1" customWidth="1"/>
    <col min="18" max="18" width="22.109375" bestFit="1" customWidth="1"/>
    <col min="19" max="19" width="15.109375" bestFit="1" customWidth="1"/>
    <col min="20" max="20" width="15.5546875" bestFit="1" customWidth="1"/>
    <col min="21" max="24" width="14.6640625" bestFit="1" customWidth="1"/>
    <col min="25" max="25" width="15.109375" bestFit="1" customWidth="1"/>
    <col min="26" max="29" width="17.88671875" bestFit="1" customWidth="1"/>
    <col min="30" max="30" width="18.33203125" bestFit="1" customWidth="1"/>
    <col min="31" max="34" width="17.88671875" bestFit="1" customWidth="1"/>
    <col min="35" max="35" width="18.33203125" bestFit="1" customWidth="1"/>
    <col min="36" max="39" width="12.44140625" bestFit="1" customWidth="1"/>
    <col min="40" max="40" width="12.88671875" bestFit="1" customWidth="1"/>
    <col min="41" max="44" width="18" bestFit="1" customWidth="1"/>
    <col min="45" max="45" width="18.44140625" bestFit="1" customWidth="1"/>
    <col min="46" max="49" width="18" bestFit="1" customWidth="1"/>
    <col min="50" max="50" width="18.44140625" bestFit="1" customWidth="1"/>
    <col min="51" max="54" width="10.5546875" bestFit="1" customWidth="1"/>
    <col min="55" max="55" width="11" bestFit="1" customWidth="1"/>
    <col min="56" max="56" width="18" bestFit="1" customWidth="1"/>
    <col min="57" max="57" width="18.6640625" bestFit="1" customWidth="1"/>
    <col min="58" max="58" width="18.44140625" bestFit="1" customWidth="1"/>
    <col min="59" max="62" width="16.33203125" bestFit="1" customWidth="1"/>
    <col min="63" max="63" width="16.6640625" bestFit="1" customWidth="1"/>
    <col min="64" max="67" width="19.109375" bestFit="1" customWidth="1"/>
    <col min="68" max="68" width="19.5546875" bestFit="1" customWidth="1"/>
    <col min="69" max="69" width="11.109375" bestFit="1" customWidth="1"/>
    <col min="70" max="73" width="18.6640625" bestFit="1" customWidth="1"/>
    <col min="74" max="74" width="19.109375" bestFit="1" customWidth="1"/>
    <col min="75" max="78" width="13.88671875" bestFit="1" customWidth="1"/>
    <col min="79" max="79" width="14.33203125" bestFit="1" customWidth="1"/>
    <col min="80" max="83" width="14.44140625" bestFit="1" customWidth="1"/>
    <col min="84" max="84" width="14.88671875" bestFit="1" customWidth="1"/>
    <col min="85" max="85" width="16.5546875" bestFit="1" customWidth="1"/>
    <col min="86" max="86" width="16.44140625" bestFit="1" customWidth="1"/>
    <col min="87" max="90" width="15.5546875" bestFit="1" customWidth="1"/>
    <col min="91" max="91" width="18" bestFit="1" customWidth="1"/>
    <col min="92" max="92" width="13.88671875" bestFit="1" customWidth="1"/>
    <col min="93" max="93" width="13.44140625" bestFit="1" customWidth="1"/>
    <col min="94" max="94" width="15.44140625" bestFit="1" customWidth="1"/>
    <col min="95" max="96" width="13.88671875" bestFit="1" customWidth="1"/>
    <col min="97" max="97" width="16.109375" bestFit="1" customWidth="1"/>
  </cols>
  <sheetData>
    <row r="1" spans="1:99" x14ac:dyDescent="0.3">
      <c r="A1" s="2" t="s">
        <v>2924</v>
      </c>
      <c r="B1" s="2" t="s">
        <v>2925</v>
      </c>
      <c r="C1" s="2" t="s">
        <v>2926</v>
      </c>
      <c r="D1" s="2" t="s">
        <v>2927</v>
      </c>
      <c r="E1" s="2" t="s">
        <v>2928</v>
      </c>
      <c r="F1" s="2" t="s">
        <v>3044</v>
      </c>
      <c r="G1" s="2" t="s">
        <v>3045</v>
      </c>
      <c r="H1" s="2" t="s">
        <v>3046</v>
      </c>
      <c r="I1" s="2" t="s">
        <v>3047</v>
      </c>
      <c r="J1" s="2" t="s">
        <v>3048</v>
      </c>
      <c r="K1" s="2" t="s">
        <v>3049</v>
      </c>
      <c r="L1" s="2" t="s">
        <v>3050</v>
      </c>
      <c r="M1" s="2" t="s">
        <v>3051</v>
      </c>
      <c r="N1" s="2" t="s">
        <v>2929</v>
      </c>
      <c r="O1" s="2" t="s">
        <v>2930</v>
      </c>
      <c r="P1" s="2" t="s">
        <v>2931</v>
      </c>
      <c r="Q1" s="2" t="s">
        <v>2932</v>
      </c>
      <c r="R1" s="2" t="s">
        <v>2933</v>
      </c>
      <c r="S1" s="2" t="s">
        <v>3052</v>
      </c>
      <c r="T1" s="2" t="s">
        <v>3053</v>
      </c>
      <c r="U1" s="2" t="s">
        <v>2935</v>
      </c>
      <c r="V1" s="2" t="s">
        <v>2936</v>
      </c>
      <c r="W1" s="2" t="s">
        <v>2937</v>
      </c>
      <c r="X1" s="2" t="s">
        <v>2938</v>
      </c>
      <c r="Y1" s="2" t="s">
        <v>2939</v>
      </c>
      <c r="Z1" s="2" t="s">
        <v>2940</v>
      </c>
      <c r="AA1" s="2" t="s">
        <v>2941</v>
      </c>
      <c r="AB1" s="2" t="s">
        <v>2942</v>
      </c>
      <c r="AC1" s="2" t="s">
        <v>2943</v>
      </c>
      <c r="AD1" s="2" t="s">
        <v>2944</v>
      </c>
      <c r="AE1" s="2" t="s">
        <v>2945</v>
      </c>
      <c r="AF1" s="2" t="s">
        <v>2946</v>
      </c>
      <c r="AG1" s="2" t="s">
        <v>2947</v>
      </c>
      <c r="AH1" s="2" t="s">
        <v>2948</v>
      </c>
      <c r="AI1" s="2" t="s">
        <v>2949</v>
      </c>
      <c r="AJ1" s="2" t="s">
        <v>2950</v>
      </c>
      <c r="AK1" s="2" t="s">
        <v>2951</v>
      </c>
      <c r="AL1" s="2" t="s">
        <v>2952</v>
      </c>
      <c r="AM1" s="2" t="s">
        <v>2953</v>
      </c>
      <c r="AN1" s="2" t="s">
        <v>2954</v>
      </c>
      <c r="AO1" s="2" t="s">
        <v>2970</v>
      </c>
      <c r="AP1" s="2" t="s">
        <v>2971</v>
      </c>
      <c r="AQ1" s="2" t="s">
        <v>2972</v>
      </c>
      <c r="AR1" s="2" t="s">
        <v>2973</v>
      </c>
      <c r="AS1" s="2" t="s">
        <v>2974</v>
      </c>
      <c r="AT1" s="2" t="s">
        <v>2975</v>
      </c>
      <c r="AU1" s="2" t="s">
        <v>2976</v>
      </c>
      <c r="AV1" s="2" t="s">
        <v>2977</v>
      </c>
      <c r="AW1" s="2" t="s">
        <v>2978</v>
      </c>
      <c r="AX1" s="2" t="s">
        <v>2979</v>
      </c>
      <c r="AY1" s="2" t="s">
        <v>2980</v>
      </c>
      <c r="AZ1" s="2" t="s">
        <v>2981</v>
      </c>
      <c r="BA1" s="2" t="s">
        <v>2982</v>
      </c>
      <c r="BB1" s="2" t="s">
        <v>2983</v>
      </c>
      <c r="BC1" s="2" t="s">
        <v>2984</v>
      </c>
      <c r="BD1" s="2" t="s">
        <v>3054</v>
      </c>
      <c r="BE1" s="2" t="s">
        <v>2988</v>
      </c>
      <c r="BF1" s="2" t="s">
        <v>3055</v>
      </c>
      <c r="BG1" s="2" t="s">
        <v>2990</v>
      </c>
      <c r="BH1" s="2" t="s">
        <v>2991</v>
      </c>
      <c r="BI1" s="2" t="s">
        <v>2992</v>
      </c>
      <c r="BJ1" s="2" t="s">
        <v>2993</v>
      </c>
      <c r="BK1" s="2" t="s">
        <v>2994</v>
      </c>
      <c r="BL1" s="2" t="s">
        <v>2997</v>
      </c>
      <c r="BM1" s="2" t="s">
        <v>2998</v>
      </c>
      <c r="BN1" s="2" t="s">
        <v>2999</v>
      </c>
      <c r="BO1" s="2" t="s">
        <v>3000</v>
      </c>
      <c r="BP1" s="2" t="s">
        <v>3001</v>
      </c>
      <c r="BQ1" s="2" t="s">
        <v>3056</v>
      </c>
      <c r="BR1" s="2" t="s">
        <v>3057</v>
      </c>
      <c r="BS1" s="2" t="s">
        <v>3058</v>
      </c>
      <c r="BT1" s="2" t="s">
        <v>3059</v>
      </c>
      <c r="BU1" s="2" t="s">
        <v>3060</v>
      </c>
      <c r="BV1" s="2" t="s">
        <v>3061</v>
      </c>
      <c r="BW1" s="2" t="s">
        <v>3013</v>
      </c>
      <c r="BX1" s="2" t="s">
        <v>3014</v>
      </c>
      <c r="BY1" s="2" t="s">
        <v>3015</v>
      </c>
      <c r="BZ1" s="2" t="s">
        <v>3016</v>
      </c>
      <c r="CA1" s="2" t="s">
        <v>3017</v>
      </c>
      <c r="CB1" s="2" t="s">
        <v>3018</v>
      </c>
      <c r="CC1" s="2" t="s">
        <v>3019</v>
      </c>
      <c r="CD1" s="2" t="s">
        <v>3020</v>
      </c>
      <c r="CE1" s="2" t="s">
        <v>3021</v>
      </c>
      <c r="CF1" s="2" t="s">
        <v>3022</v>
      </c>
      <c r="CG1" s="2" t="s">
        <v>3062</v>
      </c>
      <c r="CH1" s="2" t="s">
        <v>3063</v>
      </c>
      <c r="CI1" s="2" t="s">
        <v>3064</v>
      </c>
      <c r="CJ1" s="2" t="s">
        <v>3065</v>
      </c>
      <c r="CK1" s="2" t="s">
        <v>3066</v>
      </c>
      <c r="CL1" s="2" t="s">
        <v>3067</v>
      </c>
      <c r="CM1" s="2" t="s">
        <v>3068</v>
      </c>
      <c r="CN1" s="2" t="s">
        <v>3037</v>
      </c>
      <c r="CO1" s="2" t="s">
        <v>3038</v>
      </c>
      <c r="CP1" s="2" t="s">
        <v>3039</v>
      </c>
      <c r="CQ1" s="2" t="s">
        <v>3040</v>
      </c>
      <c r="CR1" s="2" t="s">
        <v>3041</v>
      </c>
      <c r="CS1" s="2" t="s">
        <v>3042</v>
      </c>
      <c r="CT1" s="2" t="s">
        <v>3069</v>
      </c>
      <c r="CU1" s="2" t="s">
        <v>3070</v>
      </c>
    </row>
    <row r="2" spans="1:99" x14ac:dyDescent="0.3">
      <c r="A2" s="105">
        <f>'VETS-701 Tech Perf Report'!$AC$75</f>
        <v>0</v>
      </c>
      <c r="B2" s="105">
        <f>'VETS-701 Tech Perf Report'!$AK$75</f>
        <v>0</v>
      </c>
      <c r="C2" s="105">
        <f>'VETS-701 Tech Perf Report'!$AS$75</f>
        <v>0</v>
      </c>
      <c r="D2" s="105">
        <f>'VETS-701 Tech Perf Report'!$BA$75</f>
        <v>0</v>
      </c>
      <c r="E2" s="417">
        <f ca="1">'VETS-701 Tech Perf Report'!$CO$75</f>
        <v>0</v>
      </c>
      <c r="F2" s="411">
        <f>'VETS-701 Tech Perf Report'!$AC$17</f>
        <v>0</v>
      </c>
      <c r="G2" s="411">
        <f>'VETS-701 Tech Perf Report'!$AK$17</f>
        <v>0</v>
      </c>
      <c r="H2" s="411">
        <f>'VETS-701 Tech Perf Report'!$AS$17</f>
        <v>0</v>
      </c>
      <c r="I2" s="411">
        <f>'VETS-701 Tech Perf Report'!$BA$17</f>
        <v>0</v>
      </c>
      <c r="J2" s="411">
        <f>'VETS-701 Tech Perf Report'!$CO$17</f>
        <v>0</v>
      </c>
      <c r="K2" s="411">
        <f>'VETS-701 Tech Perf Report'!$AC$14</f>
        <v>0</v>
      </c>
      <c r="L2" s="411">
        <f>'VETS-701 Tech Perf Report'!$AS$14</f>
        <v>0</v>
      </c>
      <c r="M2" s="411">
        <f>'VETS-701 Tech Perf Report'!$CO$14</f>
        <v>0</v>
      </c>
      <c r="N2" s="105">
        <f>'VETS-701 Tech Perf Report'!$AC$20</f>
        <v>0</v>
      </c>
      <c r="O2" s="105">
        <f>'VETS-701 Tech Perf Report'!$AK$20</f>
        <v>0</v>
      </c>
      <c r="P2" s="105">
        <f>'VETS-701 Tech Perf Report'!$AS$20</f>
        <v>0</v>
      </c>
      <c r="Q2" s="105">
        <f>'VETS-701 Tech Perf Report'!$BA$20</f>
        <v>0</v>
      </c>
      <c r="R2" s="418" t="e">
        <f>'VETS-701 Tech Perf Report'!$CO$20</f>
        <v>#DIV/0!</v>
      </c>
      <c r="S2" s="411">
        <f>'VETS-701 Tech Perf Report'!$AC$16</f>
        <v>0</v>
      </c>
      <c r="T2" s="411">
        <f>'VETS-701 Tech Perf Report'!$CO$16</f>
        <v>0</v>
      </c>
      <c r="U2" s="105">
        <f>'VETS-701 Tech Perf Report'!$AC$74</f>
        <v>0</v>
      </c>
      <c r="V2" s="105">
        <f>'VETS-701 Tech Perf Report'!$AK$74</f>
        <v>0</v>
      </c>
      <c r="W2" s="105">
        <f>'VETS-701 Tech Perf Report'!$AS$74</f>
        <v>0</v>
      </c>
      <c r="X2" s="105">
        <f>'VETS-701 Tech Perf Report'!$BA$74</f>
        <v>0</v>
      </c>
      <c r="Y2" s="417">
        <f>'VETS-701 Tech Perf Report'!$CO$74</f>
        <v>0</v>
      </c>
      <c r="Z2" s="414">
        <f>'VETS-701 Tech Perf Report'!$AS$43</f>
        <v>0</v>
      </c>
      <c r="AA2" s="414">
        <f>'VETS-701 Tech Perf Report'!$BA$43</f>
        <v>0</v>
      </c>
      <c r="AB2" s="414">
        <f>'VETS-701 Tech Perf Report'!$BI$43</f>
        <v>0</v>
      </c>
      <c r="AC2" s="414">
        <f>'VETS-701 Tech Perf Report'!$BQ$43</f>
        <v>0</v>
      </c>
      <c r="AD2" s="414">
        <f>'VETS-701 Tech Perf Report'!$CO$43</f>
        <v>0</v>
      </c>
      <c r="AE2" s="414">
        <f>'VETS-701 Tech Perf Report'!$BI$46</f>
        <v>0</v>
      </c>
      <c r="AF2" s="414">
        <f>'VETS-701 Tech Perf Report'!$BQ$46</f>
        <v>0</v>
      </c>
      <c r="AG2" s="414">
        <f>'VETS-701 Tech Perf Report'!$BY$46</f>
        <v>0</v>
      </c>
      <c r="AH2" s="414">
        <f>'VETS-701 Tech Perf Report'!$CG$46</f>
        <v>0</v>
      </c>
      <c r="AI2" s="414">
        <f>'VETS-701 Tech Perf Report'!$CO$46</f>
        <v>0</v>
      </c>
      <c r="AJ2" s="411">
        <f>'VETS-701 Tech Perf Report'!$AC$15</f>
        <v>0</v>
      </c>
      <c r="AK2" s="411">
        <f>'VETS-701 Tech Perf Report'!$AK$15</f>
        <v>0</v>
      </c>
      <c r="AL2" s="411">
        <f>'VETS-701 Tech Perf Report'!$AS$15</f>
        <v>0</v>
      </c>
      <c r="AM2" s="411">
        <f>'VETS-701 Tech Perf Report'!$BA$15</f>
        <v>0</v>
      </c>
      <c r="AN2" s="411">
        <f>'VETS-701 Tech Perf Report'!$CO$15</f>
        <v>0</v>
      </c>
      <c r="AO2">
        <f>'VETS-701 Tech Perf Report'!$AS$42</f>
        <v>0</v>
      </c>
      <c r="AP2">
        <f>'VETS-701 Tech Perf Report'!$BA$42</f>
        <v>0</v>
      </c>
      <c r="AQ2">
        <f>'VETS-701 Tech Perf Report'!$BI$42</f>
        <v>0</v>
      </c>
      <c r="AR2">
        <f>'VETS-701 Tech Perf Report'!$BQ$42</f>
        <v>0</v>
      </c>
      <c r="AS2">
        <f>'VETS-701 Tech Perf Report'!$CO$42</f>
        <v>0</v>
      </c>
      <c r="AT2">
        <f>'VETS-701 Tech Perf Report'!$BI$45</f>
        <v>0</v>
      </c>
      <c r="AU2">
        <f>'VETS-701 Tech Perf Report'!$BQ$45</f>
        <v>0</v>
      </c>
      <c r="AV2">
        <f>'VETS-701 Tech Perf Report'!$BY$45</f>
        <v>0</v>
      </c>
      <c r="AW2">
        <f>'VETS-701 Tech Perf Report'!$CG$45</f>
        <v>0</v>
      </c>
      <c r="AX2">
        <f>'VETS-701 Tech Perf Report'!$CO$45</f>
        <v>0</v>
      </c>
      <c r="AY2" s="411">
        <f>'VETS-701 Tech Perf Report'!$AC$22</f>
        <v>0</v>
      </c>
      <c r="AZ2" s="411">
        <f>'VETS-701 Tech Perf Report'!$AK$22</f>
        <v>0</v>
      </c>
      <c r="BA2" s="411">
        <f>'VETS-701 Tech Perf Report'!$AS$22</f>
        <v>0</v>
      </c>
      <c r="BB2" s="411">
        <f>'VETS-701 Tech Perf Report'!$BA$22</f>
        <v>0</v>
      </c>
      <c r="BC2" s="411">
        <f>'VETS-701 Tech Perf Report'!$CO$22</f>
        <v>0</v>
      </c>
      <c r="BD2" s="416">
        <f>'VETS-701 Tech Perf Report'!$AO$4</f>
        <v>0</v>
      </c>
      <c r="BE2">
        <f>'VETS-701 Tech Perf Report'!$L$7</f>
        <v>0</v>
      </c>
      <c r="BF2">
        <f>'VETS-701 Tech Perf Report'!$L$4</f>
        <v>0</v>
      </c>
      <c r="BG2" s="105">
        <f>'VETS-701 Tech Perf Report'!$AC$73</f>
        <v>0</v>
      </c>
      <c r="BH2" s="105">
        <f>'VETS-701 Tech Perf Report'!$AK$73</f>
        <v>0</v>
      </c>
      <c r="BI2" s="105">
        <f>'VETS-701 Tech Perf Report'!$AS$73</f>
        <v>0</v>
      </c>
      <c r="BJ2" s="105">
        <f>'VETS-701 Tech Perf Report'!$BA$73</f>
        <v>0</v>
      </c>
      <c r="BK2" s="417">
        <f>'VETS-701 Tech Perf Report'!$CO$73</f>
        <v>0</v>
      </c>
      <c r="BL2" s="105">
        <f>'VETS-701 Tech Perf Report'!$AS$44</f>
        <v>0</v>
      </c>
      <c r="BM2" s="105">
        <f>'VETS-701 Tech Perf Report'!$BA$44</f>
        <v>0</v>
      </c>
      <c r="BN2" s="105">
        <f>'VETS-701 Tech Perf Report'!$BI$44</f>
        <v>0</v>
      </c>
      <c r="BO2" s="105">
        <f>'VETS-701 Tech Perf Report'!$BQ$44</f>
        <v>0</v>
      </c>
      <c r="BP2" s="105">
        <f ca="1">'VETS-701 Tech Perf Report'!$CO$44</f>
        <v>0</v>
      </c>
      <c r="BQ2" t="str">
        <f>'VETS-701 Tech Perf Report'!$BK$4</f>
        <v>Select Year</v>
      </c>
      <c r="BR2" s="105">
        <f>'VETS-701 Tech Perf Report'!$AC$72</f>
        <v>0</v>
      </c>
      <c r="BS2" s="105">
        <f>'VETS-701 Tech Perf Report'!$AK$72</f>
        <v>0</v>
      </c>
      <c r="BT2" s="105">
        <f>'VETS-701 Tech Perf Report'!$AS$72</f>
        <v>0</v>
      </c>
      <c r="BU2" s="105">
        <f>'VETS-701 Tech Perf Report'!$BA$72</f>
        <v>0</v>
      </c>
      <c r="BV2" s="417">
        <f>'VETS-701 Tech Perf Report'!$CO$72</f>
        <v>0</v>
      </c>
      <c r="BW2" s="411">
        <f>'VETS-701 Tech Perf Report'!$AC$19</f>
        <v>0</v>
      </c>
      <c r="BX2" s="411">
        <f>'VETS-701 Tech Perf Report'!$AK$19</f>
        <v>0</v>
      </c>
      <c r="BY2" s="411">
        <f>'VETS-701 Tech Perf Report'!$AS$19</f>
        <v>0</v>
      </c>
      <c r="BZ2" s="411">
        <f>'VETS-701 Tech Perf Report'!$BA$19</f>
        <v>0</v>
      </c>
      <c r="CA2" s="411">
        <f>'VETS-701 Tech Perf Report'!$CO$19</f>
        <v>0</v>
      </c>
      <c r="CB2" s="411">
        <f>'VETS-701 Tech Perf Report'!$AC$18</f>
        <v>0</v>
      </c>
      <c r="CC2" s="411">
        <f>'VETS-701 Tech Perf Report'!$AK$18</f>
        <v>0</v>
      </c>
      <c r="CD2" s="411">
        <f>'VETS-701 Tech Perf Report'!$AS$18</f>
        <v>0</v>
      </c>
      <c r="CE2" s="411">
        <f>'VETS-701 Tech Perf Report'!$BA$18</f>
        <v>0</v>
      </c>
      <c r="CF2" s="411">
        <f>'VETS-701 Tech Perf Report'!$CO$18</f>
        <v>0</v>
      </c>
      <c r="CG2" s="414">
        <f>'VETS-701 Tech Perf Report'!$BY$21</f>
        <v>0</v>
      </c>
      <c r="CH2" s="414">
        <f>'VETS-701 Tech Perf Report'!$CO$21</f>
        <v>0</v>
      </c>
      <c r="CI2" s="414">
        <f>'VETS-701 Tech Perf Report'!$AC$21</f>
        <v>0</v>
      </c>
      <c r="CJ2" s="414">
        <f>'VETS-701 Tech Perf Report'!$AK$21</f>
        <v>0</v>
      </c>
      <c r="CK2" s="414">
        <f>'VETS-701 Tech Perf Report'!$AS$21</f>
        <v>0</v>
      </c>
      <c r="CL2" s="414">
        <f>'VETS-701 Tech Perf Report'!$BA$21</f>
        <v>0</v>
      </c>
      <c r="CM2" s="1" t="str">
        <f>'VETS-701 Tech Perf Report'!$CA$4</f>
        <v>Q1 July 1 - September 30</v>
      </c>
      <c r="CN2">
        <f>'VETS-701 Tech Perf Report'!$BK$7</f>
        <v>0</v>
      </c>
      <c r="CO2" s="105">
        <f>'VETS-701 Tech Perf Report'!$AC$76</f>
        <v>0</v>
      </c>
      <c r="CP2" s="105">
        <f>'VETS-701 Tech Perf Report'!$AK$76</f>
        <v>0</v>
      </c>
      <c r="CQ2" s="105">
        <f>'VETS-701 Tech Perf Report'!$AS$76</f>
        <v>0</v>
      </c>
      <c r="CR2" s="105">
        <f>'VETS-701 Tech Perf Report'!$BA$76</f>
        <v>0</v>
      </c>
      <c r="CS2" s="417">
        <f ca="1">'VETS-701 Tech Perf Report'!$CO$76</f>
        <v>0</v>
      </c>
      <c r="CT2">
        <f>'VETS-701 Tech Perf Report'!$DD$5</f>
        <v>0</v>
      </c>
      <c r="CU2">
        <f>'VETS-701 Tech Perf Report'!$DB$5</f>
        <v>1</v>
      </c>
    </row>
  </sheetData>
  <sheetProtection algorithmName="SHA-512" hashValue="2vb+/UOWR1RnOWKrompN5zNtn1Kl7zZYcGSUj7BQ7ZlF48teeDnJK6zSr1KWFezZG7OBdtPjdP1qC9XgAharwg==" saltValue="iDJ6ybwVM4GwGbP2NAN7hA=="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Export3"/>
  <dimension ref="A1:CB501"/>
  <sheetViews>
    <sheetView showZeros="0" topLeftCell="AC1" workbookViewId="0">
      <pane ySplit="1" topLeftCell="A2" activePane="bottomLeft" state="frozen"/>
      <selection pane="bottomLeft" activeCell="AG10" sqref="AG10"/>
    </sheetView>
  </sheetViews>
  <sheetFormatPr defaultRowHeight="14.4" x14ac:dyDescent="0.3"/>
  <cols>
    <col min="1" max="1" width="16.109375" style="1" bestFit="1" customWidth="1"/>
    <col min="2" max="2" width="20" style="106" bestFit="1" customWidth="1"/>
    <col min="3" max="3" width="14.33203125" style="14" customWidth="1"/>
    <col min="4" max="4" width="13.44140625" style="14" customWidth="1"/>
    <col min="5" max="5" width="15.5546875" style="14" customWidth="1"/>
    <col min="6" max="6" width="13.6640625" style="453" customWidth="1"/>
    <col min="7" max="7" width="15.44140625" style="377" customWidth="1"/>
    <col min="8" max="8" width="11.6640625" style="453" bestFit="1" customWidth="1"/>
    <col min="9" max="9" width="8.6640625" style="453" bestFit="1" customWidth="1"/>
    <col min="10" max="11" width="14.5546875" style="453" bestFit="1" customWidth="1"/>
    <col min="12" max="12" width="12.6640625" style="453" bestFit="1" customWidth="1"/>
    <col min="13" max="14" width="15.33203125" style="453" bestFit="1" customWidth="1"/>
    <col min="15" max="15" width="7.44140625" style="453" customWidth="1"/>
    <col min="16" max="16" width="18.109375" style="14" customWidth="1"/>
    <col min="17" max="17" width="20.109375" style="14" customWidth="1"/>
    <col min="18" max="18" width="19.88671875" style="453" bestFit="1" customWidth="1"/>
    <col min="19" max="19" width="16.44140625" style="453" bestFit="1" customWidth="1"/>
    <col min="20" max="20" width="12.33203125" style="453" bestFit="1" customWidth="1"/>
    <col min="21" max="21" width="9.6640625" style="453" bestFit="1" customWidth="1"/>
    <col min="22" max="22" width="13.44140625" style="453" bestFit="1" customWidth="1"/>
    <col min="23" max="24" width="15.33203125" style="453" bestFit="1" customWidth="1"/>
    <col min="25" max="25" width="9.109375" style="453"/>
    <col min="26" max="26" width="11.6640625" style="453" bestFit="1" customWidth="1"/>
    <col min="27" max="27" width="12.44140625" style="14" customWidth="1"/>
    <col min="28" max="28" width="14.44140625" style="14" customWidth="1"/>
    <col min="29" max="29" width="13.5546875" style="453" customWidth="1"/>
    <col min="30" max="30" width="20" style="14" bestFit="1" customWidth="1"/>
    <col min="31" max="32" width="19.5546875" style="14" bestFit="1" customWidth="1"/>
    <col min="33" max="33" width="15.6640625" style="14" bestFit="1" customWidth="1"/>
    <col min="34" max="34" width="15.33203125" style="14" bestFit="1" customWidth="1"/>
    <col min="35" max="35" width="14.5546875" style="14" bestFit="1" customWidth="1"/>
    <col min="36" max="36" width="16.5546875" style="14" bestFit="1" customWidth="1"/>
    <col min="37" max="37" width="16.109375" style="14" bestFit="1" customWidth="1"/>
    <col min="38" max="38" width="13.5546875" style="14" bestFit="1" customWidth="1"/>
    <col min="39" max="40" width="17.33203125" style="453" bestFit="1" customWidth="1"/>
    <col min="41" max="41" width="18" style="453" bestFit="1" customWidth="1"/>
    <col min="42" max="42" width="17.88671875" style="453" bestFit="1" customWidth="1"/>
    <col min="43" max="43" width="16.44140625" style="453" bestFit="1" customWidth="1"/>
    <col min="44" max="44" width="16" style="453" bestFit="1" customWidth="1"/>
    <col min="45" max="45" width="15.6640625" style="453" bestFit="1" customWidth="1"/>
    <col min="46" max="46" width="18.33203125" style="453" bestFit="1" customWidth="1"/>
    <col min="47" max="47" width="17.44140625" style="453" bestFit="1" customWidth="1"/>
    <col min="48" max="49" width="22.44140625" style="453" bestFit="1" customWidth="1"/>
    <col min="50" max="51" width="19.88671875" style="453" bestFit="1" customWidth="1"/>
    <col min="52" max="52" width="17" style="453" bestFit="1" customWidth="1"/>
    <col min="53" max="53" width="15.5546875" style="453" bestFit="1" customWidth="1"/>
    <col min="54" max="54" width="16.88671875" style="453" bestFit="1" customWidth="1"/>
    <col min="55" max="55" width="12.44140625" style="453" bestFit="1" customWidth="1"/>
    <col min="56" max="56" width="16.88671875" style="453" bestFit="1" customWidth="1"/>
    <col min="57" max="57" width="12.109375" style="105" bestFit="1" customWidth="1"/>
    <col min="58" max="58" width="12.109375" style="453" bestFit="1" customWidth="1"/>
    <col min="59" max="59" width="16.88671875" style="453" bestFit="1" customWidth="1"/>
    <col min="60" max="60" width="14.33203125" style="105" customWidth="1"/>
    <col min="61" max="61" width="13.5546875" style="453" customWidth="1"/>
    <col min="62" max="62" width="16.88671875" style="453" bestFit="1" customWidth="1"/>
    <col min="63" max="63" width="13.6640625" style="105" customWidth="1"/>
    <col min="64" max="64" width="12.109375" style="453" bestFit="1" customWidth="1"/>
    <col min="65" max="66" width="9.88671875" style="453" bestFit="1" customWidth="1"/>
    <col min="67" max="68" width="10.44140625" style="453" bestFit="1" customWidth="1"/>
    <col min="69" max="69" width="12.6640625" style="453" customWidth="1"/>
    <col min="70" max="70" width="15.33203125" style="14" customWidth="1"/>
    <col min="71" max="71" width="13" style="14" customWidth="1"/>
    <col min="72" max="72" width="13.109375" style="377" bestFit="1" customWidth="1"/>
    <col min="73" max="73" width="13.33203125" style="105" customWidth="1"/>
    <col min="74" max="74" width="12.44140625" style="453" bestFit="1" customWidth="1"/>
    <col min="75" max="75" width="17.5546875" style="105" bestFit="1" customWidth="1"/>
    <col min="76" max="76" width="5.5546875" style="106" customWidth="1"/>
    <col min="77" max="78" width="9.109375" style="106"/>
  </cols>
  <sheetData>
    <row r="1" spans="1:80" s="2" customFormat="1" x14ac:dyDescent="0.3">
      <c r="A1" s="450" t="str">
        <f t="array" ref="A1:BW501">tblParticipants[[#Headers],[#Data]]</f>
        <v>ParticipantID</v>
      </c>
      <c r="B1" s="454" t="str">
        <v>ParticipantName</v>
      </c>
      <c r="C1" s="451" t="str">
        <v>SvcStartDate</v>
      </c>
      <c r="D1" s="451" t="str">
        <v>AjcDate</v>
      </c>
      <c r="E1" s="451" t="str">
        <v>CoEnrAjc</v>
      </c>
      <c r="F1" s="452" t="str">
        <v>CoEnrGpd</v>
      </c>
      <c r="G1" s="455" t="str">
        <v>CoEnrVash</v>
      </c>
      <c r="H1" s="452" t="str">
        <v>CoEnrSsvf</v>
      </c>
      <c r="I1" s="452" t="str">
        <v>CoEnrSsvfSs</v>
      </c>
      <c r="J1" s="452" t="str">
        <v>CoEnrFema</v>
      </c>
      <c r="K1" s="452" t="str">
        <v>CoEnrNahasda</v>
      </c>
      <c r="L1" s="452" t="str">
        <v>CoEnrHprp</v>
      </c>
      <c r="M1" s="452" t="str">
        <v>SvcEndDate</v>
      </c>
      <c r="N1" s="452" t="str">
        <v>PlacedInEmp</v>
      </c>
      <c r="O1" s="452" t="str">
        <v>HrlyWgPlmt</v>
      </c>
      <c r="P1" s="451" t="str">
        <v>Gender</v>
      </c>
      <c r="Q1" s="451" t="str">
        <v>Ethnicity</v>
      </c>
      <c r="R1" s="452" t="str">
        <v>AmIndOrAkNtv</v>
      </c>
      <c r="S1" s="452" t="str">
        <v>Asian</v>
      </c>
      <c r="T1" s="452" t="str">
        <v>BlkOrAfAmer</v>
      </c>
      <c r="U1" s="452" t="str">
        <v>NtvHawOrPacIsl</v>
      </c>
      <c r="V1" s="452" t="str">
        <v>White</v>
      </c>
      <c r="W1" s="452" t="str">
        <v>Age</v>
      </c>
      <c r="X1" s="452" t="str">
        <v>MilSvcEntryDate</v>
      </c>
      <c r="Y1" s="452" t="str">
        <v>MilSvcDischargeDate</v>
      </c>
      <c r="Z1" s="452" t="str">
        <v>LastMilSvcBranch</v>
      </c>
      <c r="AA1" s="451" t="str">
        <v>HighestEdLvl</v>
      </c>
      <c r="AB1" s="451" t="str">
        <v>AtRisk</v>
      </c>
      <c r="AC1" s="452" t="str">
        <v>Homeless</v>
      </c>
      <c r="AD1" s="451" t="str">
        <v>EpisHomeless</v>
      </c>
      <c r="AE1" s="451" t="str">
        <v>HlessWfam</v>
      </c>
      <c r="AF1" s="451" t="str">
        <v>IvtpElig</v>
      </c>
      <c r="AG1" s="451" t="str">
        <v>Disabled</v>
      </c>
      <c r="AH1" s="451" t="str">
        <v>SpcDisabled</v>
      </c>
      <c r="AI1" s="451" t="str">
        <v>DtFirstOjt</v>
      </c>
      <c r="AJ1" s="451" t="str">
        <v>DtLastOjt</v>
      </c>
      <c r="AK1" s="451" t="str">
        <v>OjtType</v>
      </c>
      <c r="AL1" s="451" t="str">
        <v>DtFirstCareerTechTrn</v>
      </c>
      <c r="AM1" s="452" t="str">
        <v>DtLastCareerTechTrn</v>
      </c>
      <c r="AN1" s="452" t="str">
        <v>DtFirstEntrepTrn</v>
      </c>
      <c r="AO1" s="452" t="str">
        <v>DtLastEntrepTrn</v>
      </c>
      <c r="AP1" s="452" t="str">
        <v>DtFirstOtherTrn</v>
      </c>
      <c r="AQ1" s="452" t="str">
        <v>DtLastOtherTrn</v>
      </c>
      <c r="AR1" s="452" t="str">
        <v>DtFirstCustomTrn</v>
      </c>
      <c r="AS1" s="452" t="str">
        <v>DtLastCustomTrn</v>
      </c>
      <c r="AT1" s="452" t="str">
        <v>DtLastPlcHous</v>
      </c>
      <c r="AU1" s="452" t="str">
        <v>QtrLastEmpAdjSvc</v>
      </c>
      <c r="AV1" s="452" t="str">
        <v>QtrLastJobSrchAsst</v>
      </c>
      <c r="AW1" s="452" t="str">
        <v>QtrLastJobReadTrn</v>
      </c>
      <c r="AX1" s="452" t="str">
        <v>QtrLastTransitJob</v>
      </c>
      <c r="AY1" s="452" t="str">
        <v>QtrLastTransport</v>
      </c>
      <c r="AZ1" s="452" t="str">
        <v>QtrLastChildCare</v>
      </c>
      <c r="BA1" s="452" t="str">
        <v>QtrLastEducFees</v>
      </c>
      <c r="BB1" s="452" t="str">
        <v>QtrLastAccomDisab</v>
      </c>
      <c r="BC1" s="452" t="str">
        <v>QtrLastHealthCare</v>
      </c>
      <c r="BD1" s="452" t="str">
        <v>QtrLastWorkAttireTools</v>
      </c>
      <c r="BE1" s="456" t="str">
        <v>QtrLastLegAid</v>
      </c>
      <c r="BF1" s="452" t="str">
        <v>QtrLastDrugAlcCouns</v>
      </c>
      <c r="BG1" s="452" t="str">
        <v>QtrLastTempShelt</v>
      </c>
      <c r="BH1" s="456" t="str">
        <v>QtrLastFinCouns</v>
      </c>
      <c r="BI1" s="452" t="str">
        <v>QtrLastOthSupSvc</v>
      </c>
      <c r="BJ1" s="452" t="str">
        <v>EarnWg1Qae</v>
      </c>
      <c r="BK1" s="456" t="str">
        <v>EarnWg2Qae</v>
      </c>
      <c r="BL1" s="452" t="str">
        <v>HoursPerWk2Qae</v>
      </c>
      <c r="BM1" s="452" t="str">
        <v>HrlyWg2Qae</v>
      </c>
      <c r="BN1" s="452" t="str">
        <v>EarnWg3Qae</v>
      </c>
      <c r="BO1" s="452" t="str">
        <v>HoursPerWk3Qae</v>
      </c>
      <c r="BP1" s="452" t="str">
        <v>HrlyWg3Qae</v>
      </c>
      <c r="BQ1" s="452" t="str">
        <v>EarnWg4Qae</v>
      </c>
      <c r="BR1" s="451" t="str">
        <v>HoursPerWk4Qae</v>
      </c>
      <c r="BS1" s="451" t="str">
        <v>HrlyWg4Qae</v>
      </c>
      <c r="BT1" s="455" t="str">
        <v>EnrollQtr</v>
      </c>
      <c r="BU1" s="456" t="str">
        <v>CarryOver</v>
      </c>
      <c r="BV1" s="452" t="str">
        <v>ExitQtr</v>
      </c>
      <c r="BW1" s="456" t="str">
        <v>EmployQtr</v>
      </c>
      <c r="BX1" s="454"/>
      <c r="BY1" s="454"/>
      <c r="BZ1" s="454"/>
    </row>
    <row r="2" spans="1:80" x14ac:dyDescent="0.3">
      <c r="A2" s="1">
        <v>0</v>
      </c>
      <c r="B2" s="106">
        <v>0</v>
      </c>
      <c r="C2" s="14">
        <v>0</v>
      </c>
      <c r="D2" s="14">
        <v>0</v>
      </c>
      <c r="E2" s="14">
        <v>0</v>
      </c>
      <c r="F2" s="453">
        <v>0</v>
      </c>
      <c r="G2" s="377">
        <v>0</v>
      </c>
      <c r="H2" s="453">
        <v>0</v>
      </c>
      <c r="I2" s="453">
        <v>0</v>
      </c>
      <c r="J2" s="453">
        <v>0</v>
      </c>
      <c r="K2" s="453">
        <v>0</v>
      </c>
      <c r="L2" s="453">
        <v>0</v>
      </c>
      <c r="M2" s="453">
        <v>0</v>
      </c>
      <c r="N2" s="453">
        <v>0</v>
      </c>
      <c r="O2" s="453">
        <v>0</v>
      </c>
      <c r="P2" s="14">
        <v>0</v>
      </c>
      <c r="Q2" s="14">
        <v>0</v>
      </c>
      <c r="R2" s="453">
        <v>0</v>
      </c>
      <c r="S2" s="453">
        <v>0</v>
      </c>
      <c r="T2" s="453">
        <v>0</v>
      </c>
      <c r="U2" s="453">
        <v>0</v>
      </c>
      <c r="V2" s="453">
        <v>0</v>
      </c>
      <c r="W2" s="453">
        <v>0</v>
      </c>
      <c r="X2" s="453">
        <v>0</v>
      </c>
      <c r="Y2" s="453">
        <v>0</v>
      </c>
      <c r="Z2" s="453">
        <v>0</v>
      </c>
      <c r="AA2" s="14">
        <v>0</v>
      </c>
      <c r="AB2" s="14">
        <v>0</v>
      </c>
      <c r="AC2" s="453">
        <v>0</v>
      </c>
      <c r="AD2" s="14">
        <v>0</v>
      </c>
      <c r="AE2" s="14">
        <v>0</v>
      </c>
      <c r="AF2" s="14">
        <v>0</v>
      </c>
      <c r="AG2" s="14">
        <v>0</v>
      </c>
      <c r="AH2" s="14">
        <v>0</v>
      </c>
      <c r="AI2" s="14">
        <v>0</v>
      </c>
      <c r="AJ2" s="14">
        <v>0</v>
      </c>
      <c r="AK2" s="14">
        <v>0</v>
      </c>
      <c r="AL2" s="14">
        <v>0</v>
      </c>
      <c r="AM2" s="453">
        <v>0</v>
      </c>
      <c r="AN2" s="453">
        <v>0</v>
      </c>
      <c r="AO2" s="453">
        <v>0</v>
      </c>
      <c r="AP2" s="453">
        <v>0</v>
      </c>
      <c r="AQ2" s="453">
        <v>0</v>
      </c>
      <c r="AR2" s="453">
        <v>0</v>
      </c>
      <c r="AS2" s="453">
        <v>0</v>
      </c>
      <c r="AT2" s="453">
        <v>0</v>
      </c>
      <c r="AU2" s="453">
        <v>0</v>
      </c>
      <c r="AV2" s="453">
        <v>0</v>
      </c>
      <c r="AW2" s="453">
        <v>0</v>
      </c>
      <c r="AX2" s="453">
        <v>0</v>
      </c>
      <c r="AY2" s="453">
        <v>0</v>
      </c>
      <c r="AZ2" s="453">
        <v>0</v>
      </c>
      <c r="BA2" s="453">
        <v>0</v>
      </c>
      <c r="BB2" s="453">
        <v>0</v>
      </c>
      <c r="BC2" s="453">
        <v>0</v>
      </c>
      <c r="BD2" s="453">
        <v>0</v>
      </c>
      <c r="BE2" s="105">
        <v>0</v>
      </c>
      <c r="BF2" s="453">
        <v>0</v>
      </c>
      <c r="BG2" s="453">
        <v>0</v>
      </c>
      <c r="BH2" s="105">
        <v>0</v>
      </c>
      <c r="BI2" s="453">
        <v>0</v>
      </c>
      <c r="BJ2" s="453">
        <v>0</v>
      </c>
      <c r="BK2" s="105">
        <v>0</v>
      </c>
      <c r="BL2" s="453">
        <v>0</v>
      </c>
      <c r="BM2" s="453">
        <v>0</v>
      </c>
      <c r="BN2" s="453">
        <v>0</v>
      </c>
      <c r="BO2" s="453">
        <v>0</v>
      </c>
      <c r="BP2" s="453">
        <v>0</v>
      </c>
      <c r="BQ2" s="453">
        <v>0</v>
      </c>
      <c r="BR2" s="14">
        <v>0</v>
      </c>
      <c r="BS2" s="14">
        <v>0</v>
      </c>
      <c r="BT2" s="377" t="str">
        <v/>
      </c>
      <c r="BU2" s="105" t="str">
        <v/>
      </c>
      <c r="BV2" s="453" t="str">
        <v/>
      </c>
      <c r="BW2" s="105" t="str">
        <f ca="1"/>
        <v/>
      </c>
    </row>
    <row r="3" spans="1:80" x14ac:dyDescent="0.3">
      <c r="A3" s="1">
        <v>0</v>
      </c>
      <c r="B3" s="106">
        <v>0</v>
      </c>
      <c r="C3" s="14">
        <v>0</v>
      </c>
      <c r="D3" s="14">
        <v>0</v>
      </c>
      <c r="E3" s="14">
        <v>0</v>
      </c>
      <c r="F3" s="453">
        <v>0</v>
      </c>
      <c r="G3" s="377">
        <v>0</v>
      </c>
      <c r="H3" s="453">
        <v>0</v>
      </c>
      <c r="I3" s="453">
        <v>0</v>
      </c>
      <c r="J3" s="453">
        <v>0</v>
      </c>
      <c r="K3" s="453">
        <v>0</v>
      </c>
      <c r="L3" s="453">
        <v>0</v>
      </c>
      <c r="M3" s="453">
        <v>0</v>
      </c>
      <c r="N3" s="453">
        <v>0</v>
      </c>
      <c r="O3" s="453">
        <v>0</v>
      </c>
      <c r="P3" s="14">
        <v>0</v>
      </c>
      <c r="Q3" s="14">
        <v>0</v>
      </c>
      <c r="R3" s="453">
        <v>0</v>
      </c>
      <c r="S3" s="453">
        <v>0</v>
      </c>
      <c r="T3" s="453">
        <v>0</v>
      </c>
      <c r="U3" s="453">
        <v>0</v>
      </c>
      <c r="V3" s="453">
        <v>0</v>
      </c>
      <c r="W3" s="453">
        <v>0</v>
      </c>
      <c r="X3" s="453">
        <v>0</v>
      </c>
      <c r="Y3" s="453">
        <v>0</v>
      </c>
      <c r="Z3" s="453">
        <v>0</v>
      </c>
      <c r="AA3" s="14">
        <v>0</v>
      </c>
      <c r="AB3" s="14">
        <v>0</v>
      </c>
      <c r="AC3" s="453">
        <v>0</v>
      </c>
      <c r="AD3" s="14">
        <v>0</v>
      </c>
      <c r="AE3" s="14">
        <v>0</v>
      </c>
      <c r="AF3" s="14">
        <v>0</v>
      </c>
      <c r="AG3" s="14">
        <v>0</v>
      </c>
      <c r="AH3" s="14">
        <v>0</v>
      </c>
      <c r="AI3" s="14">
        <v>0</v>
      </c>
      <c r="AJ3" s="14">
        <v>0</v>
      </c>
      <c r="AK3" s="14">
        <v>0</v>
      </c>
      <c r="AL3" s="14">
        <v>0</v>
      </c>
      <c r="AM3" s="453">
        <v>0</v>
      </c>
      <c r="AN3" s="453">
        <v>0</v>
      </c>
      <c r="AO3" s="453">
        <v>0</v>
      </c>
      <c r="AP3" s="453">
        <v>0</v>
      </c>
      <c r="AQ3" s="453">
        <v>0</v>
      </c>
      <c r="AR3" s="453">
        <v>0</v>
      </c>
      <c r="AS3" s="453">
        <v>0</v>
      </c>
      <c r="AT3" s="453">
        <v>0</v>
      </c>
      <c r="AU3" s="453">
        <v>0</v>
      </c>
      <c r="AV3" s="453">
        <v>0</v>
      </c>
      <c r="AW3" s="453">
        <v>0</v>
      </c>
      <c r="AX3" s="453">
        <v>0</v>
      </c>
      <c r="AY3" s="453">
        <v>0</v>
      </c>
      <c r="AZ3" s="453">
        <v>0</v>
      </c>
      <c r="BA3" s="453">
        <v>0</v>
      </c>
      <c r="BB3" s="453">
        <v>0</v>
      </c>
      <c r="BC3" s="453">
        <v>0</v>
      </c>
      <c r="BD3" s="453">
        <v>0</v>
      </c>
      <c r="BE3" s="105">
        <v>0</v>
      </c>
      <c r="BF3" s="453">
        <v>0</v>
      </c>
      <c r="BG3" s="453">
        <v>0</v>
      </c>
      <c r="BH3" s="105">
        <v>0</v>
      </c>
      <c r="BI3" s="453">
        <v>0</v>
      </c>
      <c r="BJ3" s="453">
        <v>0</v>
      </c>
      <c r="BK3" s="105">
        <v>0</v>
      </c>
      <c r="BL3" s="453">
        <v>0</v>
      </c>
      <c r="BM3" s="453">
        <v>0</v>
      </c>
      <c r="BN3" s="453">
        <v>0</v>
      </c>
      <c r="BO3" s="453">
        <v>0</v>
      </c>
      <c r="BP3" s="453">
        <v>0</v>
      </c>
      <c r="BQ3" s="453">
        <v>0</v>
      </c>
      <c r="BR3" s="14">
        <v>0</v>
      </c>
      <c r="BS3" s="14">
        <v>0</v>
      </c>
      <c r="BT3" s="377" t="str">
        <v/>
      </c>
      <c r="BU3" s="105" t="str">
        <v/>
      </c>
      <c r="BV3" s="453" t="str">
        <v/>
      </c>
      <c r="BW3" s="105" t="str">
        <f ca="1"/>
        <v/>
      </c>
    </row>
    <row r="4" spans="1:80" x14ac:dyDescent="0.3">
      <c r="A4" s="1">
        <v>0</v>
      </c>
      <c r="B4" s="106">
        <v>0</v>
      </c>
      <c r="C4" s="14">
        <v>0</v>
      </c>
      <c r="D4" s="14">
        <v>0</v>
      </c>
      <c r="E4" s="14">
        <v>0</v>
      </c>
      <c r="F4" s="453">
        <v>0</v>
      </c>
      <c r="G4" s="377">
        <v>0</v>
      </c>
      <c r="H4" s="453">
        <v>0</v>
      </c>
      <c r="I4" s="453">
        <v>0</v>
      </c>
      <c r="J4" s="453">
        <v>0</v>
      </c>
      <c r="K4" s="453">
        <v>0</v>
      </c>
      <c r="L4" s="453">
        <v>0</v>
      </c>
      <c r="M4" s="453">
        <v>0</v>
      </c>
      <c r="N4" s="453">
        <v>0</v>
      </c>
      <c r="O4" s="453">
        <v>0</v>
      </c>
      <c r="P4" s="14">
        <v>0</v>
      </c>
      <c r="Q4" s="14">
        <v>0</v>
      </c>
      <c r="R4" s="453">
        <v>0</v>
      </c>
      <c r="S4" s="453">
        <v>0</v>
      </c>
      <c r="T4" s="453">
        <v>0</v>
      </c>
      <c r="U4" s="453">
        <v>0</v>
      </c>
      <c r="V4" s="453">
        <v>0</v>
      </c>
      <c r="W4" s="453">
        <v>0</v>
      </c>
      <c r="X4" s="453">
        <v>0</v>
      </c>
      <c r="Y4" s="453">
        <v>0</v>
      </c>
      <c r="Z4" s="453">
        <v>0</v>
      </c>
      <c r="AA4" s="14">
        <v>0</v>
      </c>
      <c r="AB4" s="14">
        <v>0</v>
      </c>
      <c r="AC4" s="453">
        <v>0</v>
      </c>
      <c r="AD4" s="14">
        <v>0</v>
      </c>
      <c r="AE4" s="14">
        <v>0</v>
      </c>
      <c r="AF4" s="14">
        <v>0</v>
      </c>
      <c r="AG4" s="14">
        <v>0</v>
      </c>
      <c r="AH4" s="14">
        <v>0</v>
      </c>
      <c r="AI4" s="14">
        <v>0</v>
      </c>
      <c r="AJ4" s="14">
        <v>0</v>
      </c>
      <c r="AK4" s="14">
        <v>0</v>
      </c>
      <c r="AL4" s="14">
        <v>0</v>
      </c>
      <c r="AM4" s="453">
        <v>0</v>
      </c>
      <c r="AN4" s="453">
        <v>0</v>
      </c>
      <c r="AO4" s="453">
        <v>0</v>
      </c>
      <c r="AP4" s="453">
        <v>0</v>
      </c>
      <c r="AQ4" s="453">
        <v>0</v>
      </c>
      <c r="AR4" s="453">
        <v>0</v>
      </c>
      <c r="AS4" s="453">
        <v>0</v>
      </c>
      <c r="AT4" s="453">
        <v>0</v>
      </c>
      <c r="AU4" s="453">
        <v>0</v>
      </c>
      <c r="AV4" s="453">
        <v>0</v>
      </c>
      <c r="AW4" s="453">
        <v>0</v>
      </c>
      <c r="AX4" s="453">
        <v>0</v>
      </c>
      <c r="AY4" s="453">
        <v>0</v>
      </c>
      <c r="AZ4" s="453">
        <v>0</v>
      </c>
      <c r="BA4" s="453">
        <v>0</v>
      </c>
      <c r="BB4" s="453">
        <v>0</v>
      </c>
      <c r="BC4" s="453">
        <v>0</v>
      </c>
      <c r="BD4" s="453">
        <v>0</v>
      </c>
      <c r="BE4" s="105">
        <v>0</v>
      </c>
      <c r="BF4" s="453">
        <v>0</v>
      </c>
      <c r="BG4" s="453">
        <v>0</v>
      </c>
      <c r="BH4" s="105">
        <v>0</v>
      </c>
      <c r="BI4" s="453">
        <v>0</v>
      </c>
      <c r="BJ4" s="453">
        <v>0</v>
      </c>
      <c r="BK4" s="105">
        <v>0</v>
      </c>
      <c r="BL4" s="453">
        <v>0</v>
      </c>
      <c r="BM4" s="453">
        <v>0</v>
      </c>
      <c r="BN4" s="453">
        <v>0</v>
      </c>
      <c r="BO4" s="453">
        <v>0</v>
      </c>
      <c r="BP4" s="453">
        <v>0</v>
      </c>
      <c r="BQ4" s="453">
        <v>0</v>
      </c>
      <c r="BR4" s="14">
        <v>0</v>
      </c>
      <c r="BS4" s="14">
        <v>0</v>
      </c>
      <c r="BT4" s="377" t="str">
        <v/>
      </c>
      <c r="BU4" s="105" t="str">
        <v/>
      </c>
      <c r="BV4" s="453" t="str">
        <v/>
      </c>
      <c r="BW4" s="105" t="str">
        <f ca="1"/>
        <v/>
      </c>
    </row>
    <row r="5" spans="1:80" x14ac:dyDescent="0.3">
      <c r="A5" s="1">
        <v>0</v>
      </c>
      <c r="B5" s="106">
        <v>0</v>
      </c>
      <c r="C5" s="14">
        <v>0</v>
      </c>
      <c r="D5" s="14">
        <v>0</v>
      </c>
      <c r="E5" s="14">
        <v>0</v>
      </c>
      <c r="F5" s="453">
        <v>0</v>
      </c>
      <c r="G5" s="377">
        <v>0</v>
      </c>
      <c r="H5" s="453">
        <v>0</v>
      </c>
      <c r="I5" s="453">
        <v>0</v>
      </c>
      <c r="J5" s="453">
        <v>0</v>
      </c>
      <c r="K5" s="453">
        <v>0</v>
      </c>
      <c r="L5" s="453">
        <v>0</v>
      </c>
      <c r="M5" s="453">
        <v>0</v>
      </c>
      <c r="N5" s="453">
        <v>0</v>
      </c>
      <c r="O5" s="453">
        <v>0</v>
      </c>
      <c r="P5" s="14">
        <v>0</v>
      </c>
      <c r="Q5" s="14">
        <v>0</v>
      </c>
      <c r="R5" s="453">
        <v>0</v>
      </c>
      <c r="S5" s="453">
        <v>0</v>
      </c>
      <c r="T5" s="453">
        <v>0</v>
      </c>
      <c r="U5" s="453">
        <v>0</v>
      </c>
      <c r="V5" s="453">
        <v>0</v>
      </c>
      <c r="W5" s="453">
        <v>0</v>
      </c>
      <c r="X5" s="453">
        <v>0</v>
      </c>
      <c r="Y5" s="453">
        <v>0</v>
      </c>
      <c r="Z5" s="453">
        <v>0</v>
      </c>
      <c r="AA5" s="14">
        <v>0</v>
      </c>
      <c r="AB5" s="14">
        <v>0</v>
      </c>
      <c r="AC5" s="453">
        <v>0</v>
      </c>
      <c r="AD5" s="14">
        <v>0</v>
      </c>
      <c r="AE5" s="14">
        <v>0</v>
      </c>
      <c r="AF5" s="14">
        <v>0</v>
      </c>
      <c r="AG5" s="14">
        <v>0</v>
      </c>
      <c r="AH5" s="14">
        <v>0</v>
      </c>
      <c r="AI5" s="14">
        <v>0</v>
      </c>
      <c r="AJ5" s="14">
        <v>0</v>
      </c>
      <c r="AK5" s="14">
        <v>0</v>
      </c>
      <c r="AL5" s="14">
        <v>0</v>
      </c>
      <c r="AM5" s="453">
        <v>0</v>
      </c>
      <c r="AN5" s="453">
        <v>0</v>
      </c>
      <c r="AO5" s="453">
        <v>0</v>
      </c>
      <c r="AP5" s="453">
        <v>0</v>
      </c>
      <c r="AQ5" s="453">
        <v>0</v>
      </c>
      <c r="AR5" s="453">
        <v>0</v>
      </c>
      <c r="AS5" s="453">
        <v>0</v>
      </c>
      <c r="AT5" s="453">
        <v>0</v>
      </c>
      <c r="AU5" s="453">
        <v>0</v>
      </c>
      <c r="AV5" s="453">
        <v>0</v>
      </c>
      <c r="AW5" s="453">
        <v>0</v>
      </c>
      <c r="AX5" s="453">
        <v>0</v>
      </c>
      <c r="AY5" s="453">
        <v>0</v>
      </c>
      <c r="AZ5" s="453">
        <v>0</v>
      </c>
      <c r="BA5" s="453">
        <v>0</v>
      </c>
      <c r="BB5" s="453">
        <v>0</v>
      </c>
      <c r="BC5" s="453">
        <v>0</v>
      </c>
      <c r="BD5" s="453">
        <v>0</v>
      </c>
      <c r="BE5" s="105">
        <v>0</v>
      </c>
      <c r="BF5" s="453">
        <v>0</v>
      </c>
      <c r="BG5" s="453">
        <v>0</v>
      </c>
      <c r="BH5" s="105">
        <v>0</v>
      </c>
      <c r="BI5" s="453">
        <v>0</v>
      </c>
      <c r="BJ5" s="453">
        <v>0</v>
      </c>
      <c r="BK5" s="105">
        <v>0</v>
      </c>
      <c r="BL5" s="453">
        <v>0</v>
      </c>
      <c r="BM5" s="453">
        <v>0</v>
      </c>
      <c r="BN5" s="453">
        <v>0</v>
      </c>
      <c r="BO5" s="453">
        <v>0</v>
      </c>
      <c r="BP5" s="453">
        <v>0</v>
      </c>
      <c r="BQ5" s="453">
        <v>0</v>
      </c>
      <c r="BR5" s="14">
        <v>0</v>
      </c>
      <c r="BS5" s="14">
        <v>0</v>
      </c>
      <c r="BT5" s="377" t="str">
        <v/>
      </c>
      <c r="BU5" s="105" t="str">
        <v/>
      </c>
      <c r="BV5" s="453" t="str">
        <v/>
      </c>
      <c r="BW5" s="105" t="str">
        <f ca="1"/>
        <v/>
      </c>
    </row>
    <row r="6" spans="1:80" x14ac:dyDescent="0.3">
      <c r="A6" s="1">
        <v>0</v>
      </c>
      <c r="B6" s="106">
        <v>0</v>
      </c>
      <c r="C6" s="14">
        <v>0</v>
      </c>
      <c r="D6" s="14">
        <v>0</v>
      </c>
      <c r="E6" s="14">
        <v>0</v>
      </c>
      <c r="F6" s="453">
        <v>0</v>
      </c>
      <c r="G6" s="377">
        <v>0</v>
      </c>
      <c r="H6" s="453">
        <v>0</v>
      </c>
      <c r="I6" s="453">
        <v>0</v>
      </c>
      <c r="J6" s="453">
        <v>0</v>
      </c>
      <c r="K6" s="453">
        <v>0</v>
      </c>
      <c r="L6" s="453">
        <v>0</v>
      </c>
      <c r="M6" s="453">
        <v>0</v>
      </c>
      <c r="N6" s="453">
        <v>0</v>
      </c>
      <c r="O6" s="453">
        <v>0</v>
      </c>
      <c r="P6" s="14">
        <v>0</v>
      </c>
      <c r="Q6" s="14">
        <v>0</v>
      </c>
      <c r="R6" s="453">
        <v>0</v>
      </c>
      <c r="S6" s="453">
        <v>0</v>
      </c>
      <c r="T6" s="453">
        <v>0</v>
      </c>
      <c r="U6" s="453">
        <v>0</v>
      </c>
      <c r="V6" s="453">
        <v>0</v>
      </c>
      <c r="W6" s="453">
        <v>0</v>
      </c>
      <c r="X6" s="453">
        <v>0</v>
      </c>
      <c r="Y6" s="453">
        <v>0</v>
      </c>
      <c r="Z6" s="453">
        <v>0</v>
      </c>
      <c r="AA6" s="14">
        <v>0</v>
      </c>
      <c r="AB6" s="14">
        <v>0</v>
      </c>
      <c r="AC6" s="453">
        <v>0</v>
      </c>
      <c r="AD6" s="14">
        <v>0</v>
      </c>
      <c r="AE6" s="14">
        <v>0</v>
      </c>
      <c r="AF6" s="14">
        <v>0</v>
      </c>
      <c r="AG6" s="14">
        <v>0</v>
      </c>
      <c r="AH6" s="14">
        <v>0</v>
      </c>
      <c r="AI6" s="14">
        <v>0</v>
      </c>
      <c r="AJ6" s="14">
        <v>0</v>
      </c>
      <c r="AK6" s="14">
        <v>0</v>
      </c>
      <c r="AL6" s="14">
        <v>0</v>
      </c>
      <c r="AM6" s="453">
        <v>0</v>
      </c>
      <c r="AN6" s="453">
        <v>0</v>
      </c>
      <c r="AO6" s="453">
        <v>0</v>
      </c>
      <c r="AP6" s="453">
        <v>0</v>
      </c>
      <c r="AQ6" s="453">
        <v>0</v>
      </c>
      <c r="AR6" s="453">
        <v>0</v>
      </c>
      <c r="AS6" s="453">
        <v>0</v>
      </c>
      <c r="AT6" s="453">
        <v>0</v>
      </c>
      <c r="AU6" s="453">
        <v>0</v>
      </c>
      <c r="AV6" s="453">
        <v>0</v>
      </c>
      <c r="AW6" s="453">
        <v>0</v>
      </c>
      <c r="AX6" s="453">
        <v>0</v>
      </c>
      <c r="AY6" s="453">
        <v>0</v>
      </c>
      <c r="AZ6" s="453">
        <v>0</v>
      </c>
      <c r="BA6" s="453">
        <v>0</v>
      </c>
      <c r="BB6" s="453">
        <v>0</v>
      </c>
      <c r="BC6" s="453">
        <v>0</v>
      </c>
      <c r="BD6" s="453">
        <v>0</v>
      </c>
      <c r="BE6" s="105">
        <v>0</v>
      </c>
      <c r="BF6" s="453">
        <v>0</v>
      </c>
      <c r="BG6" s="453">
        <v>0</v>
      </c>
      <c r="BH6" s="105">
        <v>0</v>
      </c>
      <c r="BI6" s="453">
        <v>0</v>
      </c>
      <c r="BJ6" s="453">
        <v>0</v>
      </c>
      <c r="BK6" s="105">
        <v>0</v>
      </c>
      <c r="BL6" s="453">
        <v>0</v>
      </c>
      <c r="BM6" s="453">
        <v>0</v>
      </c>
      <c r="BN6" s="453">
        <v>0</v>
      </c>
      <c r="BO6" s="453">
        <v>0</v>
      </c>
      <c r="BP6" s="453">
        <v>0</v>
      </c>
      <c r="BQ6" s="453">
        <v>0</v>
      </c>
      <c r="BR6" s="14">
        <v>0</v>
      </c>
      <c r="BS6" s="14">
        <v>0</v>
      </c>
      <c r="BT6" s="377" t="str">
        <v/>
      </c>
      <c r="BU6" s="105" t="str">
        <v/>
      </c>
      <c r="BV6" s="453" t="str">
        <v/>
      </c>
      <c r="BW6" s="105" t="str">
        <f ca="1"/>
        <v/>
      </c>
    </row>
    <row r="7" spans="1:80" x14ac:dyDescent="0.3">
      <c r="A7" s="1">
        <v>0</v>
      </c>
      <c r="B7" s="106">
        <v>0</v>
      </c>
      <c r="C7" s="14">
        <v>0</v>
      </c>
      <c r="D7" s="14">
        <v>0</v>
      </c>
      <c r="E7" s="14">
        <v>0</v>
      </c>
      <c r="F7" s="453">
        <v>0</v>
      </c>
      <c r="G7" s="377">
        <v>0</v>
      </c>
      <c r="H7" s="453">
        <v>0</v>
      </c>
      <c r="I7" s="453">
        <v>0</v>
      </c>
      <c r="J7" s="453">
        <v>0</v>
      </c>
      <c r="K7" s="453">
        <v>0</v>
      </c>
      <c r="L7" s="453">
        <v>0</v>
      </c>
      <c r="M7" s="453">
        <v>0</v>
      </c>
      <c r="N7" s="453">
        <v>0</v>
      </c>
      <c r="O7" s="453">
        <v>0</v>
      </c>
      <c r="P7" s="14">
        <v>0</v>
      </c>
      <c r="Q7" s="14">
        <v>0</v>
      </c>
      <c r="R7" s="453">
        <v>0</v>
      </c>
      <c r="S7" s="453">
        <v>0</v>
      </c>
      <c r="T7" s="453">
        <v>0</v>
      </c>
      <c r="U7" s="453">
        <v>0</v>
      </c>
      <c r="V7" s="453">
        <v>0</v>
      </c>
      <c r="W7" s="453">
        <v>0</v>
      </c>
      <c r="X7" s="453">
        <v>0</v>
      </c>
      <c r="Y7" s="453">
        <v>0</v>
      </c>
      <c r="Z7" s="453">
        <v>0</v>
      </c>
      <c r="AA7" s="14">
        <v>0</v>
      </c>
      <c r="AB7" s="14">
        <v>0</v>
      </c>
      <c r="AC7" s="453">
        <v>0</v>
      </c>
      <c r="AD7" s="14">
        <v>0</v>
      </c>
      <c r="AE7" s="14">
        <v>0</v>
      </c>
      <c r="AF7" s="14">
        <v>0</v>
      </c>
      <c r="AG7" s="14">
        <v>0</v>
      </c>
      <c r="AH7" s="14">
        <v>0</v>
      </c>
      <c r="AI7" s="14">
        <v>0</v>
      </c>
      <c r="AJ7" s="14">
        <v>0</v>
      </c>
      <c r="AK7" s="14">
        <v>0</v>
      </c>
      <c r="AL7" s="14">
        <v>0</v>
      </c>
      <c r="AM7" s="453">
        <v>0</v>
      </c>
      <c r="AN7" s="453">
        <v>0</v>
      </c>
      <c r="AO7" s="453">
        <v>0</v>
      </c>
      <c r="AP7" s="453">
        <v>0</v>
      </c>
      <c r="AQ7" s="453">
        <v>0</v>
      </c>
      <c r="AR7" s="453">
        <v>0</v>
      </c>
      <c r="AS7" s="453">
        <v>0</v>
      </c>
      <c r="AT7" s="453">
        <v>0</v>
      </c>
      <c r="AU7" s="453">
        <v>0</v>
      </c>
      <c r="AV7" s="453">
        <v>0</v>
      </c>
      <c r="AW7" s="453">
        <v>0</v>
      </c>
      <c r="AX7" s="453">
        <v>0</v>
      </c>
      <c r="AY7" s="453">
        <v>0</v>
      </c>
      <c r="AZ7" s="453">
        <v>0</v>
      </c>
      <c r="BA7" s="453">
        <v>0</v>
      </c>
      <c r="BB7" s="453">
        <v>0</v>
      </c>
      <c r="BC7" s="453">
        <v>0</v>
      </c>
      <c r="BD7" s="453">
        <v>0</v>
      </c>
      <c r="BE7" s="105">
        <v>0</v>
      </c>
      <c r="BF7" s="453">
        <v>0</v>
      </c>
      <c r="BG7" s="453">
        <v>0</v>
      </c>
      <c r="BH7" s="105">
        <v>0</v>
      </c>
      <c r="BI7" s="453">
        <v>0</v>
      </c>
      <c r="BJ7" s="453">
        <v>0</v>
      </c>
      <c r="BK7" s="105">
        <v>0</v>
      </c>
      <c r="BL7" s="453">
        <v>0</v>
      </c>
      <c r="BM7" s="453">
        <v>0</v>
      </c>
      <c r="BN7" s="453">
        <v>0</v>
      </c>
      <c r="BO7" s="453">
        <v>0</v>
      </c>
      <c r="BP7" s="453">
        <v>0</v>
      </c>
      <c r="BQ7" s="453">
        <v>0</v>
      </c>
      <c r="BR7" s="14">
        <v>0</v>
      </c>
      <c r="BS7" s="14">
        <v>0</v>
      </c>
      <c r="BT7" s="377" t="str">
        <v/>
      </c>
      <c r="BU7" s="105" t="str">
        <v/>
      </c>
      <c r="BV7" s="453" t="str">
        <v/>
      </c>
      <c r="BW7" s="105" t="str">
        <f ca="1"/>
        <v/>
      </c>
    </row>
    <row r="8" spans="1:80" x14ac:dyDescent="0.3">
      <c r="A8" s="1">
        <v>0</v>
      </c>
      <c r="B8" s="106">
        <v>0</v>
      </c>
      <c r="C8" s="14">
        <v>0</v>
      </c>
      <c r="D8" s="14">
        <v>0</v>
      </c>
      <c r="E8" s="14">
        <v>0</v>
      </c>
      <c r="F8" s="453">
        <v>0</v>
      </c>
      <c r="G8" s="377">
        <v>0</v>
      </c>
      <c r="H8" s="453">
        <v>0</v>
      </c>
      <c r="I8" s="453">
        <v>0</v>
      </c>
      <c r="J8" s="453">
        <v>0</v>
      </c>
      <c r="K8" s="453">
        <v>0</v>
      </c>
      <c r="L8" s="453">
        <v>0</v>
      </c>
      <c r="M8" s="453">
        <v>0</v>
      </c>
      <c r="N8" s="453">
        <v>0</v>
      </c>
      <c r="O8" s="453">
        <v>0</v>
      </c>
      <c r="P8" s="14">
        <v>0</v>
      </c>
      <c r="Q8" s="14">
        <v>0</v>
      </c>
      <c r="R8" s="453">
        <v>0</v>
      </c>
      <c r="S8" s="453">
        <v>0</v>
      </c>
      <c r="T8" s="453">
        <v>0</v>
      </c>
      <c r="U8" s="453">
        <v>0</v>
      </c>
      <c r="V8" s="453">
        <v>0</v>
      </c>
      <c r="W8" s="453">
        <v>0</v>
      </c>
      <c r="X8" s="453">
        <v>0</v>
      </c>
      <c r="Y8" s="453">
        <v>0</v>
      </c>
      <c r="Z8" s="453">
        <v>0</v>
      </c>
      <c r="AA8" s="14">
        <v>0</v>
      </c>
      <c r="AB8" s="14">
        <v>0</v>
      </c>
      <c r="AC8" s="453">
        <v>0</v>
      </c>
      <c r="AD8" s="14">
        <v>0</v>
      </c>
      <c r="AE8" s="14">
        <v>0</v>
      </c>
      <c r="AF8" s="14">
        <v>0</v>
      </c>
      <c r="AG8" s="14">
        <v>0</v>
      </c>
      <c r="AH8" s="14">
        <v>0</v>
      </c>
      <c r="AI8" s="14">
        <v>0</v>
      </c>
      <c r="AJ8" s="14">
        <v>0</v>
      </c>
      <c r="AK8" s="14">
        <v>0</v>
      </c>
      <c r="AL8" s="14">
        <v>0</v>
      </c>
      <c r="AM8" s="453">
        <v>0</v>
      </c>
      <c r="AN8" s="453">
        <v>0</v>
      </c>
      <c r="AO8" s="453">
        <v>0</v>
      </c>
      <c r="AP8" s="453">
        <v>0</v>
      </c>
      <c r="AQ8" s="453">
        <v>0</v>
      </c>
      <c r="AR8" s="453">
        <v>0</v>
      </c>
      <c r="AS8" s="453">
        <v>0</v>
      </c>
      <c r="AT8" s="453">
        <v>0</v>
      </c>
      <c r="AU8" s="453">
        <v>0</v>
      </c>
      <c r="AV8" s="453">
        <v>0</v>
      </c>
      <c r="AW8" s="453">
        <v>0</v>
      </c>
      <c r="AX8" s="453">
        <v>0</v>
      </c>
      <c r="AY8" s="453">
        <v>0</v>
      </c>
      <c r="AZ8" s="453">
        <v>0</v>
      </c>
      <c r="BA8" s="453">
        <v>0</v>
      </c>
      <c r="BB8" s="453">
        <v>0</v>
      </c>
      <c r="BC8" s="453">
        <v>0</v>
      </c>
      <c r="BD8" s="453">
        <v>0</v>
      </c>
      <c r="BE8" s="105">
        <v>0</v>
      </c>
      <c r="BF8" s="453">
        <v>0</v>
      </c>
      <c r="BG8" s="453">
        <v>0</v>
      </c>
      <c r="BH8" s="105">
        <v>0</v>
      </c>
      <c r="BI8" s="453">
        <v>0</v>
      </c>
      <c r="BJ8" s="453">
        <v>0</v>
      </c>
      <c r="BK8" s="105">
        <v>0</v>
      </c>
      <c r="BL8" s="453">
        <v>0</v>
      </c>
      <c r="BM8" s="453">
        <v>0</v>
      </c>
      <c r="BN8" s="453">
        <v>0</v>
      </c>
      <c r="BO8" s="453">
        <v>0</v>
      </c>
      <c r="BP8" s="453">
        <v>0</v>
      </c>
      <c r="BQ8" s="453">
        <v>0</v>
      </c>
      <c r="BR8" s="14">
        <v>0</v>
      </c>
      <c r="BS8" s="14">
        <v>0</v>
      </c>
      <c r="BT8" s="377" t="str">
        <v/>
      </c>
      <c r="BU8" s="105" t="str">
        <v/>
      </c>
      <c r="BV8" s="453" t="str">
        <v/>
      </c>
      <c r="BW8" s="105" t="str">
        <f ca="1"/>
        <v/>
      </c>
      <c r="CA8" s="1"/>
      <c r="CB8" s="1"/>
    </row>
    <row r="9" spans="1:80" x14ac:dyDescent="0.3">
      <c r="A9" s="1">
        <v>0</v>
      </c>
      <c r="B9" s="106">
        <v>0</v>
      </c>
      <c r="C9" s="14">
        <v>0</v>
      </c>
      <c r="D9" s="14">
        <v>0</v>
      </c>
      <c r="E9" s="14">
        <v>0</v>
      </c>
      <c r="F9" s="453">
        <v>0</v>
      </c>
      <c r="G9" s="377">
        <v>0</v>
      </c>
      <c r="H9" s="453">
        <v>0</v>
      </c>
      <c r="I9" s="453">
        <v>0</v>
      </c>
      <c r="J9" s="453">
        <v>0</v>
      </c>
      <c r="K9" s="453">
        <v>0</v>
      </c>
      <c r="L9" s="453">
        <v>0</v>
      </c>
      <c r="M9" s="453">
        <v>0</v>
      </c>
      <c r="N9" s="453">
        <v>0</v>
      </c>
      <c r="O9" s="453">
        <v>0</v>
      </c>
      <c r="P9" s="14">
        <v>0</v>
      </c>
      <c r="Q9" s="14">
        <v>0</v>
      </c>
      <c r="R9" s="453">
        <v>0</v>
      </c>
      <c r="S9" s="453">
        <v>0</v>
      </c>
      <c r="T9" s="453">
        <v>0</v>
      </c>
      <c r="U9" s="453">
        <v>0</v>
      </c>
      <c r="V9" s="453">
        <v>0</v>
      </c>
      <c r="W9" s="453">
        <v>0</v>
      </c>
      <c r="X9" s="453">
        <v>0</v>
      </c>
      <c r="Y9" s="453">
        <v>0</v>
      </c>
      <c r="Z9" s="453">
        <v>0</v>
      </c>
      <c r="AA9" s="14">
        <v>0</v>
      </c>
      <c r="AB9" s="14">
        <v>0</v>
      </c>
      <c r="AC9" s="453">
        <v>0</v>
      </c>
      <c r="AD9" s="14">
        <v>0</v>
      </c>
      <c r="AE9" s="14">
        <v>0</v>
      </c>
      <c r="AF9" s="14">
        <v>0</v>
      </c>
      <c r="AG9" s="14">
        <v>0</v>
      </c>
      <c r="AH9" s="14">
        <v>0</v>
      </c>
      <c r="AI9" s="14">
        <v>0</v>
      </c>
      <c r="AJ9" s="14">
        <v>0</v>
      </c>
      <c r="AK9" s="14">
        <v>0</v>
      </c>
      <c r="AL9" s="14">
        <v>0</v>
      </c>
      <c r="AM9" s="453">
        <v>0</v>
      </c>
      <c r="AN9" s="453">
        <v>0</v>
      </c>
      <c r="AO9" s="453">
        <v>0</v>
      </c>
      <c r="AP9" s="453">
        <v>0</v>
      </c>
      <c r="AQ9" s="453">
        <v>0</v>
      </c>
      <c r="AR9" s="453">
        <v>0</v>
      </c>
      <c r="AS9" s="453">
        <v>0</v>
      </c>
      <c r="AT9" s="453">
        <v>0</v>
      </c>
      <c r="AU9" s="453">
        <v>0</v>
      </c>
      <c r="AV9" s="453">
        <v>0</v>
      </c>
      <c r="AW9" s="453">
        <v>0</v>
      </c>
      <c r="AX9" s="453">
        <v>0</v>
      </c>
      <c r="AY9" s="453">
        <v>0</v>
      </c>
      <c r="AZ9" s="453">
        <v>0</v>
      </c>
      <c r="BA9" s="453">
        <v>0</v>
      </c>
      <c r="BB9" s="453">
        <v>0</v>
      </c>
      <c r="BC9" s="453">
        <v>0</v>
      </c>
      <c r="BD9" s="453">
        <v>0</v>
      </c>
      <c r="BE9" s="105">
        <v>0</v>
      </c>
      <c r="BF9" s="453">
        <v>0</v>
      </c>
      <c r="BG9" s="453">
        <v>0</v>
      </c>
      <c r="BH9" s="105">
        <v>0</v>
      </c>
      <c r="BI9" s="453">
        <v>0</v>
      </c>
      <c r="BJ9" s="453">
        <v>0</v>
      </c>
      <c r="BK9" s="105">
        <v>0</v>
      </c>
      <c r="BL9" s="453">
        <v>0</v>
      </c>
      <c r="BM9" s="453">
        <v>0</v>
      </c>
      <c r="BN9" s="453">
        <v>0</v>
      </c>
      <c r="BO9" s="453">
        <v>0</v>
      </c>
      <c r="BP9" s="453">
        <v>0</v>
      </c>
      <c r="BQ9" s="453">
        <v>0</v>
      </c>
      <c r="BR9" s="14">
        <v>0</v>
      </c>
      <c r="BS9" s="14">
        <v>0</v>
      </c>
      <c r="BT9" s="377" t="str">
        <v/>
      </c>
      <c r="BU9" s="105" t="str">
        <v/>
      </c>
      <c r="BV9" s="453" t="str">
        <v/>
      </c>
      <c r="BW9" s="105" t="str">
        <f ca="1"/>
        <v/>
      </c>
      <c r="CA9" s="1"/>
      <c r="CB9" s="1"/>
    </row>
    <row r="10" spans="1:80" x14ac:dyDescent="0.3">
      <c r="A10" s="1">
        <v>0</v>
      </c>
      <c r="B10" s="106">
        <v>0</v>
      </c>
      <c r="C10" s="14">
        <v>0</v>
      </c>
      <c r="D10" s="14">
        <v>0</v>
      </c>
      <c r="E10" s="14">
        <v>0</v>
      </c>
      <c r="F10" s="453">
        <v>0</v>
      </c>
      <c r="G10" s="377">
        <v>0</v>
      </c>
      <c r="H10" s="453">
        <v>0</v>
      </c>
      <c r="I10" s="453">
        <v>0</v>
      </c>
      <c r="J10" s="453">
        <v>0</v>
      </c>
      <c r="K10" s="453">
        <v>0</v>
      </c>
      <c r="L10" s="453">
        <v>0</v>
      </c>
      <c r="M10" s="453">
        <v>0</v>
      </c>
      <c r="N10" s="453">
        <v>0</v>
      </c>
      <c r="O10" s="453">
        <v>0</v>
      </c>
      <c r="P10" s="14">
        <v>0</v>
      </c>
      <c r="Q10" s="14">
        <v>0</v>
      </c>
      <c r="R10" s="453">
        <v>0</v>
      </c>
      <c r="S10" s="453">
        <v>0</v>
      </c>
      <c r="T10" s="453">
        <v>0</v>
      </c>
      <c r="U10" s="453">
        <v>0</v>
      </c>
      <c r="V10" s="453">
        <v>0</v>
      </c>
      <c r="W10" s="453">
        <v>0</v>
      </c>
      <c r="X10" s="453">
        <v>0</v>
      </c>
      <c r="Y10" s="453">
        <v>0</v>
      </c>
      <c r="Z10" s="453">
        <v>0</v>
      </c>
      <c r="AA10" s="14">
        <v>0</v>
      </c>
      <c r="AB10" s="14">
        <v>0</v>
      </c>
      <c r="AC10" s="453">
        <v>0</v>
      </c>
      <c r="AD10" s="14">
        <v>0</v>
      </c>
      <c r="AE10" s="14">
        <v>0</v>
      </c>
      <c r="AF10" s="14">
        <v>0</v>
      </c>
      <c r="AG10" s="14">
        <v>0</v>
      </c>
      <c r="AH10" s="14">
        <v>0</v>
      </c>
      <c r="AI10" s="14">
        <v>0</v>
      </c>
      <c r="AJ10" s="14">
        <v>0</v>
      </c>
      <c r="AK10" s="14">
        <v>0</v>
      </c>
      <c r="AL10" s="14">
        <v>0</v>
      </c>
      <c r="AM10" s="453">
        <v>0</v>
      </c>
      <c r="AN10" s="453">
        <v>0</v>
      </c>
      <c r="AO10" s="453">
        <v>0</v>
      </c>
      <c r="AP10" s="453">
        <v>0</v>
      </c>
      <c r="AQ10" s="453">
        <v>0</v>
      </c>
      <c r="AR10" s="453">
        <v>0</v>
      </c>
      <c r="AS10" s="453">
        <v>0</v>
      </c>
      <c r="AT10" s="453">
        <v>0</v>
      </c>
      <c r="AU10" s="453">
        <v>0</v>
      </c>
      <c r="AV10" s="453">
        <v>0</v>
      </c>
      <c r="AW10" s="453">
        <v>0</v>
      </c>
      <c r="AX10" s="453">
        <v>0</v>
      </c>
      <c r="AY10" s="453">
        <v>0</v>
      </c>
      <c r="AZ10" s="453">
        <v>0</v>
      </c>
      <c r="BA10" s="453">
        <v>0</v>
      </c>
      <c r="BB10" s="453">
        <v>0</v>
      </c>
      <c r="BC10" s="453">
        <v>0</v>
      </c>
      <c r="BD10" s="453">
        <v>0</v>
      </c>
      <c r="BE10" s="105">
        <v>0</v>
      </c>
      <c r="BF10" s="453">
        <v>0</v>
      </c>
      <c r="BG10" s="453">
        <v>0</v>
      </c>
      <c r="BH10" s="105">
        <v>0</v>
      </c>
      <c r="BI10" s="453">
        <v>0</v>
      </c>
      <c r="BJ10" s="453">
        <v>0</v>
      </c>
      <c r="BK10" s="105">
        <v>0</v>
      </c>
      <c r="BL10" s="453">
        <v>0</v>
      </c>
      <c r="BM10" s="453">
        <v>0</v>
      </c>
      <c r="BN10" s="453">
        <v>0</v>
      </c>
      <c r="BO10" s="453">
        <v>0</v>
      </c>
      <c r="BP10" s="453">
        <v>0</v>
      </c>
      <c r="BQ10" s="453">
        <v>0</v>
      </c>
      <c r="BR10" s="14">
        <v>0</v>
      </c>
      <c r="BS10" s="14">
        <v>0</v>
      </c>
      <c r="BT10" s="377" t="str">
        <v/>
      </c>
      <c r="BU10" s="105" t="str">
        <v/>
      </c>
      <c r="BV10" s="453" t="str">
        <v/>
      </c>
      <c r="BW10" s="105" t="str">
        <f ca="1"/>
        <v/>
      </c>
      <c r="CA10" s="1"/>
      <c r="CB10" s="1"/>
    </row>
    <row r="11" spans="1:80" x14ac:dyDescent="0.3">
      <c r="A11" s="1">
        <v>0</v>
      </c>
      <c r="B11" s="106">
        <v>0</v>
      </c>
      <c r="C11" s="14">
        <v>0</v>
      </c>
      <c r="D11" s="14">
        <v>0</v>
      </c>
      <c r="E11" s="14">
        <v>0</v>
      </c>
      <c r="F11" s="453">
        <v>0</v>
      </c>
      <c r="G11" s="377">
        <v>0</v>
      </c>
      <c r="H11" s="453">
        <v>0</v>
      </c>
      <c r="I11" s="453">
        <v>0</v>
      </c>
      <c r="J11" s="453">
        <v>0</v>
      </c>
      <c r="K11" s="453">
        <v>0</v>
      </c>
      <c r="L11" s="453">
        <v>0</v>
      </c>
      <c r="M11" s="453">
        <v>0</v>
      </c>
      <c r="N11" s="453">
        <v>0</v>
      </c>
      <c r="O11" s="453">
        <v>0</v>
      </c>
      <c r="P11" s="14">
        <v>0</v>
      </c>
      <c r="Q11" s="14">
        <v>0</v>
      </c>
      <c r="R11" s="453">
        <v>0</v>
      </c>
      <c r="S11" s="453">
        <v>0</v>
      </c>
      <c r="T11" s="453">
        <v>0</v>
      </c>
      <c r="U11" s="453">
        <v>0</v>
      </c>
      <c r="V11" s="453">
        <v>0</v>
      </c>
      <c r="W11" s="453">
        <v>0</v>
      </c>
      <c r="X11" s="453">
        <v>0</v>
      </c>
      <c r="Y11" s="453">
        <v>0</v>
      </c>
      <c r="Z11" s="453">
        <v>0</v>
      </c>
      <c r="AA11" s="14">
        <v>0</v>
      </c>
      <c r="AB11" s="14">
        <v>0</v>
      </c>
      <c r="AC11" s="453">
        <v>0</v>
      </c>
      <c r="AD11" s="14">
        <v>0</v>
      </c>
      <c r="AE11" s="14">
        <v>0</v>
      </c>
      <c r="AF11" s="14">
        <v>0</v>
      </c>
      <c r="AG11" s="14">
        <v>0</v>
      </c>
      <c r="AH11" s="14">
        <v>0</v>
      </c>
      <c r="AI11" s="14">
        <v>0</v>
      </c>
      <c r="AJ11" s="14">
        <v>0</v>
      </c>
      <c r="AK11" s="14">
        <v>0</v>
      </c>
      <c r="AL11" s="14">
        <v>0</v>
      </c>
      <c r="AM11" s="453">
        <v>0</v>
      </c>
      <c r="AN11" s="453">
        <v>0</v>
      </c>
      <c r="AO11" s="453">
        <v>0</v>
      </c>
      <c r="AP11" s="453">
        <v>0</v>
      </c>
      <c r="AQ11" s="453">
        <v>0</v>
      </c>
      <c r="AR11" s="453">
        <v>0</v>
      </c>
      <c r="AS11" s="453">
        <v>0</v>
      </c>
      <c r="AT11" s="453">
        <v>0</v>
      </c>
      <c r="AU11" s="453">
        <v>0</v>
      </c>
      <c r="AV11" s="453">
        <v>0</v>
      </c>
      <c r="AW11" s="453">
        <v>0</v>
      </c>
      <c r="AX11" s="453">
        <v>0</v>
      </c>
      <c r="AY11" s="453">
        <v>0</v>
      </c>
      <c r="AZ11" s="453">
        <v>0</v>
      </c>
      <c r="BA11" s="453">
        <v>0</v>
      </c>
      <c r="BB11" s="453">
        <v>0</v>
      </c>
      <c r="BC11" s="453">
        <v>0</v>
      </c>
      <c r="BD11" s="453">
        <v>0</v>
      </c>
      <c r="BE11" s="105">
        <v>0</v>
      </c>
      <c r="BF11" s="453">
        <v>0</v>
      </c>
      <c r="BG11" s="453">
        <v>0</v>
      </c>
      <c r="BH11" s="105">
        <v>0</v>
      </c>
      <c r="BI11" s="453">
        <v>0</v>
      </c>
      <c r="BJ11" s="453">
        <v>0</v>
      </c>
      <c r="BK11" s="105">
        <v>0</v>
      </c>
      <c r="BL11" s="453">
        <v>0</v>
      </c>
      <c r="BM11" s="453">
        <v>0</v>
      </c>
      <c r="BN11" s="453">
        <v>0</v>
      </c>
      <c r="BO11" s="453">
        <v>0</v>
      </c>
      <c r="BP11" s="453">
        <v>0</v>
      </c>
      <c r="BQ11" s="453">
        <v>0</v>
      </c>
      <c r="BR11" s="14">
        <v>0</v>
      </c>
      <c r="BS11" s="14">
        <v>0</v>
      </c>
      <c r="BT11" s="377" t="str">
        <v/>
      </c>
      <c r="BU11" s="105" t="str">
        <v/>
      </c>
      <c r="BV11" s="453" t="str">
        <v/>
      </c>
      <c r="BW11" s="105" t="str">
        <f ca="1"/>
        <v/>
      </c>
      <c r="CA11" s="1"/>
      <c r="CB11" s="1"/>
    </row>
    <row r="12" spans="1:80" x14ac:dyDescent="0.3">
      <c r="A12" s="1">
        <v>0</v>
      </c>
      <c r="B12" s="106">
        <v>0</v>
      </c>
      <c r="C12" s="14">
        <v>0</v>
      </c>
      <c r="D12" s="14">
        <v>0</v>
      </c>
      <c r="E12" s="14">
        <v>0</v>
      </c>
      <c r="F12" s="453">
        <v>0</v>
      </c>
      <c r="G12" s="377">
        <v>0</v>
      </c>
      <c r="H12" s="453">
        <v>0</v>
      </c>
      <c r="I12" s="453">
        <v>0</v>
      </c>
      <c r="J12" s="453">
        <v>0</v>
      </c>
      <c r="K12" s="453">
        <v>0</v>
      </c>
      <c r="L12" s="453">
        <v>0</v>
      </c>
      <c r="M12" s="453">
        <v>0</v>
      </c>
      <c r="N12" s="453">
        <v>0</v>
      </c>
      <c r="O12" s="453">
        <v>0</v>
      </c>
      <c r="P12" s="14">
        <v>0</v>
      </c>
      <c r="Q12" s="14">
        <v>0</v>
      </c>
      <c r="R12" s="453">
        <v>0</v>
      </c>
      <c r="S12" s="453">
        <v>0</v>
      </c>
      <c r="T12" s="453">
        <v>0</v>
      </c>
      <c r="U12" s="453">
        <v>0</v>
      </c>
      <c r="V12" s="453">
        <v>0</v>
      </c>
      <c r="W12" s="453">
        <v>0</v>
      </c>
      <c r="X12" s="453">
        <v>0</v>
      </c>
      <c r="Y12" s="453">
        <v>0</v>
      </c>
      <c r="Z12" s="453">
        <v>0</v>
      </c>
      <c r="AA12" s="14">
        <v>0</v>
      </c>
      <c r="AB12" s="14">
        <v>0</v>
      </c>
      <c r="AC12" s="453">
        <v>0</v>
      </c>
      <c r="AD12" s="14">
        <v>0</v>
      </c>
      <c r="AE12" s="14">
        <v>0</v>
      </c>
      <c r="AF12" s="14">
        <v>0</v>
      </c>
      <c r="AG12" s="14">
        <v>0</v>
      </c>
      <c r="AH12" s="14">
        <v>0</v>
      </c>
      <c r="AI12" s="14">
        <v>0</v>
      </c>
      <c r="AJ12" s="14">
        <v>0</v>
      </c>
      <c r="AK12" s="14">
        <v>0</v>
      </c>
      <c r="AL12" s="14">
        <v>0</v>
      </c>
      <c r="AM12" s="453">
        <v>0</v>
      </c>
      <c r="AN12" s="453">
        <v>0</v>
      </c>
      <c r="AO12" s="453">
        <v>0</v>
      </c>
      <c r="AP12" s="453">
        <v>0</v>
      </c>
      <c r="AQ12" s="453">
        <v>0</v>
      </c>
      <c r="AR12" s="453">
        <v>0</v>
      </c>
      <c r="AS12" s="453">
        <v>0</v>
      </c>
      <c r="AT12" s="453">
        <v>0</v>
      </c>
      <c r="AU12" s="453">
        <v>0</v>
      </c>
      <c r="AV12" s="453">
        <v>0</v>
      </c>
      <c r="AW12" s="453">
        <v>0</v>
      </c>
      <c r="AX12" s="453">
        <v>0</v>
      </c>
      <c r="AY12" s="453">
        <v>0</v>
      </c>
      <c r="AZ12" s="453">
        <v>0</v>
      </c>
      <c r="BA12" s="453">
        <v>0</v>
      </c>
      <c r="BB12" s="453">
        <v>0</v>
      </c>
      <c r="BC12" s="453">
        <v>0</v>
      </c>
      <c r="BD12" s="453">
        <v>0</v>
      </c>
      <c r="BE12" s="105">
        <v>0</v>
      </c>
      <c r="BF12" s="453">
        <v>0</v>
      </c>
      <c r="BG12" s="453">
        <v>0</v>
      </c>
      <c r="BH12" s="105">
        <v>0</v>
      </c>
      <c r="BI12" s="453">
        <v>0</v>
      </c>
      <c r="BJ12" s="453">
        <v>0</v>
      </c>
      <c r="BK12" s="105">
        <v>0</v>
      </c>
      <c r="BL12" s="453">
        <v>0</v>
      </c>
      <c r="BM12" s="453">
        <v>0</v>
      </c>
      <c r="BN12" s="453">
        <v>0</v>
      </c>
      <c r="BO12" s="453">
        <v>0</v>
      </c>
      <c r="BP12" s="453">
        <v>0</v>
      </c>
      <c r="BQ12" s="453">
        <v>0</v>
      </c>
      <c r="BR12" s="14">
        <v>0</v>
      </c>
      <c r="BS12" s="14">
        <v>0</v>
      </c>
      <c r="BT12" s="377" t="str">
        <v/>
      </c>
      <c r="BU12" s="105" t="str">
        <v/>
      </c>
      <c r="BV12" s="453" t="str">
        <v/>
      </c>
      <c r="BW12" s="105" t="str">
        <f ca="1"/>
        <v/>
      </c>
      <c r="CA12" s="1"/>
      <c r="CB12" s="1"/>
    </row>
    <row r="13" spans="1:80" x14ac:dyDescent="0.3">
      <c r="A13" s="1">
        <v>0</v>
      </c>
      <c r="B13" s="106">
        <v>0</v>
      </c>
      <c r="C13" s="14">
        <v>0</v>
      </c>
      <c r="D13" s="14">
        <v>0</v>
      </c>
      <c r="E13" s="14">
        <v>0</v>
      </c>
      <c r="F13" s="453">
        <v>0</v>
      </c>
      <c r="G13" s="377">
        <v>0</v>
      </c>
      <c r="H13" s="453">
        <v>0</v>
      </c>
      <c r="I13" s="453">
        <v>0</v>
      </c>
      <c r="J13" s="453">
        <v>0</v>
      </c>
      <c r="K13" s="453">
        <v>0</v>
      </c>
      <c r="L13" s="453">
        <v>0</v>
      </c>
      <c r="M13" s="453">
        <v>0</v>
      </c>
      <c r="N13" s="453">
        <v>0</v>
      </c>
      <c r="O13" s="453">
        <v>0</v>
      </c>
      <c r="P13" s="14">
        <v>0</v>
      </c>
      <c r="Q13" s="14">
        <v>0</v>
      </c>
      <c r="R13" s="453">
        <v>0</v>
      </c>
      <c r="S13" s="453">
        <v>0</v>
      </c>
      <c r="T13" s="453">
        <v>0</v>
      </c>
      <c r="U13" s="453">
        <v>0</v>
      </c>
      <c r="V13" s="453">
        <v>0</v>
      </c>
      <c r="W13" s="453">
        <v>0</v>
      </c>
      <c r="X13" s="453">
        <v>0</v>
      </c>
      <c r="Y13" s="453">
        <v>0</v>
      </c>
      <c r="Z13" s="453">
        <v>0</v>
      </c>
      <c r="AA13" s="14">
        <v>0</v>
      </c>
      <c r="AB13" s="14">
        <v>0</v>
      </c>
      <c r="AC13" s="453">
        <v>0</v>
      </c>
      <c r="AD13" s="14">
        <v>0</v>
      </c>
      <c r="AE13" s="14">
        <v>0</v>
      </c>
      <c r="AF13" s="14">
        <v>0</v>
      </c>
      <c r="AG13" s="14">
        <v>0</v>
      </c>
      <c r="AH13" s="14">
        <v>0</v>
      </c>
      <c r="AI13" s="14">
        <v>0</v>
      </c>
      <c r="AJ13" s="14">
        <v>0</v>
      </c>
      <c r="AK13" s="14">
        <v>0</v>
      </c>
      <c r="AL13" s="14">
        <v>0</v>
      </c>
      <c r="AM13" s="453">
        <v>0</v>
      </c>
      <c r="AN13" s="453">
        <v>0</v>
      </c>
      <c r="AO13" s="453">
        <v>0</v>
      </c>
      <c r="AP13" s="453">
        <v>0</v>
      </c>
      <c r="AQ13" s="453">
        <v>0</v>
      </c>
      <c r="AR13" s="453">
        <v>0</v>
      </c>
      <c r="AS13" s="453">
        <v>0</v>
      </c>
      <c r="AT13" s="453">
        <v>0</v>
      </c>
      <c r="AU13" s="453">
        <v>0</v>
      </c>
      <c r="AV13" s="453">
        <v>0</v>
      </c>
      <c r="AW13" s="453">
        <v>0</v>
      </c>
      <c r="AX13" s="453">
        <v>0</v>
      </c>
      <c r="AY13" s="453">
        <v>0</v>
      </c>
      <c r="AZ13" s="453">
        <v>0</v>
      </c>
      <c r="BA13" s="453">
        <v>0</v>
      </c>
      <c r="BB13" s="453">
        <v>0</v>
      </c>
      <c r="BC13" s="453">
        <v>0</v>
      </c>
      <c r="BD13" s="453">
        <v>0</v>
      </c>
      <c r="BE13" s="105">
        <v>0</v>
      </c>
      <c r="BF13" s="453">
        <v>0</v>
      </c>
      <c r="BG13" s="453">
        <v>0</v>
      </c>
      <c r="BH13" s="105">
        <v>0</v>
      </c>
      <c r="BI13" s="453">
        <v>0</v>
      </c>
      <c r="BJ13" s="453">
        <v>0</v>
      </c>
      <c r="BK13" s="105">
        <v>0</v>
      </c>
      <c r="BL13" s="453">
        <v>0</v>
      </c>
      <c r="BM13" s="453">
        <v>0</v>
      </c>
      <c r="BN13" s="453">
        <v>0</v>
      </c>
      <c r="BO13" s="453">
        <v>0</v>
      </c>
      <c r="BP13" s="453">
        <v>0</v>
      </c>
      <c r="BQ13" s="453">
        <v>0</v>
      </c>
      <c r="BR13" s="14">
        <v>0</v>
      </c>
      <c r="BS13" s="14">
        <v>0</v>
      </c>
      <c r="BT13" s="377" t="str">
        <v/>
      </c>
      <c r="BU13" s="105" t="str">
        <v/>
      </c>
      <c r="BV13" s="453" t="str">
        <v/>
      </c>
      <c r="BW13" s="105" t="str">
        <f ca="1"/>
        <v/>
      </c>
      <c r="CA13" s="1"/>
      <c r="CB13" s="1"/>
    </row>
    <row r="14" spans="1:80" x14ac:dyDescent="0.3">
      <c r="A14" s="1">
        <v>0</v>
      </c>
      <c r="B14" s="106">
        <v>0</v>
      </c>
      <c r="C14" s="14">
        <v>0</v>
      </c>
      <c r="D14" s="14">
        <v>0</v>
      </c>
      <c r="E14" s="14">
        <v>0</v>
      </c>
      <c r="F14" s="453">
        <v>0</v>
      </c>
      <c r="G14" s="377">
        <v>0</v>
      </c>
      <c r="H14" s="453">
        <v>0</v>
      </c>
      <c r="I14" s="453">
        <v>0</v>
      </c>
      <c r="J14" s="453">
        <v>0</v>
      </c>
      <c r="K14" s="453">
        <v>0</v>
      </c>
      <c r="L14" s="453">
        <v>0</v>
      </c>
      <c r="M14" s="453">
        <v>0</v>
      </c>
      <c r="N14" s="453">
        <v>0</v>
      </c>
      <c r="O14" s="453">
        <v>0</v>
      </c>
      <c r="P14" s="14">
        <v>0</v>
      </c>
      <c r="Q14" s="14">
        <v>0</v>
      </c>
      <c r="R14" s="453">
        <v>0</v>
      </c>
      <c r="S14" s="453">
        <v>0</v>
      </c>
      <c r="T14" s="453">
        <v>0</v>
      </c>
      <c r="U14" s="453">
        <v>0</v>
      </c>
      <c r="V14" s="453">
        <v>0</v>
      </c>
      <c r="W14" s="453">
        <v>0</v>
      </c>
      <c r="X14" s="453">
        <v>0</v>
      </c>
      <c r="Y14" s="453">
        <v>0</v>
      </c>
      <c r="Z14" s="453">
        <v>0</v>
      </c>
      <c r="AA14" s="14">
        <v>0</v>
      </c>
      <c r="AB14" s="14">
        <v>0</v>
      </c>
      <c r="AC14" s="453">
        <v>0</v>
      </c>
      <c r="AD14" s="14">
        <v>0</v>
      </c>
      <c r="AE14" s="14">
        <v>0</v>
      </c>
      <c r="AF14" s="14">
        <v>0</v>
      </c>
      <c r="AG14" s="14">
        <v>0</v>
      </c>
      <c r="AH14" s="14">
        <v>0</v>
      </c>
      <c r="AI14" s="14">
        <v>0</v>
      </c>
      <c r="AJ14" s="14">
        <v>0</v>
      </c>
      <c r="AK14" s="14">
        <v>0</v>
      </c>
      <c r="AL14" s="14">
        <v>0</v>
      </c>
      <c r="AM14" s="453">
        <v>0</v>
      </c>
      <c r="AN14" s="453">
        <v>0</v>
      </c>
      <c r="AO14" s="453">
        <v>0</v>
      </c>
      <c r="AP14" s="453">
        <v>0</v>
      </c>
      <c r="AQ14" s="453">
        <v>0</v>
      </c>
      <c r="AR14" s="453">
        <v>0</v>
      </c>
      <c r="AS14" s="453">
        <v>0</v>
      </c>
      <c r="AT14" s="453">
        <v>0</v>
      </c>
      <c r="AU14" s="453">
        <v>0</v>
      </c>
      <c r="AV14" s="453">
        <v>0</v>
      </c>
      <c r="AW14" s="453">
        <v>0</v>
      </c>
      <c r="AX14" s="453">
        <v>0</v>
      </c>
      <c r="AY14" s="453">
        <v>0</v>
      </c>
      <c r="AZ14" s="453">
        <v>0</v>
      </c>
      <c r="BA14" s="453">
        <v>0</v>
      </c>
      <c r="BB14" s="453">
        <v>0</v>
      </c>
      <c r="BC14" s="453">
        <v>0</v>
      </c>
      <c r="BD14" s="453">
        <v>0</v>
      </c>
      <c r="BE14" s="105">
        <v>0</v>
      </c>
      <c r="BF14" s="453">
        <v>0</v>
      </c>
      <c r="BG14" s="453">
        <v>0</v>
      </c>
      <c r="BH14" s="105">
        <v>0</v>
      </c>
      <c r="BI14" s="453">
        <v>0</v>
      </c>
      <c r="BJ14" s="453">
        <v>0</v>
      </c>
      <c r="BK14" s="105">
        <v>0</v>
      </c>
      <c r="BL14" s="453">
        <v>0</v>
      </c>
      <c r="BM14" s="453">
        <v>0</v>
      </c>
      <c r="BN14" s="453">
        <v>0</v>
      </c>
      <c r="BO14" s="453">
        <v>0</v>
      </c>
      <c r="BP14" s="453">
        <v>0</v>
      </c>
      <c r="BQ14" s="453">
        <v>0</v>
      </c>
      <c r="BR14" s="14">
        <v>0</v>
      </c>
      <c r="BS14" s="14">
        <v>0</v>
      </c>
      <c r="BT14" s="377" t="str">
        <v/>
      </c>
      <c r="BU14" s="105" t="str">
        <v/>
      </c>
      <c r="BV14" s="453" t="str">
        <v/>
      </c>
      <c r="BW14" s="105" t="str">
        <f ca="1"/>
        <v/>
      </c>
      <c r="CA14" s="1"/>
      <c r="CB14" s="1"/>
    </row>
    <row r="15" spans="1:80" x14ac:dyDescent="0.3">
      <c r="A15" s="1">
        <v>0</v>
      </c>
      <c r="B15" s="106">
        <v>0</v>
      </c>
      <c r="C15" s="14">
        <v>0</v>
      </c>
      <c r="D15" s="14">
        <v>0</v>
      </c>
      <c r="E15" s="14">
        <v>0</v>
      </c>
      <c r="F15" s="453">
        <v>0</v>
      </c>
      <c r="G15" s="377">
        <v>0</v>
      </c>
      <c r="H15" s="453">
        <v>0</v>
      </c>
      <c r="I15" s="453">
        <v>0</v>
      </c>
      <c r="J15" s="453">
        <v>0</v>
      </c>
      <c r="K15" s="453">
        <v>0</v>
      </c>
      <c r="L15" s="453">
        <v>0</v>
      </c>
      <c r="M15" s="453">
        <v>0</v>
      </c>
      <c r="N15" s="453">
        <v>0</v>
      </c>
      <c r="O15" s="453">
        <v>0</v>
      </c>
      <c r="P15" s="14">
        <v>0</v>
      </c>
      <c r="Q15" s="14">
        <v>0</v>
      </c>
      <c r="R15" s="453">
        <v>0</v>
      </c>
      <c r="S15" s="453">
        <v>0</v>
      </c>
      <c r="T15" s="453">
        <v>0</v>
      </c>
      <c r="U15" s="453">
        <v>0</v>
      </c>
      <c r="V15" s="453">
        <v>0</v>
      </c>
      <c r="W15" s="453">
        <v>0</v>
      </c>
      <c r="X15" s="453">
        <v>0</v>
      </c>
      <c r="Y15" s="453">
        <v>0</v>
      </c>
      <c r="Z15" s="453">
        <v>0</v>
      </c>
      <c r="AA15" s="14">
        <v>0</v>
      </c>
      <c r="AB15" s="14">
        <v>0</v>
      </c>
      <c r="AC15" s="453">
        <v>0</v>
      </c>
      <c r="AD15" s="14">
        <v>0</v>
      </c>
      <c r="AE15" s="14">
        <v>0</v>
      </c>
      <c r="AF15" s="14">
        <v>0</v>
      </c>
      <c r="AG15" s="14">
        <v>0</v>
      </c>
      <c r="AH15" s="14">
        <v>0</v>
      </c>
      <c r="AI15" s="14">
        <v>0</v>
      </c>
      <c r="AJ15" s="14">
        <v>0</v>
      </c>
      <c r="AK15" s="14">
        <v>0</v>
      </c>
      <c r="AL15" s="14">
        <v>0</v>
      </c>
      <c r="AM15" s="453">
        <v>0</v>
      </c>
      <c r="AN15" s="453">
        <v>0</v>
      </c>
      <c r="AO15" s="453">
        <v>0</v>
      </c>
      <c r="AP15" s="453">
        <v>0</v>
      </c>
      <c r="AQ15" s="453">
        <v>0</v>
      </c>
      <c r="AR15" s="453">
        <v>0</v>
      </c>
      <c r="AS15" s="453">
        <v>0</v>
      </c>
      <c r="AT15" s="453">
        <v>0</v>
      </c>
      <c r="AU15" s="453">
        <v>0</v>
      </c>
      <c r="AV15" s="453">
        <v>0</v>
      </c>
      <c r="AW15" s="453">
        <v>0</v>
      </c>
      <c r="AX15" s="453">
        <v>0</v>
      </c>
      <c r="AY15" s="453">
        <v>0</v>
      </c>
      <c r="AZ15" s="453">
        <v>0</v>
      </c>
      <c r="BA15" s="453">
        <v>0</v>
      </c>
      <c r="BB15" s="453">
        <v>0</v>
      </c>
      <c r="BC15" s="453">
        <v>0</v>
      </c>
      <c r="BD15" s="453">
        <v>0</v>
      </c>
      <c r="BE15" s="105">
        <v>0</v>
      </c>
      <c r="BF15" s="453">
        <v>0</v>
      </c>
      <c r="BG15" s="453">
        <v>0</v>
      </c>
      <c r="BH15" s="105">
        <v>0</v>
      </c>
      <c r="BI15" s="453">
        <v>0</v>
      </c>
      <c r="BJ15" s="453">
        <v>0</v>
      </c>
      <c r="BK15" s="105">
        <v>0</v>
      </c>
      <c r="BL15" s="453">
        <v>0</v>
      </c>
      <c r="BM15" s="453">
        <v>0</v>
      </c>
      <c r="BN15" s="453">
        <v>0</v>
      </c>
      <c r="BO15" s="453">
        <v>0</v>
      </c>
      <c r="BP15" s="453">
        <v>0</v>
      </c>
      <c r="BQ15" s="453">
        <v>0</v>
      </c>
      <c r="BR15" s="14">
        <v>0</v>
      </c>
      <c r="BS15" s="14">
        <v>0</v>
      </c>
      <c r="BT15" s="377" t="str">
        <v/>
      </c>
      <c r="BU15" s="105" t="str">
        <v/>
      </c>
      <c r="BV15" s="453" t="str">
        <v/>
      </c>
      <c r="BW15" s="105" t="str">
        <f ca="1"/>
        <v/>
      </c>
      <c r="CA15" s="1"/>
      <c r="CB15" s="1"/>
    </row>
    <row r="16" spans="1:80" x14ac:dyDescent="0.3">
      <c r="A16" s="1">
        <v>0</v>
      </c>
      <c r="B16" s="106">
        <v>0</v>
      </c>
      <c r="C16" s="14">
        <v>0</v>
      </c>
      <c r="D16" s="14">
        <v>0</v>
      </c>
      <c r="E16" s="14">
        <v>0</v>
      </c>
      <c r="F16" s="453">
        <v>0</v>
      </c>
      <c r="G16" s="377">
        <v>0</v>
      </c>
      <c r="H16" s="453">
        <v>0</v>
      </c>
      <c r="I16" s="453">
        <v>0</v>
      </c>
      <c r="J16" s="453">
        <v>0</v>
      </c>
      <c r="K16" s="453">
        <v>0</v>
      </c>
      <c r="L16" s="453">
        <v>0</v>
      </c>
      <c r="M16" s="453">
        <v>0</v>
      </c>
      <c r="N16" s="453">
        <v>0</v>
      </c>
      <c r="O16" s="453">
        <v>0</v>
      </c>
      <c r="P16" s="14">
        <v>0</v>
      </c>
      <c r="Q16" s="14">
        <v>0</v>
      </c>
      <c r="R16" s="453">
        <v>0</v>
      </c>
      <c r="S16" s="453">
        <v>0</v>
      </c>
      <c r="T16" s="453">
        <v>0</v>
      </c>
      <c r="U16" s="453">
        <v>0</v>
      </c>
      <c r="V16" s="453">
        <v>0</v>
      </c>
      <c r="W16" s="453">
        <v>0</v>
      </c>
      <c r="X16" s="453">
        <v>0</v>
      </c>
      <c r="Y16" s="453">
        <v>0</v>
      </c>
      <c r="Z16" s="453">
        <v>0</v>
      </c>
      <c r="AA16" s="14">
        <v>0</v>
      </c>
      <c r="AB16" s="14">
        <v>0</v>
      </c>
      <c r="AC16" s="453">
        <v>0</v>
      </c>
      <c r="AD16" s="14">
        <v>0</v>
      </c>
      <c r="AE16" s="14">
        <v>0</v>
      </c>
      <c r="AF16" s="14">
        <v>0</v>
      </c>
      <c r="AG16" s="14">
        <v>0</v>
      </c>
      <c r="AH16" s="14">
        <v>0</v>
      </c>
      <c r="AI16" s="14">
        <v>0</v>
      </c>
      <c r="AJ16" s="14">
        <v>0</v>
      </c>
      <c r="AK16" s="14">
        <v>0</v>
      </c>
      <c r="AL16" s="14">
        <v>0</v>
      </c>
      <c r="AM16" s="453">
        <v>0</v>
      </c>
      <c r="AN16" s="453">
        <v>0</v>
      </c>
      <c r="AO16" s="453">
        <v>0</v>
      </c>
      <c r="AP16" s="453">
        <v>0</v>
      </c>
      <c r="AQ16" s="453">
        <v>0</v>
      </c>
      <c r="AR16" s="453">
        <v>0</v>
      </c>
      <c r="AS16" s="453">
        <v>0</v>
      </c>
      <c r="AT16" s="453">
        <v>0</v>
      </c>
      <c r="AU16" s="453">
        <v>0</v>
      </c>
      <c r="AV16" s="453">
        <v>0</v>
      </c>
      <c r="AW16" s="453">
        <v>0</v>
      </c>
      <c r="AX16" s="453">
        <v>0</v>
      </c>
      <c r="AY16" s="453">
        <v>0</v>
      </c>
      <c r="AZ16" s="453">
        <v>0</v>
      </c>
      <c r="BA16" s="453">
        <v>0</v>
      </c>
      <c r="BB16" s="453">
        <v>0</v>
      </c>
      <c r="BC16" s="453">
        <v>0</v>
      </c>
      <c r="BD16" s="453">
        <v>0</v>
      </c>
      <c r="BE16" s="105">
        <v>0</v>
      </c>
      <c r="BF16" s="453">
        <v>0</v>
      </c>
      <c r="BG16" s="453">
        <v>0</v>
      </c>
      <c r="BH16" s="105">
        <v>0</v>
      </c>
      <c r="BI16" s="453">
        <v>0</v>
      </c>
      <c r="BJ16" s="453">
        <v>0</v>
      </c>
      <c r="BK16" s="105">
        <v>0</v>
      </c>
      <c r="BL16" s="453">
        <v>0</v>
      </c>
      <c r="BM16" s="453">
        <v>0</v>
      </c>
      <c r="BN16" s="453">
        <v>0</v>
      </c>
      <c r="BO16" s="453">
        <v>0</v>
      </c>
      <c r="BP16" s="453">
        <v>0</v>
      </c>
      <c r="BQ16" s="453">
        <v>0</v>
      </c>
      <c r="BR16" s="14">
        <v>0</v>
      </c>
      <c r="BS16" s="14">
        <v>0</v>
      </c>
      <c r="BT16" s="377" t="str">
        <v/>
      </c>
      <c r="BU16" s="105" t="str">
        <v/>
      </c>
      <c r="BV16" s="453" t="str">
        <v/>
      </c>
      <c r="BW16" s="105" t="str">
        <f ca="1"/>
        <v/>
      </c>
      <c r="CA16" s="1"/>
      <c r="CB16" s="1"/>
    </row>
    <row r="17" spans="1:75" x14ac:dyDescent="0.3">
      <c r="A17" s="1">
        <v>0</v>
      </c>
      <c r="B17" s="106">
        <v>0</v>
      </c>
      <c r="C17" s="14">
        <v>0</v>
      </c>
      <c r="D17" s="14">
        <v>0</v>
      </c>
      <c r="E17" s="14">
        <v>0</v>
      </c>
      <c r="F17" s="453">
        <v>0</v>
      </c>
      <c r="G17" s="377">
        <v>0</v>
      </c>
      <c r="H17" s="453">
        <v>0</v>
      </c>
      <c r="I17" s="453">
        <v>0</v>
      </c>
      <c r="J17" s="453">
        <v>0</v>
      </c>
      <c r="K17" s="453">
        <v>0</v>
      </c>
      <c r="L17" s="453">
        <v>0</v>
      </c>
      <c r="M17" s="453">
        <v>0</v>
      </c>
      <c r="N17" s="453">
        <v>0</v>
      </c>
      <c r="O17" s="453">
        <v>0</v>
      </c>
      <c r="P17" s="14">
        <v>0</v>
      </c>
      <c r="Q17" s="14">
        <v>0</v>
      </c>
      <c r="R17" s="453">
        <v>0</v>
      </c>
      <c r="S17" s="453">
        <v>0</v>
      </c>
      <c r="T17" s="453">
        <v>0</v>
      </c>
      <c r="U17" s="453">
        <v>0</v>
      </c>
      <c r="V17" s="453">
        <v>0</v>
      </c>
      <c r="W17" s="453">
        <v>0</v>
      </c>
      <c r="X17" s="453">
        <v>0</v>
      </c>
      <c r="Y17" s="453">
        <v>0</v>
      </c>
      <c r="Z17" s="453">
        <v>0</v>
      </c>
      <c r="AA17" s="14">
        <v>0</v>
      </c>
      <c r="AB17" s="14">
        <v>0</v>
      </c>
      <c r="AC17" s="453">
        <v>0</v>
      </c>
      <c r="AD17" s="14">
        <v>0</v>
      </c>
      <c r="AE17" s="14">
        <v>0</v>
      </c>
      <c r="AF17" s="14">
        <v>0</v>
      </c>
      <c r="AG17" s="14">
        <v>0</v>
      </c>
      <c r="AH17" s="14">
        <v>0</v>
      </c>
      <c r="AI17" s="14">
        <v>0</v>
      </c>
      <c r="AJ17" s="14">
        <v>0</v>
      </c>
      <c r="AK17" s="14">
        <v>0</v>
      </c>
      <c r="AL17" s="14">
        <v>0</v>
      </c>
      <c r="AM17" s="453">
        <v>0</v>
      </c>
      <c r="AN17" s="453">
        <v>0</v>
      </c>
      <c r="AO17" s="453">
        <v>0</v>
      </c>
      <c r="AP17" s="453">
        <v>0</v>
      </c>
      <c r="AQ17" s="453">
        <v>0</v>
      </c>
      <c r="AR17" s="453">
        <v>0</v>
      </c>
      <c r="AS17" s="453">
        <v>0</v>
      </c>
      <c r="AT17" s="453">
        <v>0</v>
      </c>
      <c r="AU17" s="453">
        <v>0</v>
      </c>
      <c r="AV17" s="453">
        <v>0</v>
      </c>
      <c r="AW17" s="453">
        <v>0</v>
      </c>
      <c r="AX17" s="453">
        <v>0</v>
      </c>
      <c r="AY17" s="453">
        <v>0</v>
      </c>
      <c r="AZ17" s="453">
        <v>0</v>
      </c>
      <c r="BA17" s="453">
        <v>0</v>
      </c>
      <c r="BB17" s="453">
        <v>0</v>
      </c>
      <c r="BC17" s="453">
        <v>0</v>
      </c>
      <c r="BD17" s="453">
        <v>0</v>
      </c>
      <c r="BE17" s="105">
        <v>0</v>
      </c>
      <c r="BF17" s="453">
        <v>0</v>
      </c>
      <c r="BG17" s="453">
        <v>0</v>
      </c>
      <c r="BH17" s="105">
        <v>0</v>
      </c>
      <c r="BI17" s="453">
        <v>0</v>
      </c>
      <c r="BJ17" s="453">
        <v>0</v>
      </c>
      <c r="BK17" s="105">
        <v>0</v>
      </c>
      <c r="BL17" s="453">
        <v>0</v>
      </c>
      <c r="BM17" s="453">
        <v>0</v>
      </c>
      <c r="BN17" s="453">
        <v>0</v>
      </c>
      <c r="BO17" s="453">
        <v>0</v>
      </c>
      <c r="BP17" s="453">
        <v>0</v>
      </c>
      <c r="BQ17" s="453">
        <v>0</v>
      </c>
      <c r="BR17" s="14">
        <v>0</v>
      </c>
      <c r="BS17" s="14">
        <v>0</v>
      </c>
      <c r="BT17" s="377" t="str">
        <v/>
      </c>
      <c r="BU17" s="105" t="str">
        <v/>
      </c>
      <c r="BV17" s="453" t="str">
        <v/>
      </c>
      <c r="BW17" s="105" t="str">
        <f ca="1"/>
        <v/>
      </c>
    </row>
    <row r="18" spans="1:75" x14ac:dyDescent="0.3">
      <c r="A18" s="1">
        <v>0</v>
      </c>
      <c r="B18" s="106">
        <v>0</v>
      </c>
      <c r="C18" s="14">
        <v>0</v>
      </c>
      <c r="D18" s="14">
        <v>0</v>
      </c>
      <c r="E18" s="14">
        <v>0</v>
      </c>
      <c r="F18" s="453">
        <v>0</v>
      </c>
      <c r="G18" s="377">
        <v>0</v>
      </c>
      <c r="H18" s="453">
        <v>0</v>
      </c>
      <c r="I18" s="453">
        <v>0</v>
      </c>
      <c r="J18" s="453">
        <v>0</v>
      </c>
      <c r="K18" s="453">
        <v>0</v>
      </c>
      <c r="L18" s="453">
        <v>0</v>
      </c>
      <c r="M18" s="453">
        <v>0</v>
      </c>
      <c r="N18" s="453">
        <v>0</v>
      </c>
      <c r="O18" s="453">
        <v>0</v>
      </c>
      <c r="P18" s="14">
        <v>0</v>
      </c>
      <c r="Q18" s="14">
        <v>0</v>
      </c>
      <c r="R18" s="453">
        <v>0</v>
      </c>
      <c r="S18" s="453">
        <v>0</v>
      </c>
      <c r="T18" s="453">
        <v>0</v>
      </c>
      <c r="U18" s="453">
        <v>0</v>
      </c>
      <c r="V18" s="453">
        <v>0</v>
      </c>
      <c r="W18" s="453">
        <v>0</v>
      </c>
      <c r="X18" s="453">
        <v>0</v>
      </c>
      <c r="Y18" s="453">
        <v>0</v>
      </c>
      <c r="Z18" s="453">
        <v>0</v>
      </c>
      <c r="AA18" s="14">
        <v>0</v>
      </c>
      <c r="AB18" s="14">
        <v>0</v>
      </c>
      <c r="AC18" s="453">
        <v>0</v>
      </c>
      <c r="AD18" s="14">
        <v>0</v>
      </c>
      <c r="AE18" s="14">
        <v>0</v>
      </c>
      <c r="AF18" s="14">
        <v>0</v>
      </c>
      <c r="AG18" s="14">
        <v>0</v>
      </c>
      <c r="AH18" s="14">
        <v>0</v>
      </c>
      <c r="AI18" s="14">
        <v>0</v>
      </c>
      <c r="AJ18" s="14">
        <v>0</v>
      </c>
      <c r="AK18" s="14">
        <v>0</v>
      </c>
      <c r="AL18" s="14">
        <v>0</v>
      </c>
      <c r="AM18" s="453">
        <v>0</v>
      </c>
      <c r="AN18" s="453">
        <v>0</v>
      </c>
      <c r="AO18" s="453">
        <v>0</v>
      </c>
      <c r="AP18" s="453">
        <v>0</v>
      </c>
      <c r="AQ18" s="453">
        <v>0</v>
      </c>
      <c r="AR18" s="453">
        <v>0</v>
      </c>
      <c r="AS18" s="453">
        <v>0</v>
      </c>
      <c r="AT18" s="453">
        <v>0</v>
      </c>
      <c r="AU18" s="453">
        <v>0</v>
      </c>
      <c r="AV18" s="453">
        <v>0</v>
      </c>
      <c r="AW18" s="453">
        <v>0</v>
      </c>
      <c r="AX18" s="453">
        <v>0</v>
      </c>
      <c r="AY18" s="453">
        <v>0</v>
      </c>
      <c r="AZ18" s="453">
        <v>0</v>
      </c>
      <c r="BA18" s="453">
        <v>0</v>
      </c>
      <c r="BB18" s="453">
        <v>0</v>
      </c>
      <c r="BC18" s="453">
        <v>0</v>
      </c>
      <c r="BD18" s="453">
        <v>0</v>
      </c>
      <c r="BE18" s="105">
        <v>0</v>
      </c>
      <c r="BF18" s="453">
        <v>0</v>
      </c>
      <c r="BG18" s="453">
        <v>0</v>
      </c>
      <c r="BH18" s="105">
        <v>0</v>
      </c>
      <c r="BI18" s="453">
        <v>0</v>
      </c>
      <c r="BJ18" s="453">
        <v>0</v>
      </c>
      <c r="BK18" s="105">
        <v>0</v>
      </c>
      <c r="BL18" s="453">
        <v>0</v>
      </c>
      <c r="BM18" s="453">
        <v>0</v>
      </c>
      <c r="BN18" s="453">
        <v>0</v>
      </c>
      <c r="BO18" s="453">
        <v>0</v>
      </c>
      <c r="BP18" s="453">
        <v>0</v>
      </c>
      <c r="BQ18" s="453">
        <v>0</v>
      </c>
      <c r="BR18" s="14">
        <v>0</v>
      </c>
      <c r="BS18" s="14">
        <v>0</v>
      </c>
      <c r="BT18" s="377" t="str">
        <v/>
      </c>
      <c r="BU18" s="105" t="str">
        <v/>
      </c>
      <c r="BV18" s="453" t="str">
        <v/>
      </c>
      <c r="BW18" s="105" t="str">
        <f ca="1"/>
        <v/>
      </c>
    </row>
    <row r="19" spans="1:75" x14ac:dyDescent="0.3">
      <c r="A19" s="1">
        <v>0</v>
      </c>
      <c r="B19" s="106">
        <v>0</v>
      </c>
      <c r="C19" s="14">
        <v>0</v>
      </c>
      <c r="D19" s="14">
        <v>0</v>
      </c>
      <c r="E19" s="14">
        <v>0</v>
      </c>
      <c r="F19" s="453">
        <v>0</v>
      </c>
      <c r="G19" s="377">
        <v>0</v>
      </c>
      <c r="H19" s="453">
        <v>0</v>
      </c>
      <c r="I19" s="453">
        <v>0</v>
      </c>
      <c r="J19" s="453">
        <v>0</v>
      </c>
      <c r="K19" s="453">
        <v>0</v>
      </c>
      <c r="L19" s="453">
        <v>0</v>
      </c>
      <c r="M19" s="453">
        <v>0</v>
      </c>
      <c r="N19" s="453">
        <v>0</v>
      </c>
      <c r="O19" s="453">
        <v>0</v>
      </c>
      <c r="P19" s="14">
        <v>0</v>
      </c>
      <c r="Q19" s="14">
        <v>0</v>
      </c>
      <c r="R19" s="453">
        <v>0</v>
      </c>
      <c r="S19" s="453">
        <v>0</v>
      </c>
      <c r="T19" s="453">
        <v>0</v>
      </c>
      <c r="U19" s="453">
        <v>0</v>
      </c>
      <c r="V19" s="453">
        <v>0</v>
      </c>
      <c r="W19" s="453">
        <v>0</v>
      </c>
      <c r="X19" s="453">
        <v>0</v>
      </c>
      <c r="Y19" s="453">
        <v>0</v>
      </c>
      <c r="Z19" s="453">
        <v>0</v>
      </c>
      <c r="AA19" s="14">
        <v>0</v>
      </c>
      <c r="AB19" s="14">
        <v>0</v>
      </c>
      <c r="AC19" s="453">
        <v>0</v>
      </c>
      <c r="AD19" s="14">
        <v>0</v>
      </c>
      <c r="AE19" s="14">
        <v>0</v>
      </c>
      <c r="AF19" s="14">
        <v>0</v>
      </c>
      <c r="AG19" s="14">
        <v>0</v>
      </c>
      <c r="AH19" s="14">
        <v>0</v>
      </c>
      <c r="AI19" s="14">
        <v>0</v>
      </c>
      <c r="AJ19" s="14">
        <v>0</v>
      </c>
      <c r="AK19" s="14">
        <v>0</v>
      </c>
      <c r="AL19" s="14">
        <v>0</v>
      </c>
      <c r="AM19" s="453">
        <v>0</v>
      </c>
      <c r="AN19" s="453">
        <v>0</v>
      </c>
      <c r="AO19" s="453">
        <v>0</v>
      </c>
      <c r="AP19" s="453">
        <v>0</v>
      </c>
      <c r="AQ19" s="453">
        <v>0</v>
      </c>
      <c r="AR19" s="453">
        <v>0</v>
      </c>
      <c r="AS19" s="453">
        <v>0</v>
      </c>
      <c r="AT19" s="453">
        <v>0</v>
      </c>
      <c r="AU19" s="453">
        <v>0</v>
      </c>
      <c r="AV19" s="453">
        <v>0</v>
      </c>
      <c r="AW19" s="453">
        <v>0</v>
      </c>
      <c r="AX19" s="453">
        <v>0</v>
      </c>
      <c r="AY19" s="453">
        <v>0</v>
      </c>
      <c r="AZ19" s="453">
        <v>0</v>
      </c>
      <c r="BA19" s="453">
        <v>0</v>
      </c>
      <c r="BB19" s="453">
        <v>0</v>
      </c>
      <c r="BC19" s="453">
        <v>0</v>
      </c>
      <c r="BD19" s="453">
        <v>0</v>
      </c>
      <c r="BE19" s="105">
        <v>0</v>
      </c>
      <c r="BF19" s="453">
        <v>0</v>
      </c>
      <c r="BG19" s="453">
        <v>0</v>
      </c>
      <c r="BH19" s="105">
        <v>0</v>
      </c>
      <c r="BI19" s="453">
        <v>0</v>
      </c>
      <c r="BJ19" s="453">
        <v>0</v>
      </c>
      <c r="BK19" s="105">
        <v>0</v>
      </c>
      <c r="BL19" s="453">
        <v>0</v>
      </c>
      <c r="BM19" s="453">
        <v>0</v>
      </c>
      <c r="BN19" s="453">
        <v>0</v>
      </c>
      <c r="BO19" s="453">
        <v>0</v>
      </c>
      <c r="BP19" s="453">
        <v>0</v>
      </c>
      <c r="BQ19" s="453">
        <v>0</v>
      </c>
      <c r="BR19" s="14">
        <v>0</v>
      </c>
      <c r="BS19" s="14">
        <v>0</v>
      </c>
      <c r="BT19" s="377" t="str">
        <v/>
      </c>
      <c r="BU19" s="105" t="str">
        <v/>
      </c>
      <c r="BV19" s="453" t="str">
        <v/>
      </c>
      <c r="BW19" s="105" t="str">
        <f ca="1"/>
        <v/>
      </c>
    </row>
    <row r="20" spans="1:75" x14ac:dyDescent="0.3">
      <c r="A20" s="1">
        <v>0</v>
      </c>
      <c r="B20" s="106">
        <v>0</v>
      </c>
      <c r="C20" s="14">
        <v>0</v>
      </c>
      <c r="D20" s="14">
        <v>0</v>
      </c>
      <c r="E20" s="14">
        <v>0</v>
      </c>
      <c r="F20" s="453">
        <v>0</v>
      </c>
      <c r="G20" s="377">
        <v>0</v>
      </c>
      <c r="H20" s="453">
        <v>0</v>
      </c>
      <c r="I20" s="453">
        <v>0</v>
      </c>
      <c r="J20" s="453">
        <v>0</v>
      </c>
      <c r="K20" s="453">
        <v>0</v>
      </c>
      <c r="L20" s="453">
        <v>0</v>
      </c>
      <c r="M20" s="453">
        <v>0</v>
      </c>
      <c r="N20" s="453">
        <v>0</v>
      </c>
      <c r="O20" s="453">
        <v>0</v>
      </c>
      <c r="P20" s="14">
        <v>0</v>
      </c>
      <c r="Q20" s="14">
        <v>0</v>
      </c>
      <c r="R20" s="453">
        <v>0</v>
      </c>
      <c r="S20" s="453">
        <v>0</v>
      </c>
      <c r="T20" s="453">
        <v>0</v>
      </c>
      <c r="U20" s="453">
        <v>0</v>
      </c>
      <c r="V20" s="453">
        <v>0</v>
      </c>
      <c r="W20" s="453">
        <v>0</v>
      </c>
      <c r="X20" s="453">
        <v>0</v>
      </c>
      <c r="Y20" s="453">
        <v>0</v>
      </c>
      <c r="Z20" s="453">
        <v>0</v>
      </c>
      <c r="AA20" s="14">
        <v>0</v>
      </c>
      <c r="AB20" s="14">
        <v>0</v>
      </c>
      <c r="AC20" s="453">
        <v>0</v>
      </c>
      <c r="AD20" s="14">
        <v>0</v>
      </c>
      <c r="AE20" s="14">
        <v>0</v>
      </c>
      <c r="AF20" s="14">
        <v>0</v>
      </c>
      <c r="AG20" s="14">
        <v>0</v>
      </c>
      <c r="AH20" s="14">
        <v>0</v>
      </c>
      <c r="AI20" s="14">
        <v>0</v>
      </c>
      <c r="AJ20" s="14">
        <v>0</v>
      </c>
      <c r="AK20" s="14">
        <v>0</v>
      </c>
      <c r="AL20" s="14">
        <v>0</v>
      </c>
      <c r="AM20" s="453">
        <v>0</v>
      </c>
      <c r="AN20" s="453">
        <v>0</v>
      </c>
      <c r="AO20" s="453">
        <v>0</v>
      </c>
      <c r="AP20" s="453">
        <v>0</v>
      </c>
      <c r="AQ20" s="453">
        <v>0</v>
      </c>
      <c r="AR20" s="453">
        <v>0</v>
      </c>
      <c r="AS20" s="453">
        <v>0</v>
      </c>
      <c r="AT20" s="453">
        <v>0</v>
      </c>
      <c r="AU20" s="453">
        <v>0</v>
      </c>
      <c r="AV20" s="453">
        <v>0</v>
      </c>
      <c r="AW20" s="453">
        <v>0</v>
      </c>
      <c r="AX20" s="453">
        <v>0</v>
      </c>
      <c r="AY20" s="453">
        <v>0</v>
      </c>
      <c r="AZ20" s="453">
        <v>0</v>
      </c>
      <c r="BA20" s="453">
        <v>0</v>
      </c>
      <c r="BB20" s="453">
        <v>0</v>
      </c>
      <c r="BC20" s="453">
        <v>0</v>
      </c>
      <c r="BD20" s="453">
        <v>0</v>
      </c>
      <c r="BE20" s="105">
        <v>0</v>
      </c>
      <c r="BF20" s="453">
        <v>0</v>
      </c>
      <c r="BG20" s="453">
        <v>0</v>
      </c>
      <c r="BH20" s="105">
        <v>0</v>
      </c>
      <c r="BI20" s="453">
        <v>0</v>
      </c>
      <c r="BJ20" s="453">
        <v>0</v>
      </c>
      <c r="BK20" s="105">
        <v>0</v>
      </c>
      <c r="BL20" s="453">
        <v>0</v>
      </c>
      <c r="BM20" s="453">
        <v>0</v>
      </c>
      <c r="BN20" s="453">
        <v>0</v>
      </c>
      <c r="BO20" s="453">
        <v>0</v>
      </c>
      <c r="BP20" s="453">
        <v>0</v>
      </c>
      <c r="BQ20" s="453">
        <v>0</v>
      </c>
      <c r="BR20" s="14">
        <v>0</v>
      </c>
      <c r="BS20" s="14">
        <v>0</v>
      </c>
      <c r="BT20" s="377" t="str">
        <v/>
      </c>
      <c r="BU20" s="105" t="str">
        <v/>
      </c>
      <c r="BV20" s="453" t="str">
        <v/>
      </c>
      <c r="BW20" s="105" t="str">
        <f ca="1"/>
        <v/>
      </c>
    </row>
    <row r="21" spans="1:75" x14ac:dyDescent="0.3">
      <c r="A21" s="1">
        <v>0</v>
      </c>
      <c r="B21" s="106">
        <v>0</v>
      </c>
      <c r="C21" s="14">
        <v>0</v>
      </c>
      <c r="D21" s="14">
        <v>0</v>
      </c>
      <c r="E21" s="14">
        <v>0</v>
      </c>
      <c r="F21" s="453">
        <v>0</v>
      </c>
      <c r="G21" s="377">
        <v>0</v>
      </c>
      <c r="H21" s="453">
        <v>0</v>
      </c>
      <c r="I21" s="453">
        <v>0</v>
      </c>
      <c r="J21" s="453">
        <v>0</v>
      </c>
      <c r="K21" s="453">
        <v>0</v>
      </c>
      <c r="L21" s="453">
        <v>0</v>
      </c>
      <c r="M21" s="453">
        <v>0</v>
      </c>
      <c r="N21" s="453">
        <v>0</v>
      </c>
      <c r="O21" s="453">
        <v>0</v>
      </c>
      <c r="P21" s="14">
        <v>0</v>
      </c>
      <c r="Q21" s="14">
        <v>0</v>
      </c>
      <c r="R21" s="453">
        <v>0</v>
      </c>
      <c r="S21" s="453">
        <v>0</v>
      </c>
      <c r="T21" s="453">
        <v>0</v>
      </c>
      <c r="U21" s="453">
        <v>0</v>
      </c>
      <c r="V21" s="453">
        <v>0</v>
      </c>
      <c r="W21" s="453">
        <v>0</v>
      </c>
      <c r="X21" s="453">
        <v>0</v>
      </c>
      <c r="Y21" s="453">
        <v>0</v>
      </c>
      <c r="Z21" s="453">
        <v>0</v>
      </c>
      <c r="AA21" s="14">
        <v>0</v>
      </c>
      <c r="AB21" s="14">
        <v>0</v>
      </c>
      <c r="AC21" s="453">
        <v>0</v>
      </c>
      <c r="AD21" s="14">
        <v>0</v>
      </c>
      <c r="AE21" s="14">
        <v>0</v>
      </c>
      <c r="AF21" s="14">
        <v>0</v>
      </c>
      <c r="AG21" s="14">
        <v>0</v>
      </c>
      <c r="AH21" s="14">
        <v>0</v>
      </c>
      <c r="AI21" s="14">
        <v>0</v>
      </c>
      <c r="AJ21" s="14">
        <v>0</v>
      </c>
      <c r="AK21" s="14">
        <v>0</v>
      </c>
      <c r="AL21" s="14">
        <v>0</v>
      </c>
      <c r="AM21" s="453">
        <v>0</v>
      </c>
      <c r="AN21" s="453">
        <v>0</v>
      </c>
      <c r="AO21" s="453">
        <v>0</v>
      </c>
      <c r="AP21" s="453">
        <v>0</v>
      </c>
      <c r="AQ21" s="453">
        <v>0</v>
      </c>
      <c r="AR21" s="453">
        <v>0</v>
      </c>
      <c r="AS21" s="453">
        <v>0</v>
      </c>
      <c r="AT21" s="453">
        <v>0</v>
      </c>
      <c r="AU21" s="453">
        <v>0</v>
      </c>
      <c r="AV21" s="453">
        <v>0</v>
      </c>
      <c r="AW21" s="453">
        <v>0</v>
      </c>
      <c r="AX21" s="453">
        <v>0</v>
      </c>
      <c r="AY21" s="453">
        <v>0</v>
      </c>
      <c r="AZ21" s="453">
        <v>0</v>
      </c>
      <c r="BA21" s="453">
        <v>0</v>
      </c>
      <c r="BB21" s="453">
        <v>0</v>
      </c>
      <c r="BC21" s="453">
        <v>0</v>
      </c>
      <c r="BD21" s="453">
        <v>0</v>
      </c>
      <c r="BE21" s="105">
        <v>0</v>
      </c>
      <c r="BF21" s="453">
        <v>0</v>
      </c>
      <c r="BG21" s="453">
        <v>0</v>
      </c>
      <c r="BH21" s="105">
        <v>0</v>
      </c>
      <c r="BI21" s="453">
        <v>0</v>
      </c>
      <c r="BJ21" s="453">
        <v>0</v>
      </c>
      <c r="BK21" s="105">
        <v>0</v>
      </c>
      <c r="BL21" s="453">
        <v>0</v>
      </c>
      <c r="BM21" s="453">
        <v>0</v>
      </c>
      <c r="BN21" s="453">
        <v>0</v>
      </c>
      <c r="BO21" s="453">
        <v>0</v>
      </c>
      <c r="BP21" s="453">
        <v>0</v>
      </c>
      <c r="BQ21" s="453">
        <v>0</v>
      </c>
      <c r="BR21" s="14">
        <v>0</v>
      </c>
      <c r="BS21" s="14">
        <v>0</v>
      </c>
      <c r="BT21" s="377" t="str">
        <v/>
      </c>
      <c r="BU21" s="105" t="str">
        <v/>
      </c>
      <c r="BV21" s="453" t="str">
        <v/>
      </c>
      <c r="BW21" s="105" t="str">
        <f ca="1"/>
        <v/>
      </c>
    </row>
    <row r="22" spans="1:75" x14ac:dyDescent="0.3">
      <c r="A22" s="1">
        <v>0</v>
      </c>
      <c r="B22" s="106">
        <v>0</v>
      </c>
      <c r="C22" s="14">
        <v>0</v>
      </c>
      <c r="D22" s="14">
        <v>0</v>
      </c>
      <c r="E22" s="14">
        <v>0</v>
      </c>
      <c r="F22" s="453">
        <v>0</v>
      </c>
      <c r="G22" s="377">
        <v>0</v>
      </c>
      <c r="H22" s="453">
        <v>0</v>
      </c>
      <c r="I22" s="453">
        <v>0</v>
      </c>
      <c r="J22" s="453">
        <v>0</v>
      </c>
      <c r="K22" s="453">
        <v>0</v>
      </c>
      <c r="L22" s="453">
        <v>0</v>
      </c>
      <c r="M22" s="453">
        <v>0</v>
      </c>
      <c r="N22" s="453">
        <v>0</v>
      </c>
      <c r="O22" s="453">
        <v>0</v>
      </c>
      <c r="P22" s="14">
        <v>0</v>
      </c>
      <c r="Q22" s="14">
        <v>0</v>
      </c>
      <c r="R22" s="453">
        <v>0</v>
      </c>
      <c r="S22" s="453">
        <v>0</v>
      </c>
      <c r="T22" s="453">
        <v>0</v>
      </c>
      <c r="U22" s="453">
        <v>0</v>
      </c>
      <c r="V22" s="453">
        <v>0</v>
      </c>
      <c r="W22" s="453">
        <v>0</v>
      </c>
      <c r="X22" s="453">
        <v>0</v>
      </c>
      <c r="Y22" s="453">
        <v>0</v>
      </c>
      <c r="Z22" s="453">
        <v>0</v>
      </c>
      <c r="AA22" s="14">
        <v>0</v>
      </c>
      <c r="AB22" s="14">
        <v>0</v>
      </c>
      <c r="AC22" s="453">
        <v>0</v>
      </c>
      <c r="AD22" s="14">
        <v>0</v>
      </c>
      <c r="AE22" s="14">
        <v>0</v>
      </c>
      <c r="AF22" s="14">
        <v>0</v>
      </c>
      <c r="AG22" s="14">
        <v>0</v>
      </c>
      <c r="AH22" s="14">
        <v>0</v>
      </c>
      <c r="AI22" s="14">
        <v>0</v>
      </c>
      <c r="AJ22" s="14">
        <v>0</v>
      </c>
      <c r="AK22" s="14">
        <v>0</v>
      </c>
      <c r="AL22" s="14">
        <v>0</v>
      </c>
      <c r="AM22" s="453">
        <v>0</v>
      </c>
      <c r="AN22" s="453">
        <v>0</v>
      </c>
      <c r="AO22" s="453">
        <v>0</v>
      </c>
      <c r="AP22" s="453">
        <v>0</v>
      </c>
      <c r="AQ22" s="453">
        <v>0</v>
      </c>
      <c r="AR22" s="453">
        <v>0</v>
      </c>
      <c r="AS22" s="453">
        <v>0</v>
      </c>
      <c r="AT22" s="453">
        <v>0</v>
      </c>
      <c r="AU22" s="453">
        <v>0</v>
      </c>
      <c r="AV22" s="453">
        <v>0</v>
      </c>
      <c r="AW22" s="453">
        <v>0</v>
      </c>
      <c r="AX22" s="453">
        <v>0</v>
      </c>
      <c r="AY22" s="453">
        <v>0</v>
      </c>
      <c r="AZ22" s="453">
        <v>0</v>
      </c>
      <c r="BA22" s="453">
        <v>0</v>
      </c>
      <c r="BB22" s="453">
        <v>0</v>
      </c>
      <c r="BC22" s="453">
        <v>0</v>
      </c>
      <c r="BD22" s="453">
        <v>0</v>
      </c>
      <c r="BE22" s="105">
        <v>0</v>
      </c>
      <c r="BF22" s="453">
        <v>0</v>
      </c>
      <c r="BG22" s="453">
        <v>0</v>
      </c>
      <c r="BH22" s="105">
        <v>0</v>
      </c>
      <c r="BI22" s="453">
        <v>0</v>
      </c>
      <c r="BJ22" s="453">
        <v>0</v>
      </c>
      <c r="BK22" s="105">
        <v>0</v>
      </c>
      <c r="BL22" s="453">
        <v>0</v>
      </c>
      <c r="BM22" s="453">
        <v>0</v>
      </c>
      <c r="BN22" s="453">
        <v>0</v>
      </c>
      <c r="BO22" s="453">
        <v>0</v>
      </c>
      <c r="BP22" s="453">
        <v>0</v>
      </c>
      <c r="BQ22" s="453">
        <v>0</v>
      </c>
      <c r="BR22" s="14">
        <v>0</v>
      </c>
      <c r="BS22" s="14">
        <v>0</v>
      </c>
      <c r="BT22" s="377" t="str">
        <v/>
      </c>
      <c r="BU22" s="105" t="str">
        <v/>
      </c>
      <c r="BV22" s="453" t="str">
        <v/>
      </c>
      <c r="BW22" s="105" t="str">
        <f ca="1"/>
        <v/>
      </c>
    </row>
    <row r="23" spans="1:75" x14ac:dyDescent="0.3">
      <c r="A23" s="1">
        <v>0</v>
      </c>
      <c r="B23" s="106">
        <v>0</v>
      </c>
      <c r="C23" s="14">
        <v>0</v>
      </c>
      <c r="D23" s="14">
        <v>0</v>
      </c>
      <c r="E23" s="14">
        <v>0</v>
      </c>
      <c r="F23" s="453">
        <v>0</v>
      </c>
      <c r="G23" s="377">
        <v>0</v>
      </c>
      <c r="H23" s="453">
        <v>0</v>
      </c>
      <c r="I23" s="453">
        <v>0</v>
      </c>
      <c r="J23" s="453">
        <v>0</v>
      </c>
      <c r="K23" s="453">
        <v>0</v>
      </c>
      <c r="L23" s="453">
        <v>0</v>
      </c>
      <c r="M23" s="453">
        <v>0</v>
      </c>
      <c r="N23" s="453">
        <v>0</v>
      </c>
      <c r="O23" s="453">
        <v>0</v>
      </c>
      <c r="P23" s="14">
        <v>0</v>
      </c>
      <c r="Q23" s="14">
        <v>0</v>
      </c>
      <c r="R23" s="453">
        <v>0</v>
      </c>
      <c r="S23" s="453">
        <v>0</v>
      </c>
      <c r="T23" s="453">
        <v>0</v>
      </c>
      <c r="U23" s="453">
        <v>0</v>
      </c>
      <c r="V23" s="453">
        <v>0</v>
      </c>
      <c r="W23" s="453">
        <v>0</v>
      </c>
      <c r="X23" s="453">
        <v>0</v>
      </c>
      <c r="Y23" s="453">
        <v>0</v>
      </c>
      <c r="Z23" s="453">
        <v>0</v>
      </c>
      <c r="AA23" s="14">
        <v>0</v>
      </c>
      <c r="AB23" s="14">
        <v>0</v>
      </c>
      <c r="AC23" s="453">
        <v>0</v>
      </c>
      <c r="AD23" s="14">
        <v>0</v>
      </c>
      <c r="AE23" s="14">
        <v>0</v>
      </c>
      <c r="AF23" s="14">
        <v>0</v>
      </c>
      <c r="AG23" s="14">
        <v>0</v>
      </c>
      <c r="AH23" s="14">
        <v>0</v>
      </c>
      <c r="AI23" s="14">
        <v>0</v>
      </c>
      <c r="AJ23" s="14">
        <v>0</v>
      </c>
      <c r="AK23" s="14">
        <v>0</v>
      </c>
      <c r="AL23" s="14">
        <v>0</v>
      </c>
      <c r="AM23" s="453">
        <v>0</v>
      </c>
      <c r="AN23" s="453">
        <v>0</v>
      </c>
      <c r="AO23" s="453">
        <v>0</v>
      </c>
      <c r="AP23" s="453">
        <v>0</v>
      </c>
      <c r="AQ23" s="453">
        <v>0</v>
      </c>
      <c r="AR23" s="453">
        <v>0</v>
      </c>
      <c r="AS23" s="453">
        <v>0</v>
      </c>
      <c r="AT23" s="453">
        <v>0</v>
      </c>
      <c r="AU23" s="453">
        <v>0</v>
      </c>
      <c r="AV23" s="453">
        <v>0</v>
      </c>
      <c r="AW23" s="453">
        <v>0</v>
      </c>
      <c r="AX23" s="453">
        <v>0</v>
      </c>
      <c r="AY23" s="453">
        <v>0</v>
      </c>
      <c r="AZ23" s="453">
        <v>0</v>
      </c>
      <c r="BA23" s="453">
        <v>0</v>
      </c>
      <c r="BB23" s="453">
        <v>0</v>
      </c>
      <c r="BC23" s="453">
        <v>0</v>
      </c>
      <c r="BD23" s="453">
        <v>0</v>
      </c>
      <c r="BE23" s="105">
        <v>0</v>
      </c>
      <c r="BF23" s="453">
        <v>0</v>
      </c>
      <c r="BG23" s="453">
        <v>0</v>
      </c>
      <c r="BH23" s="105">
        <v>0</v>
      </c>
      <c r="BI23" s="453">
        <v>0</v>
      </c>
      <c r="BJ23" s="453">
        <v>0</v>
      </c>
      <c r="BK23" s="105">
        <v>0</v>
      </c>
      <c r="BL23" s="453">
        <v>0</v>
      </c>
      <c r="BM23" s="453">
        <v>0</v>
      </c>
      <c r="BN23" s="453">
        <v>0</v>
      </c>
      <c r="BO23" s="453">
        <v>0</v>
      </c>
      <c r="BP23" s="453">
        <v>0</v>
      </c>
      <c r="BQ23" s="453">
        <v>0</v>
      </c>
      <c r="BR23" s="14">
        <v>0</v>
      </c>
      <c r="BS23" s="14">
        <v>0</v>
      </c>
      <c r="BT23" s="377" t="str">
        <v/>
      </c>
      <c r="BU23" s="105" t="str">
        <v/>
      </c>
      <c r="BV23" s="453" t="str">
        <v/>
      </c>
      <c r="BW23" s="105" t="str">
        <f ca="1"/>
        <v/>
      </c>
    </row>
    <row r="24" spans="1:75" x14ac:dyDescent="0.3">
      <c r="A24" s="1">
        <v>0</v>
      </c>
      <c r="B24" s="106">
        <v>0</v>
      </c>
      <c r="C24" s="14">
        <v>0</v>
      </c>
      <c r="D24" s="14">
        <v>0</v>
      </c>
      <c r="E24" s="14">
        <v>0</v>
      </c>
      <c r="F24" s="453">
        <v>0</v>
      </c>
      <c r="G24" s="377">
        <v>0</v>
      </c>
      <c r="H24" s="453">
        <v>0</v>
      </c>
      <c r="I24" s="453">
        <v>0</v>
      </c>
      <c r="J24" s="453">
        <v>0</v>
      </c>
      <c r="K24" s="453">
        <v>0</v>
      </c>
      <c r="L24" s="453">
        <v>0</v>
      </c>
      <c r="M24" s="453">
        <v>0</v>
      </c>
      <c r="N24" s="453">
        <v>0</v>
      </c>
      <c r="O24" s="453">
        <v>0</v>
      </c>
      <c r="P24" s="14">
        <v>0</v>
      </c>
      <c r="Q24" s="14">
        <v>0</v>
      </c>
      <c r="R24" s="453">
        <v>0</v>
      </c>
      <c r="S24" s="453">
        <v>0</v>
      </c>
      <c r="T24" s="453">
        <v>0</v>
      </c>
      <c r="U24" s="453">
        <v>0</v>
      </c>
      <c r="V24" s="453">
        <v>0</v>
      </c>
      <c r="W24" s="453">
        <v>0</v>
      </c>
      <c r="X24" s="453">
        <v>0</v>
      </c>
      <c r="Y24" s="453">
        <v>0</v>
      </c>
      <c r="Z24" s="453">
        <v>0</v>
      </c>
      <c r="AA24" s="14">
        <v>0</v>
      </c>
      <c r="AB24" s="14">
        <v>0</v>
      </c>
      <c r="AC24" s="453">
        <v>0</v>
      </c>
      <c r="AD24" s="14">
        <v>0</v>
      </c>
      <c r="AE24" s="14">
        <v>0</v>
      </c>
      <c r="AF24" s="14">
        <v>0</v>
      </c>
      <c r="AG24" s="14">
        <v>0</v>
      </c>
      <c r="AH24" s="14">
        <v>0</v>
      </c>
      <c r="AI24" s="14">
        <v>0</v>
      </c>
      <c r="AJ24" s="14">
        <v>0</v>
      </c>
      <c r="AK24" s="14">
        <v>0</v>
      </c>
      <c r="AL24" s="14">
        <v>0</v>
      </c>
      <c r="AM24" s="453">
        <v>0</v>
      </c>
      <c r="AN24" s="453">
        <v>0</v>
      </c>
      <c r="AO24" s="453">
        <v>0</v>
      </c>
      <c r="AP24" s="453">
        <v>0</v>
      </c>
      <c r="AQ24" s="453">
        <v>0</v>
      </c>
      <c r="AR24" s="453">
        <v>0</v>
      </c>
      <c r="AS24" s="453">
        <v>0</v>
      </c>
      <c r="AT24" s="453">
        <v>0</v>
      </c>
      <c r="AU24" s="453">
        <v>0</v>
      </c>
      <c r="AV24" s="453">
        <v>0</v>
      </c>
      <c r="AW24" s="453">
        <v>0</v>
      </c>
      <c r="AX24" s="453">
        <v>0</v>
      </c>
      <c r="AY24" s="453">
        <v>0</v>
      </c>
      <c r="AZ24" s="453">
        <v>0</v>
      </c>
      <c r="BA24" s="453">
        <v>0</v>
      </c>
      <c r="BB24" s="453">
        <v>0</v>
      </c>
      <c r="BC24" s="453">
        <v>0</v>
      </c>
      <c r="BD24" s="453">
        <v>0</v>
      </c>
      <c r="BE24" s="105">
        <v>0</v>
      </c>
      <c r="BF24" s="453">
        <v>0</v>
      </c>
      <c r="BG24" s="453">
        <v>0</v>
      </c>
      <c r="BH24" s="105">
        <v>0</v>
      </c>
      <c r="BI24" s="453">
        <v>0</v>
      </c>
      <c r="BJ24" s="453">
        <v>0</v>
      </c>
      <c r="BK24" s="105">
        <v>0</v>
      </c>
      <c r="BL24" s="453">
        <v>0</v>
      </c>
      <c r="BM24" s="453">
        <v>0</v>
      </c>
      <c r="BN24" s="453">
        <v>0</v>
      </c>
      <c r="BO24" s="453">
        <v>0</v>
      </c>
      <c r="BP24" s="453">
        <v>0</v>
      </c>
      <c r="BQ24" s="453">
        <v>0</v>
      </c>
      <c r="BR24" s="14">
        <v>0</v>
      </c>
      <c r="BS24" s="14">
        <v>0</v>
      </c>
      <c r="BT24" s="377" t="str">
        <v/>
      </c>
      <c r="BU24" s="105" t="str">
        <v/>
      </c>
      <c r="BV24" s="453" t="str">
        <v/>
      </c>
      <c r="BW24" s="105" t="str">
        <f ca="1"/>
        <v/>
      </c>
    </row>
    <row r="25" spans="1:75" x14ac:dyDescent="0.3">
      <c r="A25" s="1">
        <v>0</v>
      </c>
      <c r="B25" s="106">
        <v>0</v>
      </c>
      <c r="C25" s="14">
        <v>0</v>
      </c>
      <c r="D25" s="14">
        <v>0</v>
      </c>
      <c r="E25" s="14">
        <v>0</v>
      </c>
      <c r="F25" s="453">
        <v>0</v>
      </c>
      <c r="G25" s="377">
        <v>0</v>
      </c>
      <c r="H25" s="453">
        <v>0</v>
      </c>
      <c r="I25" s="453">
        <v>0</v>
      </c>
      <c r="J25" s="453">
        <v>0</v>
      </c>
      <c r="K25" s="453">
        <v>0</v>
      </c>
      <c r="L25" s="453">
        <v>0</v>
      </c>
      <c r="M25" s="453">
        <v>0</v>
      </c>
      <c r="N25" s="453">
        <v>0</v>
      </c>
      <c r="O25" s="453">
        <v>0</v>
      </c>
      <c r="P25" s="14">
        <v>0</v>
      </c>
      <c r="Q25" s="14">
        <v>0</v>
      </c>
      <c r="R25" s="453">
        <v>0</v>
      </c>
      <c r="S25" s="453">
        <v>0</v>
      </c>
      <c r="T25" s="453">
        <v>0</v>
      </c>
      <c r="U25" s="453">
        <v>0</v>
      </c>
      <c r="V25" s="453">
        <v>0</v>
      </c>
      <c r="W25" s="453">
        <v>0</v>
      </c>
      <c r="X25" s="453">
        <v>0</v>
      </c>
      <c r="Y25" s="453">
        <v>0</v>
      </c>
      <c r="Z25" s="453">
        <v>0</v>
      </c>
      <c r="AA25" s="14">
        <v>0</v>
      </c>
      <c r="AB25" s="14">
        <v>0</v>
      </c>
      <c r="AC25" s="453">
        <v>0</v>
      </c>
      <c r="AD25" s="14">
        <v>0</v>
      </c>
      <c r="AE25" s="14">
        <v>0</v>
      </c>
      <c r="AF25" s="14">
        <v>0</v>
      </c>
      <c r="AG25" s="14">
        <v>0</v>
      </c>
      <c r="AH25" s="14">
        <v>0</v>
      </c>
      <c r="AI25" s="14">
        <v>0</v>
      </c>
      <c r="AJ25" s="14">
        <v>0</v>
      </c>
      <c r="AK25" s="14">
        <v>0</v>
      </c>
      <c r="AL25" s="14">
        <v>0</v>
      </c>
      <c r="AM25" s="453">
        <v>0</v>
      </c>
      <c r="AN25" s="453">
        <v>0</v>
      </c>
      <c r="AO25" s="453">
        <v>0</v>
      </c>
      <c r="AP25" s="453">
        <v>0</v>
      </c>
      <c r="AQ25" s="453">
        <v>0</v>
      </c>
      <c r="AR25" s="453">
        <v>0</v>
      </c>
      <c r="AS25" s="453">
        <v>0</v>
      </c>
      <c r="AT25" s="453">
        <v>0</v>
      </c>
      <c r="AU25" s="453">
        <v>0</v>
      </c>
      <c r="AV25" s="453">
        <v>0</v>
      </c>
      <c r="AW25" s="453">
        <v>0</v>
      </c>
      <c r="AX25" s="453">
        <v>0</v>
      </c>
      <c r="AY25" s="453">
        <v>0</v>
      </c>
      <c r="AZ25" s="453">
        <v>0</v>
      </c>
      <c r="BA25" s="453">
        <v>0</v>
      </c>
      <c r="BB25" s="453">
        <v>0</v>
      </c>
      <c r="BC25" s="453">
        <v>0</v>
      </c>
      <c r="BD25" s="453">
        <v>0</v>
      </c>
      <c r="BE25" s="105">
        <v>0</v>
      </c>
      <c r="BF25" s="453">
        <v>0</v>
      </c>
      <c r="BG25" s="453">
        <v>0</v>
      </c>
      <c r="BH25" s="105">
        <v>0</v>
      </c>
      <c r="BI25" s="453">
        <v>0</v>
      </c>
      <c r="BJ25" s="453">
        <v>0</v>
      </c>
      <c r="BK25" s="105">
        <v>0</v>
      </c>
      <c r="BL25" s="453">
        <v>0</v>
      </c>
      <c r="BM25" s="453">
        <v>0</v>
      </c>
      <c r="BN25" s="453">
        <v>0</v>
      </c>
      <c r="BO25" s="453">
        <v>0</v>
      </c>
      <c r="BP25" s="453">
        <v>0</v>
      </c>
      <c r="BQ25" s="453">
        <v>0</v>
      </c>
      <c r="BR25" s="14">
        <v>0</v>
      </c>
      <c r="BS25" s="14">
        <v>0</v>
      </c>
      <c r="BT25" s="377" t="str">
        <v/>
      </c>
      <c r="BU25" s="105" t="str">
        <v/>
      </c>
      <c r="BV25" s="453" t="str">
        <v/>
      </c>
      <c r="BW25" s="105" t="str">
        <f ca="1"/>
        <v/>
      </c>
    </row>
    <row r="26" spans="1:75" x14ac:dyDescent="0.3">
      <c r="A26" s="1">
        <v>0</v>
      </c>
      <c r="B26" s="106">
        <v>0</v>
      </c>
      <c r="C26" s="14">
        <v>0</v>
      </c>
      <c r="D26" s="14">
        <v>0</v>
      </c>
      <c r="E26" s="14">
        <v>0</v>
      </c>
      <c r="F26" s="453">
        <v>0</v>
      </c>
      <c r="G26" s="377">
        <v>0</v>
      </c>
      <c r="H26" s="453">
        <v>0</v>
      </c>
      <c r="I26" s="453">
        <v>0</v>
      </c>
      <c r="J26" s="453">
        <v>0</v>
      </c>
      <c r="K26" s="453">
        <v>0</v>
      </c>
      <c r="L26" s="453">
        <v>0</v>
      </c>
      <c r="M26" s="453">
        <v>0</v>
      </c>
      <c r="N26" s="453">
        <v>0</v>
      </c>
      <c r="O26" s="453">
        <v>0</v>
      </c>
      <c r="P26" s="14">
        <v>0</v>
      </c>
      <c r="Q26" s="14">
        <v>0</v>
      </c>
      <c r="R26" s="453">
        <v>0</v>
      </c>
      <c r="S26" s="453">
        <v>0</v>
      </c>
      <c r="T26" s="453">
        <v>0</v>
      </c>
      <c r="U26" s="453">
        <v>0</v>
      </c>
      <c r="V26" s="453">
        <v>0</v>
      </c>
      <c r="W26" s="453">
        <v>0</v>
      </c>
      <c r="X26" s="453">
        <v>0</v>
      </c>
      <c r="Y26" s="453">
        <v>0</v>
      </c>
      <c r="Z26" s="453">
        <v>0</v>
      </c>
      <c r="AA26" s="14">
        <v>0</v>
      </c>
      <c r="AB26" s="14">
        <v>0</v>
      </c>
      <c r="AC26" s="453">
        <v>0</v>
      </c>
      <c r="AD26" s="14">
        <v>0</v>
      </c>
      <c r="AE26" s="14">
        <v>0</v>
      </c>
      <c r="AF26" s="14">
        <v>0</v>
      </c>
      <c r="AG26" s="14">
        <v>0</v>
      </c>
      <c r="AH26" s="14">
        <v>0</v>
      </c>
      <c r="AI26" s="14">
        <v>0</v>
      </c>
      <c r="AJ26" s="14">
        <v>0</v>
      </c>
      <c r="AK26" s="14">
        <v>0</v>
      </c>
      <c r="AL26" s="14">
        <v>0</v>
      </c>
      <c r="AM26" s="453">
        <v>0</v>
      </c>
      <c r="AN26" s="453">
        <v>0</v>
      </c>
      <c r="AO26" s="453">
        <v>0</v>
      </c>
      <c r="AP26" s="453">
        <v>0</v>
      </c>
      <c r="AQ26" s="453">
        <v>0</v>
      </c>
      <c r="AR26" s="453">
        <v>0</v>
      </c>
      <c r="AS26" s="453">
        <v>0</v>
      </c>
      <c r="AT26" s="453">
        <v>0</v>
      </c>
      <c r="AU26" s="453">
        <v>0</v>
      </c>
      <c r="AV26" s="453">
        <v>0</v>
      </c>
      <c r="AW26" s="453">
        <v>0</v>
      </c>
      <c r="AX26" s="453">
        <v>0</v>
      </c>
      <c r="AY26" s="453">
        <v>0</v>
      </c>
      <c r="AZ26" s="453">
        <v>0</v>
      </c>
      <c r="BA26" s="453">
        <v>0</v>
      </c>
      <c r="BB26" s="453">
        <v>0</v>
      </c>
      <c r="BC26" s="453">
        <v>0</v>
      </c>
      <c r="BD26" s="453">
        <v>0</v>
      </c>
      <c r="BE26" s="105">
        <v>0</v>
      </c>
      <c r="BF26" s="453">
        <v>0</v>
      </c>
      <c r="BG26" s="453">
        <v>0</v>
      </c>
      <c r="BH26" s="105">
        <v>0</v>
      </c>
      <c r="BI26" s="453">
        <v>0</v>
      </c>
      <c r="BJ26" s="453">
        <v>0</v>
      </c>
      <c r="BK26" s="105">
        <v>0</v>
      </c>
      <c r="BL26" s="453">
        <v>0</v>
      </c>
      <c r="BM26" s="453">
        <v>0</v>
      </c>
      <c r="BN26" s="453">
        <v>0</v>
      </c>
      <c r="BO26" s="453">
        <v>0</v>
      </c>
      <c r="BP26" s="453">
        <v>0</v>
      </c>
      <c r="BQ26" s="453">
        <v>0</v>
      </c>
      <c r="BR26" s="14">
        <v>0</v>
      </c>
      <c r="BS26" s="14">
        <v>0</v>
      </c>
      <c r="BT26" s="377" t="str">
        <v/>
      </c>
      <c r="BU26" s="105" t="str">
        <v/>
      </c>
      <c r="BV26" s="453" t="str">
        <v/>
      </c>
      <c r="BW26" s="105" t="str">
        <f ca="1"/>
        <v/>
      </c>
    </row>
    <row r="27" spans="1:75" x14ac:dyDescent="0.3">
      <c r="A27" s="1">
        <v>0</v>
      </c>
      <c r="B27" s="106">
        <v>0</v>
      </c>
      <c r="C27" s="14">
        <v>0</v>
      </c>
      <c r="D27" s="14">
        <v>0</v>
      </c>
      <c r="E27" s="14">
        <v>0</v>
      </c>
      <c r="F27" s="453">
        <v>0</v>
      </c>
      <c r="G27" s="377">
        <v>0</v>
      </c>
      <c r="H27" s="453">
        <v>0</v>
      </c>
      <c r="I27" s="453">
        <v>0</v>
      </c>
      <c r="J27" s="453">
        <v>0</v>
      </c>
      <c r="K27" s="453">
        <v>0</v>
      </c>
      <c r="L27" s="453">
        <v>0</v>
      </c>
      <c r="M27" s="453">
        <v>0</v>
      </c>
      <c r="N27" s="453">
        <v>0</v>
      </c>
      <c r="O27" s="453">
        <v>0</v>
      </c>
      <c r="P27" s="14">
        <v>0</v>
      </c>
      <c r="Q27" s="14">
        <v>0</v>
      </c>
      <c r="R27" s="453">
        <v>0</v>
      </c>
      <c r="S27" s="453">
        <v>0</v>
      </c>
      <c r="T27" s="453">
        <v>0</v>
      </c>
      <c r="U27" s="453">
        <v>0</v>
      </c>
      <c r="V27" s="453">
        <v>0</v>
      </c>
      <c r="W27" s="453">
        <v>0</v>
      </c>
      <c r="X27" s="453">
        <v>0</v>
      </c>
      <c r="Y27" s="453">
        <v>0</v>
      </c>
      <c r="Z27" s="453">
        <v>0</v>
      </c>
      <c r="AA27" s="14">
        <v>0</v>
      </c>
      <c r="AB27" s="14">
        <v>0</v>
      </c>
      <c r="AC27" s="453">
        <v>0</v>
      </c>
      <c r="AD27" s="14">
        <v>0</v>
      </c>
      <c r="AE27" s="14">
        <v>0</v>
      </c>
      <c r="AF27" s="14">
        <v>0</v>
      </c>
      <c r="AG27" s="14">
        <v>0</v>
      </c>
      <c r="AH27" s="14">
        <v>0</v>
      </c>
      <c r="AI27" s="14">
        <v>0</v>
      </c>
      <c r="AJ27" s="14">
        <v>0</v>
      </c>
      <c r="AK27" s="14">
        <v>0</v>
      </c>
      <c r="AL27" s="14">
        <v>0</v>
      </c>
      <c r="AM27" s="453">
        <v>0</v>
      </c>
      <c r="AN27" s="453">
        <v>0</v>
      </c>
      <c r="AO27" s="453">
        <v>0</v>
      </c>
      <c r="AP27" s="453">
        <v>0</v>
      </c>
      <c r="AQ27" s="453">
        <v>0</v>
      </c>
      <c r="AR27" s="453">
        <v>0</v>
      </c>
      <c r="AS27" s="453">
        <v>0</v>
      </c>
      <c r="AT27" s="453">
        <v>0</v>
      </c>
      <c r="AU27" s="453">
        <v>0</v>
      </c>
      <c r="AV27" s="453">
        <v>0</v>
      </c>
      <c r="AW27" s="453">
        <v>0</v>
      </c>
      <c r="AX27" s="453">
        <v>0</v>
      </c>
      <c r="AY27" s="453">
        <v>0</v>
      </c>
      <c r="AZ27" s="453">
        <v>0</v>
      </c>
      <c r="BA27" s="453">
        <v>0</v>
      </c>
      <c r="BB27" s="453">
        <v>0</v>
      </c>
      <c r="BC27" s="453">
        <v>0</v>
      </c>
      <c r="BD27" s="453">
        <v>0</v>
      </c>
      <c r="BE27" s="105">
        <v>0</v>
      </c>
      <c r="BF27" s="453">
        <v>0</v>
      </c>
      <c r="BG27" s="453">
        <v>0</v>
      </c>
      <c r="BH27" s="105">
        <v>0</v>
      </c>
      <c r="BI27" s="453">
        <v>0</v>
      </c>
      <c r="BJ27" s="453">
        <v>0</v>
      </c>
      <c r="BK27" s="105">
        <v>0</v>
      </c>
      <c r="BL27" s="453">
        <v>0</v>
      </c>
      <c r="BM27" s="453">
        <v>0</v>
      </c>
      <c r="BN27" s="453">
        <v>0</v>
      </c>
      <c r="BO27" s="453">
        <v>0</v>
      </c>
      <c r="BP27" s="453">
        <v>0</v>
      </c>
      <c r="BQ27" s="453">
        <v>0</v>
      </c>
      <c r="BR27" s="14">
        <v>0</v>
      </c>
      <c r="BS27" s="14">
        <v>0</v>
      </c>
      <c r="BT27" s="377" t="str">
        <v/>
      </c>
      <c r="BU27" s="105" t="str">
        <v/>
      </c>
      <c r="BV27" s="453" t="str">
        <v/>
      </c>
      <c r="BW27" s="105" t="str">
        <f ca="1"/>
        <v/>
      </c>
    </row>
    <row r="28" spans="1:75" x14ac:dyDescent="0.3">
      <c r="A28" s="1">
        <v>0</v>
      </c>
      <c r="B28" s="106">
        <v>0</v>
      </c>
      <c r="C28" s="14">
        <v>0</v>
      </c>
      <c r="D28" s="14">
        <v>0</v>
      </c>
      <c r="E28" s="14">
        <v>0</v>
      </c>
      <c r="F28" s="453">
        <v>0</v>
      </c>
      <c r="G28" s="377">
        <v>0</v>
      </c>
      <c r="H28" s="453">
        <v>0</v>
      </c>
      <c r="I28" s="453">
        <v>0</v>
      </c>
      <c r="J28" s="453">
        <v>0</v>
      </c>
      <c r="K28" s="453">
        <v>0</v>
      </c>
      <c r="L28" s="453">
        <v>0</v>
      </c>
      <c r="M28" s="453">
        <v>0</v>
      </c>
      <c r="N28" s="453">
        <v>0</v>
      </c>
      <c r="O28" s="453">
        <v>0</v>
      </c>
      <c r="P28" s="14">
        <v>0</v>
      </c>
      <c r="Q28" s="14">
        <v>0</v>
      </c>
      <c r="R28" s="453">
        <v>0</v>
      </c>
      <c r="S28" s="453">
        <v>0</v>
      </c>
      <c r="T28" s="453">
        <v>0</v>
      </c>
      <c r="U28" s="453">
        <v>0</v>
      </c>
      <c r="V28" s="453">
        <v>0</v>
      </c>
      <c r="W28" s="453">
        <v>0</v>
      </c>
      <c r="X28" s="453">
        <v>0</v>
      </c>
      <c r="Y28" s="453">
        <v>0</v>
      </c>
      <c r="Z28" s="453">
        <v>0</v>
      </c>
      <c r="AA28" s="14">
        <v>0</v>
      </c>
      <c r="AB28" s="14">
        <v>0</v>
      </c>
      <c r="AC28" s="453">
        <v>0</v>
      </c>
      <c r="AD28" s="14">
        <v>0</v>
      </c>
      <c r="AE28" s="14">
        <v>0</v>
      </c>
      <c r="AF28" s="14">
        <v>0</v>
      </c>
      <c r="AG28" s="14">
        <v>0</v>
      </c>
      <c r="AH28" s="14">
        <v>0</v>
      </c>
      <c r="AI28" s="14">
        <v>0</v>
      </c>
      <c r="AJ28" s="14">
        <v>0</v>
      </c>
      <c r="AK28" s="14">
        <v>0</v>
      </c>
      <c r="AL28" s="14">
        <v>0</v>
      </c>
      <c r="AM28" s="453">
        <v>0</v>
      </c>
      <c r="AN28" s="453">
        <v>0</v>
      </c>
      <c r="AO28" s="453">
        <v>0</v>
      </c>
      <c r="AP28" s="453">
        <v>0</v>
      </c>
      <c r="AQ28" s="453">
        <v>0</v>
      </c>
      <c r="AR28" s="453">
        <v>0</v>
      </c>
      <c r="AS28" s="453">
        <v>0</v>
      </c>
      <c r="AT28" s="453">
        <v>0</v>
      </c>
      <c r="AU28" s="453">
        <v>0</v>
      </c>
      <c r="AV28" s="453">
        <v>0</v>
      </c>
      <c r="AW28" s="453">
        <v>0</v>
      </c>
      <c r="AX28" s="453">
        <v>0</v>
      </c>
      <c r="AY28" s="453">
        <v>0</v>
      </c>
      <c r="AZ28" s="453">
        <v>0</v>
      </c>
      <c r="BA28" s="453">
        <v>0</v>
      </c>
      <c r="BB28" s="453">
        <v>0</v>
      </c>
      <c r="BC28" s="453">
        <v>0</v>
      </c>
      <c r="BD28" s="453">
        <v>0</v>
      </c>
      <c r="BE28" s="105">
        <v>0</v>
      </c>
      <c r="BF28" s="453">
        <v>0</v>
      </c>
      <c r="BG28" s="453">
        <v>0</v>
      </c>
      <c r="BH28" s="105">
        <v>0</v>
      </c>
      <c r="BI28" s="453">
        <v>0</v>
      </c>
      <c r="BJ28" s="453">
        <v>0</v>
      </c>
      <c r="BK28" s="105">
        <v>0</v>
      </c>
      <c r="BL28" s="453">
        <v>0</v>
      </c>
      <c r="BM28" s="453">
        <v>0</v>
      </c>
      <c r="BN28" s="453">
        <v>0</v>
      </c>
      <c r="BO28" s="453">
        <v>0</v>
      </c>
      <c r="BP28" s="453">
        <v>0</v>
      </c>
      <c r="BQ28" s="453">
        <v>0</v>
      </c>
      <c r="BR28" s="14">
        <v>0</v>
      </c>
      <c r="BS28" s="14">
        <v>0</v>
      </c>
      <c r="BT28" s="377" t="str">
        <v/>
      </c>
      <c r="BU28" s="105" t="str">
        <v/>
      </c>
      <c r="BV28" s="453" t="str">
        <v/>
      </c>
      <c r="BW28" s="105" t="str">
        <f ca="1"/>
        <v/>
      </c>
    </row>
    <row r="29" spans="1:75" x14ac:dyDescent="0.3">
      <c r="A29" s="1">
        <v>0</v>
      </c>
      <c r="B29" s="106">
        <v>0</v>
      </c>
      <c r="C29" s="14">
        <v>0</v>
      </c>
      <c r="D29" s="14">
        <v>0</v>
      </c>
      <c r="E29" s="14">
        <v>0</v>
      </c>
      <c r="F29" s="453">
        <v>0</v>
      </c>
      <c r="G29" s="377">
        <v>0</v>
      </c>
      <c r="H29" s="453">
        <v>0</v>
      </c>
      <c r="I29" s="453">
        <v>0</v>
      </c>
      <c r="J29" s="453">
        <v>0</v>
      </c>
      <c r="K29" s="453">
        <v>0</v>
      </c>
      <c r="L29" s="453">
        <v>0</v>
      </c>
      <c r="M29" s="453">
        <v>0</v>
      </c>
      <c r="N29" s="453">
        <v>0</v>
      </c>
      <c r="O29" s="453">
        <v>0</v>
      </c>
      <c r="P29" s="14">
        <v>0</v>
      </c>
      <c r="Q29" s="14">
        <v>0</v>
      </c>
      <c r="R29" s="453">
        <v>0</v>
      </c>
      <c r="S29" s="453">
        <v>0</v>
      </c>
      <c r="T29" s="453">
        <v>0</v>
      </c>
      <c r="U29" s="453">
        <v>0</v>
      </c>
      <c r="V29" s="453">
        <v>0</v>
      </c>
      <c r="W29" s="453">
        <v>0</v>
      </c>
      <c r="X29" s="453">
        <v>0</v>
      </c>
      <c r="Y29" s="453">
        <v>0</v>
      </c>
      <c r="Z29" s="453">
        <v>0</v>
      </c>
      <c r="AA29" s="14">
        <v>0</v>
      </c>
      <c r="AB29" s="14">
        <v>0</v>
      </c>
      <c r="AC29" s="453">
        <v>0</v>
      </c>
      <c r="AD29" s="14">
        <v>0</v>
      </c>
      <c r="AE29" s="14">
        <v>0</v>
      </c>
      <c r="AF29" s="14">
        <v>0</v>
      </c>
      <c r="AG29" s="14">
        <v>0</v>
      </c>
      <c r="AH29" s="14">
        <v>0</v>
      </c>
      <c r="AI29" s="14">
        <v>0</v>
      </c>
      <c r="AJ29" s="14">
        <v>0</v>
      </c>
      <c r="AK29" s="14">
        <v>0</v>
      </c>
      <c r="AL29" s="14">
        <v>0</v>
      </c>
      <c r="AM29" s="453">
        <v>0</v>
      </c>
      <c r="AN29" s="453">
        <v>0</v>
      </c>
      <c r="AO29" s="453">
        <v>0</v>
      </c>
      <c r="AP29" s="453">
        <v>0</v>
      </c>
      <c r="AQ29" s="453">
        <v>0</v>
      </c>
      <c r="AR29" s="453">
        <v>0</v>
      </c>
      <c r="AS29" s="453">
        <v>0</v>
      </c>
      <c r="AT29" s="453">
        <v>0</v>
      </c>
      <c r="AU29" s="453">
        <v>0</v>
      </c>
      <c r="AV29" s="453">
        <v>0</v>
      </c>
      <c r="AW29" s="453">
        <v>0</v>
      </c>
      <c r="AX29" s="453">
        <v>0</v>
      </c>
      <c r="AY29" s="453">
        <v>0</v>
      </c>
      <c r="AZ29" s="453">
        <v>0</v>
      </c>
      <c r="BA29" s="453">
        <v>0</v>
      </c>
      <c r="BB29" s="453">
        <v>0</v>
      </c>
      <c r="BC29" s="453">
        <v>0</v>
      </c>
      <c r="BD29" s="453">
        <v>0</v>
      </c>
      <c r="BE29" s="105">
        <v>0</v>
      </c>
      <c r="BF29" s="453">
        <v>0</v>
      </c>
      <c r="BG29" s="453">
        <v>0</v>
      </c>
      <c r="BH29" s="105">
        <v>0</v>
      </c>
      <c r="BI29" s="453">
        <v>0</v>
      </c>
      <c r="BJ29" s="453">
        <v>0</v>
      </c>
      <c r="BK29" s="105">
        <v>0</v>
      </c>
      <c r="BL29" s="453">
        <v>0</v>
      </c>
      <c r="BM29" s="453">
        <v>0</v>
      </c>
      <c r="BN29" s="453">
        <v>0</v>
      </c>
      <c r="BO29" s="453">
        <v>0</v>
      </c>
      <c r="BP29" s="453">
        <v>0</v>
      </c>
      <c r="BQ29" s="453">
        <v>0</v>
      </c>
      <c r="BR29" s="14">
        <v>0</v>
      </c>
      <c r="BS29" s="14">
        <v>0</v>
      </c>
      <c r="BT29" s="377" t="str">
        <v/>
      </c>
      <c r="BU29" s="105" t="str">
        <v/>
      </c>
      <c r="BV29" s="453" t="str">
        <v/>
      </c>
      <c r="BW29" s="105" t="str">
        <f ca="1"/>
        <v/>
      </c>
    </row>
    <row r="30" spans="1:75" x14ac:dyDescent="0.3">
      <c r="A30" s="1">
        <v>0</v>
      </c>
      <c r="B30" s="106">
        <v>0</v>
      </c>
      <c r="C30" s="14">
        <v>0</v>
      </c>
      <c r="D30" s="14">
        <v>0</v>
      </c>
      <c r="E30" s="14">
        <v>0</v>
      </c>
      <c r="F30" s="453">
        <v>0</v>
      </c>
      <c r="G30" s="377">
        <v>0</v>
      </c>
      <c r="H30" s="453">
        <v>0</v>
      </c>
      <c r="I30" s="453">
        <v>0</v>
      </c>
      <c r="J30" s="453">
        <v>0</v>
      </c>
      <c r="K30" s="453">
        <v>0</v>
      </c>
      <c r="L30" s="453">
        <v>0</v>
      </c>
      <c r="M30" s="453">
        <v>0</v>
      </c>
      <c r="N30" s="453">
        <v>0</v>
      </c>
      <c r="O30" s="453">
        <v>0</v>
      </c>
      <c r="P30" s="14">
        <v>0</v>
      </c>
      <c r="Q30" s="14">
        <v>0</v>
      </c>
      <c r="R30" s="453">
        <v>0</v>
      </c>
      <c r="S30" s="453">
        <v>0</v>
      </c>
      <c r="T30" s="453">
        <v>0</v>
      </c>
      <c r="U30" s="453">
        <v>0</v>
      </c>
      <c r="V30" s="453">
        <v>0</v>
      </c>
      <c r="W30" s="453">
        <v>0</v>
      </c>
      <c r="X30" s="453">
        <v>0</v>
      </c>
      <c r="Y30" s="453">
        <v>0</v>
      </c>
      <c r="Z30" s="453">
        <v>0</v>
      </c>
      <c r="AA30" s="14">
        <v>0</v>
      </c>
      <c r="AB30" s="14">
        <v>0</v>
      </c>
      <c r="AC30" s="453">
        <v>0</v>
      </c>
      <c r="AD30" s="14">
        <v>0</v>
      </c>
      <c r="AE30" s="14">
        <v>0</v>
      </c>
      <c r="AF30" s="14">
        <v>0</v>
      </c>
      <c r="AG30" s="14">
        <v>0</v>
      </c>
      <c r="AH30" s="14">
        <v>0</v>
      </c>
      <c r="AI30" s="14">
        <v>0</v>
      </c>
      <c r="AJ30" s="14">
        <v>0</v>
      </c>
      <c r="AK30" s="14">
        <v>0</v>
      </c>
      <c r="AL30" s="14">
        <v>0</v>
      </c>
      <c r="AM30" s="453">
        <v>0</v>
      </c>
      <c r="AN30" s="453">
        <v>0</v>
      </c>
      <c r="AO30" s="453">
        <v>0</v>
      </c>
      <c r="AP30" s="453">
        <v>0</v>
      </c>
      <c r="AQ30" s="453">
        <v>0</v>
      </c>
      <c r="AR30" s="453">
        <v>0</v>
      </c>
      <c r="AS30" s="453">
        <v>0</v>
      </c>
      <c r="AT30" s="453">
        <v>0</v>
      </c>
      <c r="AU30" s="453">
        <v>0</v>
      </c>
      <c r="AV30" s="453">
        <v>0</v>
      </c>
      <c r="AW30" s="453">
        <v>0</v>
      </c>
      <c r="AX30" s="453">
        <v>0</v>
      </c>
      <c r="AY30" s="453">
        <v>0</v>
      </c>
      <c r="AZ30" s="453">
        <v>0</v>
      </c>
      <c r="BA30" s="453">
        <v>0</v>
      </c>
      <c r="BB30" s="453">
        <v>0</v>
      </c>
      <c r="BC30" s="453">
        <v>0</v>
      </c>
      <c r="BD30" s="453">
        <v>0</v>
      </c>
      <c r="BE30" s="105">
        <v>0</v>
      </c>
      <c r="BF30" s="453">
        <v>0</v>
      </c>
      <c r="BG30" s="453">
        <v>0</v>
      </c>
      <c r="BH30" s="105">
        <v>0</v>
      </c>
      <c r="BI30" s="453">
        <v>0</v>
      </c>
      <c r="BJ30" s="453">
        <v>0</v>
      </c>
      <c r="BK30" s="105">
        <v>0</v>
      </c>
      <c r="BL30" s="453">
        <v>0</v>
      </c>
      <c r="BM30" s="453">
        <v>0</v>
      </c>
      <c r="BN30" s="453">
        <v>0</v>
      </c>
      <c r="BO30" s="453">
        <v>0</v>
      </c>
      <c r="BP30" s="453">
        <v>0</v>
      </c>
      <c r="BQ30" s="453">
        <v>0</v>
      </c>
      <c r="BR30" s="14">
        <v>0</v>
      </c>
      <c r="BS30" s="14">
        <v>0</v>
      </c>
      <c r="BT30" s="377" t="str">
        <v/>
      </c>
      <c r="BU30" s="105" t="str">
        <v/>
      </c>
      <c r="BV30" s="453" t="str">
        <v/>
      </c>
      <c r="BW30" s="105" t="str">
        <f ca="1"/>
        <v/>
      </c>
    </row>
    <row r="31" spans="1:75" x14ac:dyDescent="0.3">
      <c r="A31" s="1">
        <v>0</v>
      </c>
      <c r="B31" s="106">
        <v>0</v>
      </c>
      <c r="C31" s="14">
        <v>0</v>
      </c>
      <c r="D31" s="14">
        <v>0</v>
      </c>
      <c r="E31" s="14">
        <v>0</v>
      </c>
      <c r="F31" s="453">
        <v>0</v>
      </c>
      <c r="G31" s="377">
        <v>0</v>
      </c>
      <c r="H31" s="453">
        <v>0</v>
      </c>
      <c r="I31" s="453">
        <v>0</v>
      </c>
      <c r="J31" s="453">
        <v>0</v>
      </c>
      <c r="K31" s="453">
        <v>0</v>
      </c>
      <c r="L31" s="453">
        <v>0</v>
      </c>
      <c r="M31" s="453">
        <v>0</v>
      </c>
      <c r="N31" s="453">
        <v>0</v>
      </c>
      <c r="O31" s="453">
        <v>0</v>
      </c>
      <c r="P31" s="14">
        <v>0</v>
      </c>
      <c r="Q31" s="14">
        <v>0</v>
      </c>
      <c r="R31" s="453">
        <v>0</v>
      </c>
      <c r="S31" s="453">
        <v>0</v>
      </c>
      <c r="T31" s="453">
        <v>0</v>
      </c>
      <c r="U31" s="453">
        <v>0</v>
      </c>
      <c r="V31" s="453">
        <v>0</v>
      </c>
      <c r="W31" s="453">
        <v>0</v>
      </c>
      <c r="X31" s="453">
        <v>0</v>
      </c>
      <c r="Y31" s="453">
        <v>0</v>
      </c>
      <c r="Z31" s="453">
        <v>0</v>
      </c>
      <c r="AA31" s="14">
        <v>0</v>
      </c>
      <c r="AB31" s="14">
        <v>0</v>
      </c>
      <c r="AC31" s="453">
        <v>0</v>
      </c>
      <c r="AD31" s="14">
        <v>0</v>
      </c>
      <c r="AE31" s="14">
        <v>0</v>
      </c>
      <c r="AF31" s="14">
        <v>0</v>
      </c>
      <c r="AG31" s="14">
        <v>0</v>
      </c>
      <c r="AH31" s="14">
        <v>0</v>
      </c>
      <c r="AI31" s="14">
        <v>0</v>
      </c>
      <c r="AJ31" s="14">
        <v>0</v>
      </c>
      <c r="AK31" s="14">
        <v>0</v>
      </c>
      <c r="AL31" s="14">
        <v>0</v>
      </c>
      <c r="AM31" s="453">
        <v>0</v>
      </c>
      <c r="AN31" s="453">
        <v>0</v>
      </c>
      <c r="AO31" s="453">
        <v>0</v>
      </c>
      <c r="AP31" s="453">
        <v>0</v>
      </c>
      <c r="AQ31" s="453">
        <v>0</v>
      </c>
      <c r="AR31" s="453">
        <v>0</v>
      </c>
      <c r="AS31" s="453">
        <v>0</v>
      </c>
      <c r="AT31" s="453">
        <v>0</v>
      </c>
      <c r="AU31" s="453">
        <v>0</v>
      </c>
      <c r="AV31" s="453">
        <v>0</v>
      </c>
      <c r="AW31" s="453">
        <v>0</v>
      </c>
      <c r="AX31" s="453">
        <v>0</v>
      </c>
      <c r="AY31" s="453">
        <v>0</v>
      </c>
      <c r="AZ31" s="453">
        <v>0</v>
      </c>
      <c r="BA31" s="453">
        <v>0</v>
      </c>
      <c r="BB31" s="453">
        <v>0</v>
      </c>
      <c r="BC31" s="453">
        <v>0</v>
      </c>
      <c r="BD31" s="453">
        <v>0</v>
      </c>
      <c r="BE31" s="105">
        <v>0</v>
      </c>
      <c r="BF31" s="453">
        <v>0</v>
      </c>
      <c r="BG31" s="453">
        <v>0</v>
      </c>
      <c r="BH31" s="105">
        <v>0</v>
      </c>
      <c r="BI31" s="453">
        <v>0</v>
      </c>
      <c r="BJ31" s="453">
        <v>0</v>
      </c>
      <c r="BK31" s="105">
        <v>0</v>
      </c>
      <c r="BL31" s="453">
        <v>0</v>
      </c>
      <c r="BM31" s="453">
        <v>0</v>
      </c>
      <c r="BN31" s="453">
        <v>0</v>
      </c>
      <c r="BO31" s="453">
        <v>0</v>
      </c>
      <c r="BP31" s="453">
        <v>0</v>
      </c>
      <c r="BQ31" s="453">
        <v>0</v>
      </c>
      <c r="BR31" s="14">
        <v>0</v>
      </c>
      <c r="BS31" s="14">
        <v>0</v>
      </c>
      <c r="BT31" s="377" t="str">
        <v/>
      </c>
      <c r="BU31" s="105" t="str">
        <v/>
      </c>
      <c r="BV31" s="453" t="str">
        <v/>
      </c>
      <c r="BW31" s="105" t="str">
        <f ca="1"/>
        <v/>
      </c>
    </row>
    <row r="32" spans="1:75" x14ac:dyDescent="0.3">
      <c r="A32" s="1">
        <v>0</v>
      </c>
      <c r="B32" s="106">
        <v>0</v>
      </c>
      <c r="C32" s="14">
        <v>0</v>
      </c>
      <c r="D32" s="14">
        <v>0</v>
      </c>
      <c r="E32" s="14">
        <v>0</v>
      </c>
      <c r="F32" s="453">
        <v>0</v>
      </c>
      <c r="G32" s="377">
        <v>0</v>
      </c>
      <c r="H32" s="453">
        <v>0</v>
      </c>
      <c r="I32" s="453">
        <v>0</v>
      </c>
      <c r="J32" s="453">
        <v>0</v>
      </c>
      <c r="K32" s="453">
        <v>0</v>
      </c>
      <c r="L32" s="453">
        <v>0</v>
      </c>
      <c r="M32" s="453">
        <v>0</v>
      </c>
      <c r="N32" s="453">
        <v>0</v>
      </c>
      <c r="O32" s="453">
        <v>0</v>
      </c>
      <c r="P32" s="14">
        <v>0</v>
      </c>
      <c r="Q32" s="14">
        <v>0</v>
      </c>
      <c r="R32" s="453">
        <v>0</v>
      </c>
      <c r="S32" s="453">
        <v>0</v>
      </c>
      <c r="T32" s="453">
        <v>0</v>
      </c>
      <c r="U32" s="453">
        <v>0</v>
      </c>
      <c r="V32" s="453">
        <v>0</v>
      </c>
      <c r="W32" s="453">
        <v>0</v>
      </c>
      <c r="X32" s="453">
        <v>0</v>
      </c>
      <c r="Y32" s="453">
        <v>0</v>
      </c>
      <c r="Z32" s="453">
        <v>0</v>
      </c>
      <c r="AA32" s="14">
        <v>0</v>
      </c>
      <c r="AB32" s="14">
        <v>0</v>
      </c>
      <c r="AC32" s="453">
        <v>0</v>
      </c>
      <c r="AD32" s="14">
        <v>0</v>
      </c>
      <c r="AE32" s="14">
        <v>0</v>
      </c>
      <c r="AF32" s="14">
        <v>0</v>
      </c>
      <c r="AG32" s="14">
        <v>0</v>
      </c>
      <c r="AH32" s="14">
        <v>0</v>
      </c>
      <c r="AI32" s="14">
        <v>0</v>
      </c>
      <c r="AJ32" s="14">
        <v>0</v>
      </c>
      <c r="AK32" s="14">
        <v>0</v>
      </c>
      <c r="AL32" s="14">
        <v>0</v>
      </c>
      <c r="AM32" s="453">
        <v>0</v>
      </c>
      <c r="AN32" s="453">
        <v>0</v>
      </c>
      <c r="AO32" s="453">
        <v>0</v>
      </c>
      <c r="AP32" s="453">
        <v>0</v>
      </c>
      <c r="AQ32" s="453">
        <v>0</v>
      </c>
      <c r="AR32" s="453">
        <v>0</v>
      </c>
      <c r="AS32" s="453">
        <v>0</v>
      </c>
      <c r="AT32" s="453">
        <v>0</v>
      </c>
      <c r="AU32" s="453">
        <v>0</v>
      </c>
      <c r="AV32" s="453">
        <v>0</v>
      </c>
      <c r="AW32" s="453">
        <v>0</v>
      </c>
      <c r="AX32" s="453">
        <v>0</v>
      </c>
      <c r="AY32" s="453">
        <v>0</v>
      </c>
      <c r="AZ32" s="453">
        <v>0</v>
      </c>
      <c r="BA32" s="453">
        <v>0</v>
      </c>
      <c r="BB32" s="453">
        <v>0</v>
      </c>
      <c r="BC32" s="453">
        <v>0</v>
      </c>
      <c r="BD32" s="453">
        <v>0</v>
      </c>
      <c r="BE32" s="105">
        <v>0</v>
      </c>
      <c r="BF32" s="453">
        <v>0</v>
      </c>
      <c r="BG32" s="453">
        <v>0</v>
      </c>
      <c r="BH32" s="105">
        <v>0</v>
      </c>
      <c r="BI32" s="453">
        <v>0</v>
      </c>
      <c r="BJ32" s="453">
        <v>0</v>
      </c>
      <c r="BK32" s="105">
        <v>0</v>
      </c>
      <c r="BL32" s="453">
        <v>0</v>
      </c>
      <c r="BM32" s="453">
        <v>0</v>
      </c>
      <c r="BN32" s="453">
        <v>0</v>
      </c>
      <c r="BO32" s="453">
        <v>0</v>
      </c>
      <c r="BP32" s="453">
        <v>0</v>
      </c>
      <c r="BQ32" s="453">
        <v>0</v>
      </c>
      <c r="BR32" s="14">
        <v>0</v>
      </c>
      <c r="BS32" s="14">
        <v>0</v>
      </c>
      <c r="BT32" s="377" t="str">
        <v/>
      </c>
      <c r="BU32" s="105" t="str">
        <v/>
      </c>
      <c r="BV32" s="453" t="str">
        <v/>
      </c>
      <c r="BW32" s="105" t="str">
        <f ca="1"/>
        <v/>
      </c>
    </row>
    <row r="33" spans="1:75" x14ac:dyDescent="0.3">
      <c r="A33" s="1">
        <v>0</v>
      </c>
      <c r="B33" s="106">
        <v>0</v>
      </c>
      <c r="C33" s="14">
        <v>0</v>
      </c>
      <c r="D33" s="14">
        <v>0</v>
      </c>
      <c r="E33" s="14">
        <v>0</v>
      </c>
      <c r="F33" s="453">
        <v>0</v>
      </c>
      <c r="G33" s="377">
        <v>0</v>
      </c>
      <c r="H33" s="453">
        <v>0</v>
      </c>
      <c r="I33" s="453">
        <v>0</v>
      </c>
      <c r="J33" s="453">
        <v>0</v>
      </c>
      <c r="K33" s="453">
        <v>0</v>
      </c>
      <c r="L33" s="453">
        <v>0</v>
      </c>
      <c r="M33" s="453">
        <v>0</v>
      </c>
      <c r="N33" s="453">
        <v>0</v>
      </c>
      <c r="O33" s="453">
        <v>0</v>
      </c>
      <c r="P33" s="14">
        <v>0</v>
      </c>
      <c r="Q33" s="14">
        <v>0</v>
      </c>
      <c r="R33" s="453">
        <v>0</v>
      </c>
      <c r="S33" s="453">
        <v>0</v>
      </c>
      <c r="T33" s="453">
        <v>0</v>
      </c>
      <c r="U33" s="453">
        <v>0</v>
      </c>
      <c r="V33" s="453">
        <v>0</v>
      </c>
      <c r="W33" s="453">
        <v>0</v>
      </c>
      <c r="X33" s="453">
        <v>0</v>
      </c>
      <c r="Y33" s="453">
        <v>0</v>
      </c>
      <c r="Z33" s="453">
        <v>0</v>
      </c>
      <c r="AA33" s="14">
        <v>0</v>
      </c>
      <c r="AB33" s="14">
        <v>0</v>
      </c>
      <c r="AC33" s="453">
        <v>0</v>
      </c>
      <c r="AD33" s="14">
        <v>0</v>
      </c>
      <c r="AE33" s="14">
        <v>0</v>
      </c>
      <c r="AF33" s="14">
        <v>0</v>
      </c>
      <c r="AG33" s="14">
        <v>0</v>
      </c>
      <c r="AH33" s="14">
        <v>0</v>
      </c>
      <c r="AI33" s="14">
        <v>0</v>
      </c>
      <c r="AJ33" s="14">
        <v>0</v>
      </c>
      <c r="AK33" s="14">
        <v>0</v>
      </c>
      <c r="AL33" s="14">
        <v>0</v>
      </c>
      <c r="AM33" s="453">
        <v>0</v>
      </c>
      <c r="AN33" s="453">
        <v>0</v>
      </c>
      <c r="AO33" s="453">
        <v>0</v>
      </c>
      <c r="AP33" s="453">
        <v>0</v>
      </c>
      <c r="AQ33" s="453">
        <v>0</v>
      </c>
      <c r="AR33" s="453">
        <v>0</v>
      </c>
      <c r="AS33" s="453">
        <v>0</v>
      </c>
      <c r="AT33" s="453">
        <v>0</v>
      </c>
      <c r="AU33" s="453">
        <v>0</v>
      </c>
      <c r="AV33" s="453">
        <v>0</v>
      </c>
      <c r="AW33" s="453">
        <v>0</v>
      </c>
      <c r="AX33" s="453">
        <v>0</v>
      </c>
      <c r="AY33" s="453">
        <v>0</v>
      </c>
      <c r="AZ33" s="453">
        <v>0</v>
      </c>
      <c r="BA33" s="453">
        <v>0</v>
      </c>
      <c r="BB33" s="453">
        <v>0</v>
      </c>
      <c r="BC33" s="453">
        <v>0</v>
      </c>
      <c r="BD33" s="453">
        <v>0</v>
      </c>
      <c r="BE33" s="105">
        <v>0</v>
      </c>
      <c r="BF33" s="453">
        <v>0</v>
      </c>
      <c r="BG33" s="453">
        <v>0</v>
      </c>
      <c r="BH33" s="105">
        <v>0</v>
      </c>
      <c r="BI33" s="453">
        <v>0</v>
      </c>
      <c r="BJ33" s="453">
        <v>0</v>
      </c>
      <c r="BK33" s="105">
        <v>0</v>
      </c>
      <c r="BL33" s="453">
        <v>0</v>
      </c>
      <c r="BM33" s="453">
        <v>0</v>
      </c>
      <c r="BN33" s="453">
        <v>0</v>
      </c>
      <c r="BO33" s="453">
        <v>0</v>
      </c>
      <c r="BP33" s="453">
        <v>0</v>
      </c>
      <c r="BQ33" s="453">
        <v>0</v>
      </c>
      <c r="BR33" s="14">
        <v>0</v>
      </c>
      <c r="BS33" s="14">
        <v>0</v>
      </c>
      <c r="BT33" s="377" t="str">
        <v/>
      </c>
      <c r="BU33" s="105" t="str">
        <v/>
      </c>
      <c r="BV33" s="453" t="str">
        <v/>
      </c>
      <c r="BW33" s="105" t="str">
        <f ca="1"/>
        <v/>
      </c>
    </row>
    <row r="34" spans="1:75" x14ac:dyDescent="0.3">
      <c r="A34" s="1">
        <v>0</v>
      </c>
      <c r="B34" s="106">
        <v>0</v>
      </c>
      <c r="C34" s="14">
        <v>0</v>
      </c>
      <c r="D34" s="14">
        <v>0</v>
      </c>
      <c r="E34" s="14">
        <v>0</v>
      </c>
      <c r="F34" s="453">
        <v>0</v>
      </c>
      <c r="G34" s="377">
        <v>0</v>
      </c>
      <c r="H34" s="453">
        <v>0</v>
      </c>
      <c r="I34" s="453">
        <v>0</v>
      </c>
      <c r="J34" s="453">
        <v>0</v>
      </c>
      <c r="K34" s="453">
        <v>0</v>
      </c>
      <c r="L34" s="453">
        <v>0</v>
      </c>
      <c r="M34" s="453">
        <v>0</v>
      </c>
      <c r="N34" s="453">
        <v>0</v>
      </c>
      <c r="O34" s="453">
        <v>0</v>
      </c>
      <c r="P34" s="14">
        <v>0</v>
      </c>
      <c r="Q34" s="14">
        <v>0</v>
      </c>
      <c r="R34" s="453">
        <v>0</v>
      </c>
      <c r="S34" s="453">
        <v>0</v>
      </c>
      <c r="T34" s="453">
        <v>0</v>
      </c>
      <c r="U34" s="453">
        <v>0</v>
      </c>
      <c r="V34" s="453">
        <v>0</v>
      </c>
      <c r="W34" s="453">
        <v>0</v>
      </c>
      <c r="X34" s="453">
        <v>0</v>
      </c>
      <c r="Y34" s="453">
        <v>0</v>
      </c>
      <c r="Z34" s="453">
        <v>0</v>
      </c>
      <c r="AA34" s="14">
        <v>0</v>
      </c>
      <c r="AB34" s="14">
        <v>0</v>
      </c>
      <c r="AC34" s="453">
        <v>0</v>
      </c>
      <c r="AD34" s="14">
        <v>0</v>
      </c>
      <c r="AE34" s="14">
        <v>0</v>
      </c>
      <c r="AF34" s="14">
        <v>0</v>
      </c>
      <c r="AG34" s="14">
        <v>0</v>
      </c>
      <c r="AH34" s="14">
        <v>0</v>
      </c>
      <c r="AI34" s="14">
        <v>0</v>
      </c>
      <c r="AJ34" s="14">
        <v>0</v>
      </c>
      <c r="AK34" s="14">
        <v>0</v>
      </c>
      <c r="AL34" s="14">
        <v>0</v>
      </c>
      <c r="AM34" s="453">
        <v>0</v>
      </c>
      <c r="AN34" s="453">
        <v>0</v>
      </c>
      <c r="AO34" s="453">
        <v>0</v>
      </c>
      <c r="AP34" s="453">
        <v>0</v>
      </c>
      <c r="AQ34" s="453">
        <v>0</v>
      </c>
      <c r="AR34" s="453">
        <v>0</v>
      </c>
      <c r="AS34" s="453">
        <v>0</v>
      </c>
      <c r="AT34" s="453">
        <v>0</v>
      </c>
      <c r="AU34" s="453">
        <v>0</v>
      </c>
      <c r="AV34" s="453">
        <v>0</v>
      </c>
      <c r="AW34" s="453">
        <v>0</v>
      </c>
      <c r="AX34" s="453">
        <v>0</v>
      </c>
      <c r="AY34" s="453">
        <v>0</v>
      </c>
      <c r="AZ34" s="453">
        <v>0</v>
      </c>
      <c r="BA34" s="453">
        <v>0</v>
      </c>
      <c r="BB34" s="453">
        <v>0</v>
      </c>
      <c r="BC34" s="453">
        <v>0</v>
      </c>
      <c r="BD34" s="453">
        <v>0</v>
      </c>
      <c r="BE34" s="105">
        <v>0</v>
      </c>
      <c r="BF34" s="453">
        <v>0</v>
      </c>
      <c r="BG34" s="453">
        <v>0</v>
      </c>
      <c r="BH34" s="105">
        <v>0</v>
      </c>
      <c r="BI34" s="453">
        <v>0</v>
      </c>
      <c r="BJ34" s="453">
        <v>0</v>
      </c>
      <c r="BK34" s="105">
        <v>0</v>
      </c>
      <c r="BL34" s="453">
        <v>0</v>
      </c>
      <c r="BM34" s="453">
        <v>0</v>
      </c>
      <c r="BN34" s="453">
        <v>0</v>
      </c>
      <c r="BO34" s="453">
        <v>0</v>
      </c>
      <c r="BP34" s="453">
        <v>0</v>
      </c>
      <c r="BQ34" s="453">
        <v>0</v>
      </c>
      <c r="BR34" s="14">
        <v>0</v>
      </c>
      <c r="BS34" s="14">
        <v>0</v>
      </c>
      <c r="BT34" s="377" t="str">
        <v/>
      </c>
      <c r="BU34" s="105" t="str">
        <v/>
      </c>
      <c r="BV34" s="453" t="str">
        <v/>
      </c>
      <c r="BW34" s="105" t="str">
        <f ca="1"/>
        <v/>
      </c>
    </row>
    <row r="35" spans="1:75" x14ac:dyDescent="0.3">
      <c r="A35" s="1">
        <v>0</v>
      </c>
      <c r="B35" s="106">
        <v>0</v>
      </c>
      <c r="C35" s="14">
        <v>0</v>
      </c>
      <c r="D35" s="14">
        <v>0</v>
      </c>
      <c r="E35" s="14">
        <v>0</v>
      </c>
      <c r="F35" s="453">
        <v>0</v>
      </c>
      <c r="G35" s="377">
        <v>0</v>
      </c>
      <c r="H35" s="453">
        <v>0</v>
      </c>
      <c r="I35" s="453">
        <v>0</v>
      </c>
      <c r="J35" s="453">
        <v>0</v>
      </c>
      <c r="K35" s="453">
        <v>0</v>
      </c>
      <c r="L35" s="453">
        <v>0</v>
      </c>
      <c r="M35" s="453">
        <v>0</v>
      </c>
      <c r="N35" s="453">
        <v>0</v>
      </c>
      <c r="O35" s="453">
        <v>0</v>
      </c>
      <c r="P35" s="14">
        <v>0</v>
      </c>
      <c r="Q35" s="14">
        <v>0</v>
      </c>
      <c r="R35" s="453">
        <v>0</v>
      </c>
      <c r="S35" s="453">
        <v>0</v>
      </c>
      <c r="T35" s="453">
        <v>0</v>
      </c>
      <c r="U35" s="453">
        <v>0</v>
      </c>
      <c r="V35" s="453">
        <v>0</v>
      </c>
      <c r="W35" s="453">
        <v>0</v>
      </c>
      <c r="X35" s="453">
        <v>0</v>
      </c>
      <c r="Y35" s="453">
        <v>0</v>
      </c>
      <c r="Z35" s="453">
        <v>0</v>
      </c>
      <c r="AA35" s="14">
        <v>0</v>
      </c>
      <c r="AB35" s="14">
        <v>0</v>
      </c>
      <c r="AC35" s="453">
        <v>0</v>
      </c>
      <c r="AD35" s="14">
        <v>0</v>
      </c>
      <c r="AE35" s="14">
        <v>0</v>
      </c>
      <c r="AF35" s="14">
        <v>0</v>
      </c>
      <c r="AG35" s="14">
        <v>0</v>
      </c>
      <c r="AH35" s="14">
        <v>0</v>
      </c>
      <c r="AI35" s="14">
        <v>0</v>
      </c>
      <c r="AJ35" s="14">
        <v>0</v>
      </c>
      <c r="AK35" s="14">
        <v>0</v>
      </c>
      <c r="AL35" s="14">
        <v>0</v>
      </c>
      <c r="AM35" s="453">
        <v>0</v>
      </c>
      <c r="AN35" s="453">
        <v>0</v>
      </c>
      <c r="AO35" s="453">
        <v>0</v>
      </c>
      <c r="AP35" s="453">
        <v>0</v>
      </c>
      <c r="AQ35" s="453">
        <v>0</v>
      </c>
      <c r="AR35" s="453">
        <v>0</v>
      </c>
      <c r="AS35" s="453">
        <v>0</v>
      </c>
      <c r="AT35" s="453">
        <v>0</v>
      </c>
      <c r="AU35" s="453">
        <v>0</v>
      </c>
      <c r="AV35" s="453">
        <v>0</v>
      </c>
      <c r="AW35" s="453">
        <v>0</v>
      </c>
      <c r="AX35" s="453">
        <v>0</v>
      </c>
      <c r="AY35" s="453">
        <v>0</v>
      </c>
      <c r="AZ35" s="453">
        <v>0</v>
      </c>
      <c r="BA35" s="453">
        <v>0</v>
      </c>
      <c r="BB35" s="453">
        <v>0</v>
      </c>
      <c r="BC35" s="453">
        <v>0</v>
      </c>
      <c r="BD35" s="453">
        <v>0</v>
      </c>
      <c r="BE35" s="105">
        <v>0</v>
      </c>
      <c r="BF35" s="453">
        <v>0</v>
      </c>
      <c r="BG35" s="453">
        <v>0</v>
      </c>
      <c r="BH35" s="105">
        <v>0</v>
      </c>
      <c r="BI35" s="453">
        <v>0</v>
      </c>
      <c r="BJ35" s="453">
        <v>0</v>
      </c>
      <c r="BK35" s="105">
        <v>0</v>
      </c>
      <c r="BL35" s="453">
        <v>0</v>
      </c>
      <c r="BM35" s="453">
        <v>0</v>
      </c>
      <c r="BN35" s="453">
        <v>0</v>
      </c>
      <c r="BO35" s="453">
        <v>0</v>
      </c>
      <c r="BP35" s="453">
        <v>0</v>
      </c>
      <c r="BQ35" s="453">
        <v>0</v>
      </c>
      <c r="BR35" s="14">
        <v>0</v>
      </c>
      <c r="BS35" s="14">
        <v>0</v>
      </c>
      <c r="BT35" s="377" t="str">
        <v/>
      </c>
      <c r="BU35" s="105" t="str">
        <v/>
      </c>
      <c r="BV35" s="453" t="str">
        <v/>
      </c>
      <c r="BW35" s="105" t="str">
        <f ca="1"/>
        <v/>
      </c>
    </row>
    <row r="36" spans="1:75" x14ac:dyDescent="0.3">
      <c r="A36" s="1">
        <v>0</v>
      </c>
      <c r="B36" s="106">
        <v>0</v>
      </c>
      <c r="C36" s="14">
        <v>0</v>
      </c>
      <c r="D36" s="14">
        <v>0</v>
      </c>
      <c r="E36" s="14">
        <v>0</v>
      </c>
      <c r="F36" s="453">
        <v>0</v>
      </c>
      <c r="G36" s="377">
        <v>0</v>
      </c>
      <c r="H36" s="453">
        <v>0</v>
      </c>
      <c r="I36" s="453">
        <v>0</v>
      </c>
      <c r="J36" s="453">
        <v>0</v>
      </c>
      <c r="K36" s="453">
        <v>0</v>
      </c>
      <c r="L36" s="453">
        <v>0</v>
      </c>
      <c r="M36" s="453">
        <v>0</v>
      </c>
      <c r="N36" s="453">
        <v>0</v>
      </c>
      <c r="O36" s="453">
        <v>0</v>
      </c>
      <c r="P36" s="14">
        <v>0</v>
      </c>
      <c r="Q36" s="14">
        <v>0</v>
      </c>
      <c r="R36" s="453">
        <v>0</v>
      </c>
      <c r="S36" s="453">
        <v>0</v>
      </c>
      <c r="T36" s="453">
        <v>0</v>
      </c>
      <c r="U36" s="453">
        <v>0</v>
      </c>
      <c r="V36" s="453">
        <v>0</v>
      </c>
      <c r="W36" s="453">
        <v>0</v>
      </c>
      <c r="X36" s="453">
        <v>0</v>
      </c>
      <c r="Y36" s="453">
        <v>0</v>
      </c>
      <c r="Z36" s="453">
        <v>0</v>
      </c>
      <c r="AA36" s="14">
        <v>0</v>
      </c>
      <c r="AB36" s="14">
        <v>0</v>
      </c>
      <c r="AC36" s="453">
        <v>0</v>
      </c>
      <c r="AD36" s="14">
        <v>0</v>
      </c>
      <c r="AE36" s="14">
        <v>0</v>
      </c>
      <c r="AF36" s="14">
        <v>0</v>
      </c>
      <c r="AG36" s="14">
        <v>0</v>
      </c>
      <c r="AH36" s="14">
        <v>0</v>
      </c>
      <c r="AI36" s="14">
        <v>0</v>
      </c>
      <c r="AJ36" s="14">
        <v>0</v>
      </c>
      <c r="AK36" s="14">
        <v>0</v>
      </c>
      <c r="AL36" s="14">
        <v>0</v>
      </c>
      <c r="AM36" s="453">
        <v>0</v>
      </c>
      <c r="AN36" s="453">
        <v>0</v>
      </c>
      <c r="AO36" s="453">
        <v>0</v>
      </c>
      <c r="AP36" s="453">
        <v>0</v>
      </c>
      <c r="AQ36" s="453">
        <v>0</v>
      </c>
      <c r="AR36" s="453">
        <v>0</v>
      </c>
      <c r="AS36" s="453">
        <v>0</v>
      </c>
      <c r="AT36" s="453">
        <v>0</v>
      </c>
      <c r="AU36" s="453">
        <v>0</v>
      </c>
      <c r="AV36" s="453">
        <v>0</v>
      </c>
      <c r="AW36" s="453">
        <v>0</v>
      </c>
      <c r="AX36" s="453">
        <v>0</v>
      </c>
      <c r="AY36" s="453">
        <v>0</v>
      </c>
      <c r="AZ36" s="453">
        <v>0</v>
      </c>
      <c r="BA36" s="453">
        <v>0</v>
      </c>
      <c r="BB36" s="453">
        <v>0</v>
      </c>
      <c r="BC36" s="453">
        <v>0</v>
      </c>
      <c r="BD36" s="453">
        <v>0</v>
      </c>
      <c r="BE36" s="105">
        <v>0</v>
      </c>
      <c r="BF36" s="453">
        <v>0</v>
      </c>
      <c r="BG36" s="453">
        <v>0</v>
      </c>
      <c r="BH36" s="105">
        <v>0</v>
      </c>
      <c r="BI36" s="453">
        <v>0</v>
      </c>
      <c r="BJ36" s="453">
        <v>0</v>
      </c>
      <c r="BK36" s="105">
        <v>0</v>
      </c>
      <c r="BL36" s="453">
        <v>0</v>
      </c>
      <c r="BM36" s="453">
        <v>0</v>
      </c>
      <c r="BN36" s="453">
        <v>0</v>
      </c>
      <c r="BO36" s="453">
        <v>0</v>
      </c>
      <c r="BP36" s="453">
        <v>0</v>
      </c>
      <c r="BQ36" s="453">
        <v>0</v>
      </c>
      <c r="BR36" s="14">
        <v>0</v>
      </c>
      <c r="BS36" s="14">
        <v>0</v>
      </c>
      <c r="BT36" s="377" t="str">
        <v/>
      </c>
      <c r="BU36" s="105" t="str">
        <v/>
      </c>
      <c r="BV36" s="453" t="str">
        <v/>
      </c>
      <c r="BW36" s="105" t="str">
        <f ca="1"/>
        <v/>
      </c>
    </row>
    <row r="37" spans="1:75" x14ac:dyDescent="0.3">
      <c r="A37" s="1">
        <v>0</v>
      </c>
      <c r="B37" s="106">
        <v>0</v>
      </c>
      <c r="C37" s="14">
        <v>0</v>
      </c>
      <c r="D37" s="14">
        <v>0</v>
      </c>
      <c r="E37" s="14">
        <v>0</v>
      </c>
      <c r="F37" s="453">
        <v>0</v>
      </c>
      <c r="G37" s="377">
        <v>0</v>
      </c>
      <c r="H37" s="453">
        <v>0</v>
      </c>
      <c r="I37" s="453">
        <v>0</v>
      </c>
      <c r="J37" s="453">
        <v>0</v>
      </c>
      <c r="K37" s="453">
        <v>0</v>
      </c>
      <c r="L37" s="453">
        <v>0</v>
      </c>
      <c r="M37" s="453">
        <v>0</v>
      </c>
      <c r="N37" s="453">
        <v>0</v>
      </c>
      <c r="O37" s="453">
        <v>0</v>
      </c>
      <c r="P37" s="14">
        <v>0</v>
      </c>
      <c r="Q37" s="14">
        <v>0</v>
      </c>
      <c r="R37" s="453">
        <v>0</v>
      </c>
      <c r="S37" s="453">
        <v>0</v>
      </c>
      <c r="T37" s="453">
        <v>0</v>
      </c>
      <c r="U37" s="453">
        <v>0</v>
      </c>
      <c r="V37" s="453">
        <v>0</v>
      </c>
      <c r="W37" s="453">
        <v>0</v>
      </c>
      <c r="X37" s="453">
        <v>0</v>
      </c>
      <c r="Y37" s="453">
        <v>0</v>
      </c>
      <c r="Z37" s="453">
        <v>0</v>
      </c>
      <c r="AA37" s="14">
        <v>0</v>
      </c>
      <c r="AB37" s="14">
        <v>0</v>
      </c>
      <c r="AC37" s="453">
        <v>0</v>
      </c>
      <c r="AD37" s="14">
        <v>0</v>
      </c>
      <c r="AE37" s="14">
        <v>0</v>
      </c>
      <c r="AF37" s="14">
        <v>0</v>
      </c>
      <c r="AG37" s="14">
        <v>0</v>
      </c>
      <c r="AH37" s="14">
        <v>0</v>
      </c>
      <c r="AI37" s="14">
        <v>0</v>
      </c>
      <c r="AJ37" s="14">
        <v>0</v>
      </c>
      <c r="AK37" s="14">
        <v>0</v>
      </c>
      <c r="AL37" s="14">
        <v>0</v>
      </c>
      <c r="AM37" s="453">
        <v>0</v>
      </c>
      <c r="AN37" s="453">
        <v>0</v>
      </c>
      <c r="AO37" s="453">
        <v>0</v>
      </c>
      <c r="AP37" s="453">
        <v>0</v>
      </c>
      <c r="AQ37" s="453">
        <v>0</v>
      </c>
      <c r="AR37" s="453">
        <v>0</v>
      </c>
      <c r="AS37" s="453">
        <v>0</v>
      </c>
      <c r="AT37" s="453">
        <v>0</v>
      </c>
      <c r="AU37" s="453">
        <v>0</v>
      </c>
      <c r="AV37" s="453">
        <v>0</v>
      </c>
      <c r="AW37" s="453">
        <v>0</v>
      </c>
      <c r="AX37" s="453">
        <v>0</v>
      </c>
      <c r="AY37" s="453">
        <v>0</v>
      </c>
      <c r="AZ37" s="453">
        <v>0</v>
      </c>
      <c r="BA37" s="453">
        <v>0</v>
      </c>
      <c r="BB37" s="453">
        <v>0</v>
      </c>
      <c r="BC37" s="453">
        <v>0</v>
      </c>
      <c r="BD37" s="453">
        <v>0</v>
      </c>
      <c r="BE37" s="105">
        <v>0</v>
      </c>
      <c r="BF37" s="453">
        <v>0</v>
      </c>
      <c r="BG37" s="453">
        <v>0</v>
      </c>
      <c r="BH37" s="105">
        <v>0</v>
      </c>
      <c r="BI37" s="453">
        <v>0</v>
      </c>
      <c r="BJ37" s="453">
        <v>0</v>
      </c>
      <c r="BK37" s="105">
        <v>0</v>
      </c>
      <c r="BL37" s="453">
        <v>0</v>
      </c>
      <c r="BM37" s="453">
        <v>0</v>
      </c>
      <c r="BN37" s="453">
        <v>0</v>
      </c>
      <c r="BO37" s="453">
        <v>0</v>
      </c>
      <c r="BP37" s="453">
        <v>0</v>
      </c>
      <c r="BQ37" s="453">
        <v>0</v>
      </c>
      <c r="BR37" s="14">
        <v>0</v>
      </c>
      <c r="BS37" s="14">
        <v>0</v>
      </c>
      <c r="BT37" s="377" t="str">
        <v/>
      </c>
      <c r="BU37" s="105" t="str">
        <v/>
      </c>
      <c r="BV37" s="453" t="str">
        <v/>
      </c>
      <c r="BW37" s="105" t="str">
        <f ca="1"/>
        <v/>
      </c>
    </row>
    <row r="38" spans="1:75" x14ac:dyDescent="0.3">
      <c r="A38" s="1">
        <v>0</v>
      </c>
      <c r="B38" s="106">
        <v>0</v>
      </c>
      <c r="C38" s="14">
        <v>0</v>
      </c>
      <c r="D38" s="14">
        <v>0</v>
      </c>
      <c r="E38" s="14">
        <v>0</v>
      </c>
      <c r="F38" s="453">
        <v>0</v>
      </c>
      <c r="G38" s="377">
        <v>0</v>
      </c>
      <c r="H38" s="453">
        <v>0</v>
      </c>
      <c r="I38" s="453">
        <v>0</v>
      </c>
      <c r="J38" s="453">
        <v>0</v>
      </c>
      <c r="K38" s="453">
        <v>0</v>
      </c>
      <c r="L38" s="453">
        <v>0</v>
      </c>
      <c r="M38" s="453">
        <v>0</v>
      </c>
      <c r="N38" s="453">
        <v>0</v>
      </c>
      <c r="O38" s="453">
        <v>0</v>
      </c>
      <c r="P38" s="14">
        <v>0</v>
      </c>
      <c r="Q38" s="14">
        <v>0</v>
      </c>
      <c r="R38" s="453">
        <v>0</v>
      </c>
      <c r="S38" s="453">
        <v>0</v>
      </c>
      <c r="T38" s="453">
        <v>0</v>
      </c>
      <c r="U38" s="453">
        <v>0</v>
      </c>
      <c r="V38" s="453">
        <v>0</v>
      </c>
      <c r="W38" s="453">
        <v>0</v>
      </c>
      <c r="X38" s="453">
        <v>0</v>
      </c>
      <c r="Y38" s="453">
        <v>0</v>
      </c>
      <c r="Z38" s="453">
        <v>0</v>
      </c>
      <c r="AA38" s="14">
        <v>0</v>
      </c>
      <c r="AB38" s="14">
        <v>0</v>
      </c>
      <c r="AC38" s="453">
        <v>0</v>
      </c>
      <c r="AD38" s="14">
        <v>0</v>
      </c>
      <c r="AE38" s="14">
        <v>0</v>
      </c>
      <c r="AF38" s="14">
        <v>0</v>
      </c>
      <c r="AG38" s="14">
        <v>0</v>
      </c>
      <c r="AH38" s="14">
        <v>0</v>
      </c>
      <c r="AI38" s="14">
        <v>0</v>
      </c>
      <c r="AJ38" s="14">
        <v>0</v>
      </c>
      <c r="AK38" s="14">
        <v>0</v>
      </c>
      <c r="AL38" s="14">
        <v>0</v>
      </c>
      <c r="AM38" s="453">
        <v>0</v>
      </c>
      <c r="AN38" s="453">
        <v>0</v>
      </c>
      <c r="AO38" s="453">
        <v>0</v>
      </c>
      <c r="AP38" s="453">
        <v>0</v>
      </c>
      <c r="AQ38" s="453">
        <v>0</v>
      </c>
      <c r="AR38" s="453">
        <v>0</v>
      </c>
      <c r="AS38" s="453">
        <v>0</v>
      </c>
      <c r="AT38" s="453">
        <v>0</v>
      </c>
      <c r="AU38" s="453">
        <v>0</v>
      </c>
      <c r="AV38" s="453">
        <v>0</v>
      </c>
      <c r="AW38" s="453">
        <v>0</v>
      </c>
      <c r="AX38" s="453">
        <v>0</v>
      </c>
      <c r="AY38" s="453">
        <v>0</v>
      </c>
      <c r="AZ38" s="453">
        <v>0</v>
      </c>
      <c r="BA38" s="453">
        <v>0</v>
      </c>
      <c r="BB38" s="453">
        <v>0</v>
      </c>
      <c r="BC38" s="453">
        <v>0</v>
      </c>
      <c r="BD38" s="453">
        <v>0</v>
      </c>
      <c r="BE38" s="105">
        <v>0</v>
      </c>
      <c r="BF38" s="453">
        <v>0</v>
      </c>
      <c r="BG38" s="453">
        <v>0</v>
      </c>
      <c r="BH38" s="105">
        <v>0</v>
      </c>
      <c r="BI38" s="453">
        <v>0</v>
      </c>
      <c r="BJ38" s="453">
        <v>0</v>
      </c>
      <c r="BK38" s="105">
        <v>0</v>
      </c>
      <c r="BL38" s="453">
        <v>0</v>
      </c>
      <c r="BM38" s="453">
        <v>0</v>
      </c>
      <c r="BN38" s="453">
        <v>0</v>
      </c>
      <c r="BO38" s="453">
        <v>0</v>
      </c>
      <c r="BP38" s="453">
        <v>0</v>
      </c>
      <c r="BQ38" s="453">
        <v>0</v>
      </c>
      <c r="BR38" s="14">
        <v>0</v>
      </c>
      <c r="BS38" s="14">
        <v>0</v>
      </c>
      <c r="BT38" s="377" t="str">
        <v/>
      </c>
      <c r="BU38" s="105" t="str">
        <v/>
      </c>
      <c r="BV38" s="453" t="str">
        <v/>
      </c>
      <c r="BW38" s="105" t="str">
        <f ca="1"/>
        <v/>
      </c>
    </row>
    <row r="39" spans="1:75" x14ac:dyDescent="0.3">
      <c r="A39" s="1">
        <v>0</v>
      </c>
      <c r="B39" s="106">
        <v>0</v>
      </c>
      <c r="C39" s="14">
        <v>0</v>
      </c>
      <c r="D39" s="14">
        <v>0</v>
      </c>
      <c r="E39" s="14">
        <v>0</v>
      </c>
      <c r="F39" s="453">
        <v>0</v>
      </c>
      <c r="G39" s="377">
        <v>0</v>
      </c>
      <c r="H39" s="453">
        <v>0</v>
      </c>
      <c r="I39" s="453">
        <v>0</v>
      </c>
      <c r="J39" s="453">
        <v>0</v>
      </c>
      <c r="K39" s="453">
        <v>0</v>
      </c>
      <c r="L39" s="453">
        <v>0</v>
      </c>
      <c r="M39" s="453">
        <v>0</v>
      </c>
      <c r="N39" s="453">
        <v>0</v>
      </c>
      <c r="O39" s="453">
        <v>0</v>
      </c>
      <c r="P39" s="14">
        <v>0</v>
      </c>
      <c r="Q39" s="14">
        <v>0</v>
      </c>
      <c r="R39" s="453">
        <v>0</v>
      </c>
      <c r="S39" s="453">
        <v>0</v>
      </c>
      <c r="T39" s="453">
        <v>0</v>
      </c>
      <c r="U39" s="453">
        <v>0</v>
      </c>
      <c r="V39" s="453">
        <v>0</v>
      </c>
      <c r="W39" s="453">
        <v>0</v>
      </c>
      <c r="X39" s="453">
        <v>0</v>
      </c>
      <c r="Y39" s="453">
        <v>0</v>
      </c>
      <c r="Z39" s="453">
        <v>0</v>
      </c>
      <c r="AA39" s="14">
        <v>0</v>
      </c>
      <c r="AB39" s="14">
        <v>0</v>
      </c>
      <c r="AC39" s="453">
        <v>0</v>
      </c>
      <c r="AD39" s="14">
        <v>0</v>
      </c>
      <c r="AE39" s="14">
        <v>0</v>
      </c>
      <c r="AF39" s="14">
        <v>0</v>
      </c>
      <c r="AG39" s="14">
        <v>0</v>
      </c>
      <c r="AH39" s="14">
        <v>0</v>
      </c>
      <c r="AI39" s="14">
        <v>0</v>
      </c>
      <c r="AJ39" s="14">
        <v>0</v>
      </c>
      <c r="AK39" s="14">
        <v>0</v>
      </c>
      <c r="AL39" s="14">
        <v>0</v>
      </c>
      <c r="AM39" s="453">
        <v>0</v>
      </c>
      <c r="AN39" s="453">
        <v>0</v>
      </c>
      <c r="AO39" s="453">
        <v>0</v>
      </c>
      <c r="AP39" s="453">
        <v>0</v>
      </c>
      <c r="AQ39" s="453">
        <v>0</v>
      </c>
      <c r="AR39" s="453">
        <v>0</v>
      </c>
      <c r="AS39" s="453">
        <v>0</v>
      </c>
      <c r="AT39" s="453">
        <v>0</v>
      </c>
      <c r="AU39" s="453">
        <v>0</v>
      </c>
      <c r="AV39" s="453">
        <v>0</v>
      </c>
      <c r="AW39" s="453">
        <v>0</v>
      </c>
      <c r="AX39" s="453">
        <v>0</v>
      </c>
      <c r="AY39" s="453">
        <v>0</v>
      </c>
      <c r="AZ39" s="453">
        <v>0</v>
      </c>
      <c r="BA39" s="453">
        <v>0</v>
      </c>
      <c r="BB39" s="453">
        <v>0</v>
      </c>
      <c r="BC39" s="453">
        <v>0</v>
      </c>
      <c r="BD39" s="453">
        <v>0</v>
      </c>
      <c r="BE39" s="105">
        <v>0</v>
      </c>
      <c r="BF39" s="453">
        <v>0</v>
      </c>
      <c r="BG39" s="453">
        <v>0</v>
      </c>
      <c r="BH39" s="105">
        <v>0</v>
      </c>
      <c r="BI39" s="453">
        <v>0</v>
      </c>
      <c r="BJ39" s="453">
        <v>0</v>
      </c>
      <c r="BK39" s="105">
        <v>0</v>
      </c>
      <c r="BL39" s="453">
        <v>0</v>
      </c>
      <c r="BM39" s="453">
        <v>0</v>
      </c>
      <c r="BN39" s="453">
        <v>0</v>
      </c>
      <c r="BO39" s="453">
        <v>0</v>
      </c>
      <c r="BP39" s="453">
        <v>0</v>
      </c>
      <c r="BQ39" s="453">
        <v>0</v>
      </c>
      <c r="BR39" s="14">
        <v>0</v>
      </c>
      <c r="BS39" s="14">
        <v>0</v>
      </c>
      <c r="BT39" s="377" t="str">
        <v/>
      </c>
      <c r="BU39" s="105" t="str">
        <v/>
      </c>
      <c r="BV39" s="453" t="str">
        <v/>
      </c>
      <c r="BW39" s="105" t="str">
        <f ca="1"/>
        <v/>
      </c>
    </row>
    <row r="40" spans="1:75" x14ac:dyDescent="0.3">
      <c r="A40" s="1">
        <v>0</v>
      </c>
      <c r="B40" s="106">
        <v>0</v>
      </c>
      <c r="C40" s="14">
        <v>0</v>
      </c>
      <c r="D40" s="14">
        <v>0</v>
      </c>
      <c r="E40" s="14">
        <v>0</v>
      </c>
      <c r="F40" s="453">
        <v>0</v>
      </c>
      <c r="G40" s="377">
        <v>0</v>
      </c>
      <c r="H40" s="453">
        <v>0</v>
      </c>
      <c r="I40" s="453">
        <v>0</v>
      </c>
      <c r="J40" s="453">
        <v>0</v>
      </c>
      <c r="K40" s="453">
        <v>0</v>
      </c>
      <c r="L40" s="453">
        <v>0</v>
      </c>
      <c r="M40" s="453">
        <v>0</v>
      </c>
      <c r="N40" s="453">
        <v>0</v>
      </c>
      <c r="O40" s="453">
        <v>0</v>
      </c>
      <c r="P40" s="14">
        <v>0</v>
      </c>
      <c r="Q40" s="14">
        <v>0</v>
      </c>
      <c r="R40" s="453">
        <v>0</v>
      </c>
      <c r="S40" s="453">
        <v>0</v>
      </c>
      <c r="T40" s="453">
        <v>0</v>
      </c>
      <c r="U40" s="453">
        <v>0</v>
      </c>
      <c r="V40" s="453">
        <v>0</v>
      </c>
      <c r="W40" s="453">
        <v>0</v>
      </c>
      <c r="X40" s="453">
        <v>0</v>
      </c>
      <c r="Y40" s="453">
        <v>0</v>
      </c>
      <c r="Z40" s="453">
        <v>0</v>
      </c>
      <c r="AA40" s="14">
        <v>0</v>
      </c>
      <c r="AB40" s="14">
        <v>0</v>
      </c>
      <c r="AC40" s="453">
        <v>0</v>
      </c>
      <c r="AD40" s="14">
        <v>0</v>
      </c>
      <c r="AE40" s="14">
        <v>0</v>
      </c>
      <c r="AF40" s="14">
        <v>0</v>
      </c>
      <c r="AG40" s="14">
        <v>0</v>
      </c>
      <c r="AH40" s="14">
        <v>0</v>
      </c>
      <c r="AI40" s="14">
        <v>0</v>
      </c>
      <c r="AJ40" s="14">
        <v>0</v>
      </c>
      <c r="AK40" s="14">
        <v>0</v>
      </c>
      <c r="AL40" s="14">
        <v>0</v>
      </c>
      <c r="AM40" s="453">
        <v>0</v>
      </c>
      <c r="AN40" s="453">
        <v>0</v>
      </c>
      <c r="AO40" s="453">
        <v>0</v>
      </c>
      <c r="AP40" s="453">
        <v>0</v>
      </c>
      <c r="AQ40" s="453">
        <v>0</v>
      </c>
      <c r="AR40" s="453">
        <v>0</v>
      </c>
      <c r="AS40" s="453">
        <v>0</v>
      </c>
      <c r="AT40" s="453">
        <v>0</v>
      </c>
      <c r="AU40" s="453">
        <v>0</v>
      </c>
      <c r="AV40" s="453">
        <v>0</v>
      </c>
      <c r="AW40" s="453">
        <v>0</v>
      </c>
      <c r="AX40" s="453">
        <v>0</v>
      </c>
      <c r="AY40" s="453">
        <v>0</v>
      </c>
      <c r="AZ40" s="453">
        <v>0</v>
      </c>
      <c r="BA40" s="453">
        <v>0</v>
      </c>
      <c r="BB40" s="453">
        <v>0</v>
      </c>
      <c r="BC40" s="453">
        <v>0</v>
      </c>
      <c r="BD40" s="453">
        <v>0</v>
      </c>
      <c r="BE40" s="105">
        <v>0</v>
      </c>
      <c r="BF40" s="453">
        <v>0</v>
      </c>
      <c r="BG40" s="453">
        <v>0</v>
      </c>
      <c r="BH40" s="105">
        <v>0</v>
      </c>
      <c r="BI40" s="453">
        <v>0</v>
      </c>
      <c r="BJ40" s="453">
        <v>0</v>
      </c>
      <c r="BK40" s="105">
        <v>0</v>
      </c>
      <c r="BL40" s="453">
        <v>0</v>
      </c>
      <c r="BM40" s="453">
        <v>0</v>
      </c>
      <c r="BN40" s="453">
        <v>0</v>
      </c>
      <c r="BO40" s="453">
        <v>0</v>
      </c>
      <c r="BP40" s="453">
        <v>0</v>
      </c>
      <c r="BQ40" s="453">
        <v>0</v>
      </c>
      <c r="BR40" s="14">
        <v>0</v>
      </c>
      <c r="BS40" s="14">
        <v>0</v>
      </c>
      <c r="BT40" s="377" t="str">
        <v/>
      </c>
      <c r="BU40" s="105" t="str">
        <v/>
      </c>
      <c r="BV40" s="453" t="str">
        <v/>
      </c>
      <c r="BW40" s="105" t="str">
        <f ca="1"/>
        <v/>
      </c>
    </row>
    <row r="41" spans="1:75" x14ac:dyDescent="0.3">
      <c r="A41" s="1">
        <v>0</v>
      </c>
      <c r="B41" s="106">
        <v>0</v>
      </c>
      <c r="C41" s="14">
        <v>0</v>
      </c>
      <c r="D41" s="14">
        <v>0</v>
      </c>
      <c r="E41" s="14">
        <v>0</v>
      </c>
      <c r="F41" s="453">
        <v>0</v>
      </c>
      <c r="G41" s="377">
        <v>0</v>
      </c>
      <c r="H41" s="453">
        <v>0</v>
      </c>
      <c r="I41" s="453">
        <v>0</v>
      </c>
      <c r="J41" s="453">
        <v>0</v>
      </c>
      <c r="K41" s="453">
        <v>0</v>
      </c>
      <c r="L41" s="453">
        <v>0</v>
      </c>
      <c r="M41" s="453">
        <v>0</v>
      </c>
      <c r="N41" s="453">
        <v>0</v>
      </c>
      <c r="O41" s="453">
        <v>0</v>
      </c>
      <c r="P41" s="14">
        <v>0</v>
      </c>
      <c r="Q41" s="14">
        <v>0</v>
      </c>
      <c r="R41" s="453">
        <v>0</v>
      </c>
      <c r="S41" s="453">
        <v>0</v>
      </c>
      <c r="T41" s="453">
        <v>0</v>
      </c>
      <c r="U41" s="453">
        <v>0</v>
      </c>
      <c r="V41" s="453">
        <v>0</v>
      </c>
      <c r="W41" s="453">
        <v>0</v>
      </c>
      <c r="X41" s="453">
        <v>0</v>
      </c>
      <c r="Y41" s="453">
        <v>0</v>
      </c>
      <c r="Z41" s="453">
        <v>0</v>
      </c>
      <c r="AA41" s="14">
        <v>0</v>
      </c>
      <c r="AB41" s="14">
        <v>0</v>
      </c>
      <c r="AC41" s="453">
        <v>0</v>
      </c>
      <c r="AD41" s="14">
        <v>0</v>
      </c>
      <c r="AE41" s="14">
        <v>0</v>
      </c>
      <c r="AF41" s="14">
        <v>0</v>
      </c>
      <c r="AG41" s="14">
        <v>0</v>
      </c>
      <c r="AH41" s="14">
        <v>0</v>
      </c>
      <c r="AI41" s="14">
        <v>0</v>
      </c>
      <c r="AJ41" s="14">
        <v>0</v>
      </c>
      <c r="AK41" s="14">
        <v>0</v>
      </c>
      <c r="AL41" s="14">
        <v>0</v>
      </c>
      <c r="AM41" s="453">
        <v>0</v>
      </c>
      <c r="AN41" s="453">
        <v>0</v>
      </c>
      <c r="AO41" s="453">
        <v>0</v>
      </c>
      <c r="AP41" s="453">
        <v>0</v>
      </c>
      <c r="AQ41" s="453">
        <v>0</v>
      </c>
      <c r="AR41" s="453">
        <v>0</v>
      </c>
      <c r="AS41" s="453">
        <v>0</v>
      </c>
      <c r="AT41" s="453">
        <v>0</v>
      </c>
      <c r="AU41" s="453">
        <v>0</v>
      </c>
      <c r="AV41" s="453">
        <v>0</v>
      </c>
      <c r="AW41" s="453">
        <v>0</v>
      </c>
      <c r="AX41" s="453">
        <v>0</v>
      </c>
      <c r="AY41" s="453">
        <v>0</v>
      </c>
      <c r="AZ41" s="453">
        <v>0</v>
      </c>
      <c r="BA41" s="453">
        <v>0</v>
      </c>
      <c r="BB41" s="453">
        <v>0</v>
      </c>
      <c r="BC41" s="453">
        <v>0</v>
      </c>
      <c r="BD41" s="453">
        <v>0</v>
      </c>
      <c r="BE41" s="105">
        <v>0</v>
      </c>
      <c r="BF41" s="453">
        <v>0</v>
      </c>
      <c r="BG41" s="453">
        <v>0</v>
      </c>
      <c r="BH41" s="105">
        <v>0</v>
      </c>
      <c r="BI41" s="453">
        <v>0</v>
      </c>
      <c r="BJ41" s="453">
        <v>0</v>
      </c>
      <c r="BK41" s="105">
        <v>0</v>
      </c>
      <c r="BL41" s="453">
        <v>0</v>
      </c>
      <c r="BM41" s="453">
        <v>0</v>
      </c>
      <c r="BN41" s="453">
        <v>0</v>
      </c>
      <c r="BO41" s="453">
        <v>0</v>
      </c>
      <c r="BP41" s="453">
        <v>0</v>
      </c>
      <c r="BQ41" s="453">
        <v>0</v>
      </c>
      <c r="BR41" s="14">
        <v>0</v>
      </c>
      <c r="BS41" s="14">
        <v>0</v>
      </c>
      <c r="BT41" s="377" t="str">
        <v/>
      </c>
      <c r="BU41" s="105" t="str">
        <v/>
      </c>
      <c r="BV41" s="453" t="str">
        <v/>
      </c>
      <c r="BW41" s="105" t="str">
        <f ca="1"/>
        <v/>
      </c>
    </row>
    <row r="42" spans="1:75" x14ac:dyDescent="0.3">
      <c r="A42" s="1">
        <v>0</v>
      </c>
      <c r="B42" s="106">
        <v>0</v>
      </c>
      <c r="C42" s="14">
        <v>0</v>
      </c>
      <c r="D42" s="14">
        <v>0</v>
      </c>
      <c r="E42" s="14">
        <v>0</v>
      </c>
      <c r="F42" s="453">
        <v>0</v>
      </c>
      <c r="G42" s="377">
        <v>0</v>
      </c>
      <c r="H42" s="453">
        <v>0</v>
      </c>
      <c r="I42" s="453">
        <v>0</v>
      </c>
      <c r="J42" s="453">
        <v>0</v>
      </c>
      <c r="K42" s="453">
        <v>0</v>
      </c>
      <c r="L42" s="453">
        <v>0</v>
      </c>
      <c r="M42" s="453">
        <v>0</v>
      </c>
      <c r="N42" s="453">
        <v>0</v>
      </c>
      <c r="O42" s="453">
        <v>0</v>
      </c>
      <c r="P42" s="14">
        <v>0</v>
      </c>
      <c r="Q42" s="14">
        <v>0</v>
      </c>
      <c r="R42" s="453">
        <v>0</v>
      </c>
      <c r="S42" s="453">
        <v>0</v>
      </c>
      <c r="T42" s="453">
        <v>0</v>
      </c>
      <c r="U42" s="453">
        <v>0</v>
      </c>
      <c r="V42" s="453">
        <v>0</v>
      </c>
      <c r="W42" s="453">
        <v>0</v>
      </c>
      <c r="X42" s="453">
        <v>0</v>
      </c>
      <c r="Y42" s="453">
        <v>0</v>
      </c>
      <c r="Z42" s="453">
        <v>0</v>
      </c>
      <c r="AA42" s="14">
        <v>0</v>
      </c>
      <c r="AB42" s="14">
        <v>0</v>
      </c>
      <c r="AC42" s="453">
        <v>0</v>
      </c>
      <c r="AD42" s="14">
        <v>0</v>
      </c>
      <c r="AE42" s="14">
        <v>0</v>
      </c>
      <c r="AF42" s="14">
        <v>0</v>
      </c>
      <c r="AG42" s="14">
        <v>0</v>
      </c>
      <c r="AH42" s="14">
        <v>0</v>
      </c>
      <c r="AI42" s="14">
        <v>0</v>
      </c>
      <c r="AJ42" s="14">
        <v>0</v>
      </c>
      <c r="AK42" s="14">
        <v>0</v>
      </c>
      <c r="AL42" s="14">
        <v>0</v>
      </c>
      <c r="AM42" s="453">
        <v>0</v>
      </c>
      <c r="AN42" s="453">
        <v>0</v>
      </c>
      <c r="AO42" s="453">
        <v>0</v>
      </c>
      <c r="AP42" s="453">
        <v>0</v>
      </c>
      <c r="AQ42" s="453">
        <v>0</v>
      </c>
      <c r="AR42" s="453">
        <v>0</v>
      </c>
      <c r="AS42" s="453">
        <v>0</v>
      </c>
      <c r="AT42" s="453">
        <v>0</v>
      </c>
      <c r="AU42" s="453">
        <v>0</v>
      </c>
      <c r="AV42" s="453">
        <v>0</v>
      </c>
      <c r="AW42" s="453">
        <v>0</v>
      </c>
      <c r="AX42" s="453">
        <v>0</v>
      </c>
      <c r="AY42" s="453">
        <v>0</v>
      </c>
      <c r="AZ42" s="453">
        <v>0</v>
      </c>
      <c r="BA42" s="453">
        <v>0</v>
      </c>
      <c r="BB42" s="453">
        <v>0</v>
      </c>
      <c r="BC42" s="453">
        <v>0</v>
      </c>
      <c r="BD42" s="453">
        <v>0</v>
      </c>
      <c r="BE42" s="105">
        <v>0</v>
      </c>
      <c r="BF42" s="453">
        <v>0</v>
      </c>
      <c r="BG42" s="453">
        <v>0</v>
      </c>
      <c r="BH42" s="105">
        <v>0</v>
      </c>
      <c r="BI42" s="453">
        <v>0</v>
      </c>
      <c r="BJ42" s="453">
        <v>0</v>
      </c>
      <c r="BK42" s="105">
        <v>0</v>
      </c>
      <c r="BL42" s="453">
        <v>0</v>
      </c>
      <c r="BM42" s="453">
        <v>0</v>
      </c>
      <c r="BN42" s="453">
        <v>0</v>
      </c>
      <c r="BO42" s="453">
        <v>0</v>
      </c>
      <c r="BP42" s="453">
        <v>0</v>
      </c>
      <c r="BQ42" s="453">
        <v>0</v>
      </c>
      <c r="BR42" s="14">
        <v>0</v>
      </c>
      <c r="BS42" s="14">
        <v>0</v>
      </c>
      <c r="BT42" s="377" t="str">
        <v/>
      </c>
      <c r="BU42" s="105" t="str">
        <v/>
      </c>
      <c r="BV42" s="453" t="str">
        <v/>
      </c>
      <c r="BW42" s="105" t="str">
        <f ca="1"/>
        <v/>
      </c>
    </row>
    <row r="43" spans="1:75" x14ac:dyDescent="0.3">
      <c r="A43" s="1">
        <v>0</v>
      </c>
      <c r="B43" s="106">
        <v>0</v>
      </c>
      <c r="C43" s="14">
        <v>0</v>
      </c>
      <c r="D43" s="14">
        <v>0</v>
      </c>
      <c r="E43" s="14">
        <v>0</v>
      </c>
      <c r="F43" s="453">
        <v>0</v>
      </c>
      <c r="G43" s="377">
        <v>0</v>
      </c>
      <c r="H43" s="453">
        <v>0</v>
      </c>
      <c r="I43" s="453">
        <v>0</v>
      </c>
      <c r="J43" s="453">
        <v>0</v>
      </c>
      <c r="K43" s="453">
        <v>0</v>
      </c>
      <c r="L43" s="453">
        <v>0</v>
      </c>
      <c r="M43" s="453">
        <v>0</v>
      </c>
      <c r="N43" s="453">
        <v>0</v>
      </c>
      <c r="O43" s="453">
        <v>0</v>
      </c>
      <c r="P43" s="14">
        <v>0</v>
      </c>
      <c r="Q43" s="14">
        <v>0</v>
      </c>
      <c r="R43" s="453">
        <v>0</v>
      </c>
      <c r="S43" s="453">
        <v>0</v>
      </c>
      <c r="T43" s="453">
        <v>0</v>
      </c>
      <c r="U43" s="453">
        <v>0</v>
      </c>
      <c r="V43" s="453">
        <v>0</v>
      </c>
      <c r="W43" s="453">
        <v>0</v>
      </c>
      <c r="X43" s="453">
        <v>0</v>
      </c>
      <c r="Y43" s="453">
        <v>0</v>
      </c>
      <c r="Z43" s="453">
        <v>0</v>
      </c>
      <c r="AA43" s="14">
        <v>0</v>
      </c>
      <c r="AB43" s="14">
        <v>0</v>
      </c>
      <c r="AC43" s="453">
        <v>0</v>
      </c>
      <c r="AD43" s="14">
        <v>0</v>
      </c>
      <c r="AE43" s="14">
        <v>0</v>
      </c>
      <c r="AF43" s="14">
        <v>0</v>
      </c>
      <c r="AG43" s="14">
        <v>0</v>
      </c>
      <c r="AH43" s="14">
        <v>0</v>
      </c>
      <c r="AI43" s="14">
        <v>0</v>
      </c>
      <c r="AJ43" s="14">
        <v>0</v>
      </c>
      <c r="AK43" s="14">
        <v>0</v>
      </c>
      <c r="AL43" s="14">
        <v>0</v>
      </c>
      <c r="AM43" s="453">
        <v>0</v>
      </c>
      <c r="AN43" s="453">
        <v>0</v>
      </c>
      <c r="AO43" s="453">
        <v>0</v>
      </c>
      <c r="AP43" s="453">
        <v>0</v>
      </c>
      <c r="AQ43" s="453">
        <v>0</v>
      </c>
      <c r="AR43" s="453">
        <v>0</v>
      </c>
      <c r="AS43" s="453">
        <v>0</v>
      </c>
      <c r="AT43" s="453">
        <v>0</v>
      </c>
      <c r="AU43" s="453">
        <v>0</v>
      </c>
      <c r="AV43" s="453">
        <v>0</v>
      </c>
      <c r="AW43" s="453">
        <v>0</v>
      </c>
      <c r="AX43" s="453">
        <v>0</v>
      </c>
      <c r="AY43" s="453">
        <v>0</v>
      </c>
      <c r="AZ43" s="453">
        <v>0</v>
      </c>
      <c r="BA43" s="453">
        <v>0</v>
      </c>
      <c r="BB43" s="453">
        <v>0</v>
      </c>
      <c r="BC43" s="453">
        <v>0</v>
      </c>
      <c r="BD43" s="453">
        <v>0</v>
      </c>
      <c r="BE43" s="105">
        <v>0</v>
      </c>
      <c r="BF43" s="453">
        <v>0</v>
      </c>
      <c r="BG43" s="453">
        <v>0</v>
      </c>
      <c r="BH43" s="105">
        <v>0</v>
      </c>
      <c r="BI43" s="453">
        <v>0</v>
      </c>
      <c r="BJ43" s="453">
        <v>0</v>
      </c>
      <c r="BK43" s="105">
        <v>0</v>
      </c>
      <c r="BL43" s="453">
        <v>0</v>
      </c>
      <c r="BM43" s="453">
        <v>0</v>
      </c>
      <c r="BN43" s="453">
        <v>0</v>
      </c>
      <c r="BO43" s="453">
        <v>0</v>
      </c>
      <c r="BP43" s="453">
        <v>0</v>
      </c>
      <c r="BQ43" s="453">
        <v>0</v>
      </c>
      <c r="BR43" s="14">
        <v>0</v>
      </c>
      <c r="BS43" s="14">
        <v>0</v>
      </c>
      <c r="BT43" s="377" t="str">
        <v/>
      </c>
      <c r="BU43" s="105" t="str">
        <v/>
      </c>
      <c r="BV43" s="453" t="str">
        <v/>
      </c>
      <c r="BW43" s="105" t="str">
        <f ca="1"/>
        <v/>
      </c>
    </row>
    <row r="44" spans="1:75" x14ac:dyDescent="0.3">
      <c r="A44" s="1">
        <v>0</v>
      </c>
      <c r="B44" s="106">
        <v>0</v>
      </c>
      <c r="C44" s="14">
        <v>0</v>
      </c>
      <c r="D44" s="14">
        <v>0</v>
      </c>
      <c r="E44" s="14">
        <v>0</v>
      </c>
      <c r="F44" s="453">
        <v>0</v>
      </c>
      <c r="G44" s="377">
        <v>0</v>
      </c>
      <c r="H44" s="453">
        <v>0</v>
      </c>
      <c r="I44" s="453">
        <v>0</v>
      </c>
      <c r="J44" s="453">
        <v>0</v>
      </c>
      <c r="K44" s="453">
        <v>0</v>
      </c>
      <c r="L44" s="453">
        <v>0</v>
      </c>
      <c r="M44" s="453">
        <v>0</v>
      </c>
      <c r="N44" s="453">
        <v>0</v>
      </c>
      <c r="O44" s="453">
        <v>0</v>
      </c>
      <c r="P44" s="14">
        <v>0</v>
      </c>
      <c r="Q44" s="14">
        <v>0</v>
      </c>
      <c r="R44" s="453">
        <v>0</v>
      </c>
      <c r="S44" s="453">
        <v>0</v>
      </c>
      <c r="T44" s="453">
        <v>0</v>
      </c>
      <c r="U44" s="453">
        <v>0</v>
      </c>
      <c r="V44" s="453">
        <v>0</v>
      </c>
      <c r="W44" s="453">
        <v>0</v>
      </c>
      <c r="X44" s="453">
        <v>0</v>
      </c>
      <c r="Y44" s="453">
        <v>0</v>
      </c>
      <c r="Z44" s="453">
        <v>0</v>
      </c>
      <c r="AA44" s="14">
        <v>0</v>
      </c>
      <c r="AB44" s="14">
        <v>0</v>
      </c>
      <c r="AC44" s="453">
        <v>0</v>
      </c>
      <c r="AD44" s="14">
        <v>0</v>
      </c>
      <c r="AE44" s="14">
        <v>0</v>
      </c>
      <c r="AF44" s="14">
        <v>0</v>
      </c>
      <c r="AG44" s="14">
        <v>0</v>
      </c>
      <c r="AH44" s="14">
        <v>0</v>
      </c>
      <c r="AI44" s="14">
        <v>0</v>
      </c>
      <c r="AJ44" s="14">
        <v>0</v>
      </c>
      <c r="AK44" s="14">
        <v>0</v>
      </c>
      <c r="AL44" s="14">
        <v>0</v>
      </c>
      <c r="AM44" s="453">
        <v>0</v>
      </c>
      <c r="AN44" s="453">
        <v>0</v>
      </c>
      <c r="AO44" s="453">
        <v>0</v>
      </c>
      <c r="AP44" s="453">
        <v>0</v>
      </c>
      <c r="AQ44" s="453">
        <v>0</v>
      </c>
      <c r="AR44" s="453">
        <v>0</v>
      </c>
      <c r="AS44" s="453">
        <v>0</v>
      </c>
      <c r="AT44" s="453">
        <v>0</v>
      </c>
      <c r="AU44" s="453">
        <v>0</v>
      </c>
      <c r="AV44" s="453">
        <v>0</v>
      </c>
      <c r="AW44" s="453">
        <v>0</v>
      </c>
      <c r="AX44" s="453">
        <v>0</v>
      </c>
      <c r="AY44" s="453">
        <v>0</v>
      </c>
      <c r="AZ44" s="453">
        <v>0</v>
      </c>
      <c r="BA44" s="453">
        <v>0</v>
      </c>
      <c r="BB44" s="453">
        <v>0</v>
      </c>
      <c r="BC44" s="453">
        <v>0</v>
      </c>
      <c r="BD44" s="453">
        <v>0</v>
      </c>
      <c r="BE44" s="105">
        <v>0</v>
      </c>
      <c r="BF44" s="453">
        <v>0</v>
      </c>
      <c r="BG44" s="453">
        <v>0</v>
      </c>
      <c r="BH44" s="105">
        <v>0</v>
      </c>
      <c r="BI44" s="453">
        <v>0</v>
      </c>
      <c r="BJ44" s="453">
        <v>0</v>
      </c>
      <c r="BK44" s="105">
        <v>0</v>
      </c>
      <c r="BL44" s="453">
        <v>0</v>
      </c>
      <c r="BM44" s="453">
        <v>0</v>
      </c>
      <c r="BN44" s="453">
        <v>0</v>
      </c>
      <c r="BO44" s="453">
        <v>0</v>
      </c>
      <c r="BP44" s="453">
        <v>0</v>
      </c>
      <c r="BQ44" s="453">
        <v>0</v>
      </c>
      <c r="BR44" s="14">
        <v>0</v>
      </c>
      <c r="BS44" s="14">
        <v>0</v>
      </c>
      <c r="BT44" s="377" t="str">
        <v/>
      </c>
      <c r="BU44" s="105" t="str">
        <v/>
      </c>
      <c r="BV44" s="453" t="str">
        <v/>
      </c>
      <c r="BW44" s="105" t="str">
        <f ca="1"/>
        <v/>
      </c>
    </row>
    <row r="45" spans="1:75" x14ac:dyDescent="0.3">
      <c r="A45" s="1">
        <v>0</v>
      </c>
      <c r="B45" s="106">
        <v>0</v>
      </c>
      <c r="C45" s="14">
        <v>0</v>
      </c>
      <c r="D45" s="14">
        <v>0</v>
      </c>
      <c r="E45" s="14">
        <v>0</v>
      </c>
      <c r="F45" s="453">
        <v>0</v>
      </c>
      <c r="G45" s="377">
        <v>0</v>
      </c>
      <c r="H45" s="453">
        <v>0</v>
      </c>
      <c r="I45" s="453">
        <v>0</v>
      </c>
      <c r="J45" s="453">
        <v>0</v>
      </c>
      <c r="K45" s="453">
        <v>0</v>
      </c>
      <c r="L45" s="453">
        <v>0</v>
      </c>
      <c r="M45" s="453">
        <v>0</v>
      </c>
      <c r="N45" s="453">
        <v>0</v>
      </c>
      <c r="O45" s="453">
        <v>0</v>
      </c>
      <c r="P45" s="14">
        <v>0</v>
      </c>
      <c r="Q45" s="14">
        <v>0</v>
      </c>
      <c r="R45" s="453">
        <v>0</v>
      </c>
      <c r="S45" s="453">
        <v>0</v>
      </c>
      <c r="T45" s="453">
        <v>0</v>
      </c>
      <c r="U45" s="453">
        <v>0</v>
      </c>
      <c r="V45" s="453">
        <v>0</v>
      </c>
      <c r="W45" s="453">
        <v>0</v>
      </c>
      <c r="X45" s="453">
        <v>0</v>
      </c>
      <c r="Y45" s="453">
        <v>0</v>
      </c>
      <c r="Z45" s="453">
        <v>0</v>
      </c>
      <c r="AA45" s="14">
        <v>0</v>
      </c>
      <c r="AB45" s="14">
        <v>0</v>
      </c>
      <c r="AC45" s="453">
        <v>0</v>
      </c>
      <c r="AD45" s="14">
        <v>0</v>
      </c>
      <c r="AE45" s="14">
        <v>0</v>
      </c>
      <c r="AF45" s="14">
        <v>0</v>
      </c>
      <c r="AG45" s="14">
        <v>0</v>
      </c>
      <c r="AH45" s="14">
        <v>0</v>
      </c>
      <c r="AI45" s="14">
        <v>0</v>
      </c>
      <c r="AJ45" s="14">
        <v>0</v>
      </c>
      <c r="AK45" s="14">
        <v>0</v>
      </c>
      <c r="AL45" s="14">
        <v>0</v>
      </c>
      <c r="AM45" s="453">
        <v>0</v>
      </c>
      <c r="AN45" s="453">
        <v>0</v>
      </c>
      <c r="AO45" s="453">
        <v>0</v>
      </c>
      <c r="AP45" s="453">
        <v>0</v>
      </c>
      <c r="AQ45" s="453">
        <v>0</v>
      </c>
      <c r="AR45" s="453">
        <v>0</v>
      </c>
      <c r="AS45" s="453">
        <v>0</v>
      </c>
      <c r="AT45" s="453">
        <v>0</v>
      </c>
      <c r="AU45" s="453">
        <v>0</v>
      </c>
      <c r="AV45" s="453">
        <v>0</v>
      </c>
      <c r="AW45" s="453">
        <v>0</v>
      </c>
      <c r="AX45" s="453">
        <v>0</v>
      </c>
      <c r="AY45" s="453">
        <v>0</v>
      </c>
      <c r="AZ45" s="453">
        <v>0</v>
      </c>
      <c r="BA45" s="453">
        <v>0</v>
      </c>
      <c r="BB45" s="453">
        <v>0</v>
      </c>
      <c r="BC45" s="453">
        <v>0</v>
      </c>
      <c r="BD45" s="453">
        <v>0</v>
      </c>
      <c r="BE45" s="105">
        <v>0</v>
      </c>
      <c r="BF45" s="453">
        <v>0</v>
      </c>
      <c r="BG45" s="453">
        <v>0</v>
      </c>
      <c r="BH45" s="105">
        <v>0</v>
      </c>
      <c r="BI45" s="453">
        <v>0</v>
      </c>
      <c r="BJ45" s="453">
        <v>0</v>
      </c>
      <c r="BK45" s="105">
        <v>0</v>
      </c>
      <c r="BL45" s="453">
        <v>0</v>
      </c>
      <c r="BM45" s="453">
        <v>0</v>
      </c>
      <c r="BN45" s="453">
        <v>0</v>
      </c>
      <c r="BO45" s="453">
        <v>0</v>
      </c>
      <c r="BP45" s="453">
        <v>0</v>
      </c>
      <c r="BQ45" s="453">
        <v>0</v>
      </c>
      <c r="BR45" s="14">
        <v>0</v>
      </c>
      <c r="BS45" s="14">
        <v>0</v>
      </c>
      <c r="BT45" s="377" t="str">
        <v/>
      </c>
      <c r="BU45" s="105" t="str">
        <v/>
      </c>
      <c r="BV45" s="453" t="str">
        <v/>
      </c>
      <c r="BW45" s="105" t="str">
        <f ca="1"/>
        <v/>
      </c>
    </row>
    <row r="46" spans="1:75" x14ac:dyDescent="0.3">
      <c r="A46" s="1">
        <v>0</v>
      </c>
      <c r="B46" s="106">
        <v>0</v>
      </c>
      <c r="C46" s="14">
        <v>0</v>
      </c>
      <c r="D46" s="14">
        <v>0</v>
      </c>
      <c r="E46" s="14">
        <v>0</v>
      </c>
      <c r="F46" s="453">
        <v>0</v>
      </c>
      <c r="G46" s="377">
        <v>0</v>
      </c>
      <c r="H46" s="453">
        <v>0</v>
      </c>
      <c r="I46" s="453">
        <v>0</v>
      </c>
      <c r="J46" s="453">
        <v>0</v>
      </c>
      <c r="K46" s="453">
        <v>0</v>
      </c>
      <c r="L46" s="453">
        <v>0</v>
      </c>
      <c r="M46" s="453">
        <v>0</v>
      </c>
      <c r="N46" s="453">
        <v>0</v>
      </c>
      <c r="O46" s="453">
        <v>0</v>
      </c>
      <c r="P46" s="14">
        <v>0</v>
      </c>
      <c r="Q46" s="14">
        <v>0</v>
      </c>
      <c r="R46" s="453">
        <v>0</v>
      </c>
      <c r="S46" s="453">
        <v>0</v>
      </c>
      <c r="T46" s="453">
        <v>0</v>
      </c>
      <c r="U46" s="453">
        <v>0</v>
      </c>
      <c r="V46" s="453">
        <v>0</v>
      </c>
      <c r="W46" s="453">
        <v>0</v>
      </c>
      <c r="X46" s="453">
        <v>0</v>
      </c>
      <c r="Y46" s="453">
        <v>0</v>
      </c>
      <c r="Z46" s="453">
        <v>0</v>
      </c>
      <c r="AA46" s="14">
        <v>0</v>
      </c>
      <c r="AB46" s="14">
        <v>0</v>
      </c>
      <c r="AC46" s="453">
        <v>0</v>
      </c>
      <c r="AD46" s="14">
        <v>0</v>
      </c>
      <c r="AE46" s="14">
        <v>0</v>
      </c>
      <c r="AF46" s="14">
        <v>0</v>
      </c>
      <c r="AG46" s="14">
        <v>0</v>
      </c>
      <c r="AH46" s="14">
        <v>0</v>
      </c>
      <c r="AI46" s="14">
        <v>0</v>
      </c>
      <c r="AJ46" s="14">
        <v>0</v>
      </c>
      <c r="AK46" s="14">
        <v>0</v>
      </c>
      <c r="AL46" s="14">
        <v>0</v>
      </c>
      <c r="AM46" s="453">
        <v>0</v>
      </c>
      <c r="AN46" s="453">
        <v>0</v>
      </c>
      <c r="AO46" s="453">
        <v>0</v>
      </c>
      <c r="AP46" s="453">
        <v>0</v>
      </c>
      <c r="AQ46" s="453">
        <v>0</v>
      </c>
      <c r="AR46" s="453">
        <v>0</v>
      </c>
      <c r="AS46" s="453">
        <v>0</v>
      </c>
      <c r="AT46" s="453">
        <v>0</v>
      </c>
      <c r="AU46" s="453">
        <v>0</v>
      </c>
      <c r="AV46" s="453">
        <v>0</v>
      </c>
      <c r="AW46" s="453">
        <v>0</v>
      </c>
      <c r="AX46" s="453">
        <v>0</v>
      </c>
      <c r="AY46" s="453">
        <v>0</v>
      </c>
      <c r="AZ46" s="453">
        <v>0</v>
      </c>
      <c r="BA46" s="453">
        <v>0</v>
      </c>
      <c r="BB46" s="453">
        <v>0</v>
      </c>
      <c r="BC46" s="453">
        <v>0</v>
      </c>
      <c r="BD46" s="453">
        <v>0</v>
      </c>
      <c r="BE46" s="105">
        <v>0</v>
      </c>
      <c r="BF46" s="453">
        <v>0</v>
      </c>
      <c r="BG46" s="453">
        <v>0</v>
      </c>
      <c r="BH46" s="105">
        <v>0</v>
      </c>
      <c r="BI46" s="453">
        <v>0</v>
      </c>
      <c r="BJ46" s="453">
        <v>0</v>
      </c>
      <c r="BK46" s="105">
        <v>0</v>
      </c>
      <c r="BL46" s="453">
        <v>0</v>
      </c>
      <c r="BM46" s="453">
        <v>0</v>
      </c>
      <c r="BN46" s="453">
        <v>0</v>
      </c>
      <c r="BO46" s="453">
        <v>0</v>
      </c>
      <c r="BP46" s="453">
        <v>0</v>
      </c>
      <c r="BQ46" s="453">
        <v>0</v>
      </c>
      <c r="BR46" s="14">
        <v>0</v>
      </c>
      <c r="BS46" s="14">
        <v>0</v>
      </c>
      <c r="BT46" s="377" t="str">
        <v/>
      </c>
      <c r="BU46" s="105" t="str">
        <v/>
      </c>
      <c r="BV46" s="453" t="str">
        <v/>
      </c>
      <c r="BW46" s="105" t="str">
        <f ca="1"/>
        <v/>
      </c>
    </row>
    <row r="47" spans="1:75" x14ac:dyDescent="0.3">
      <c r="A47" s="1">
        <v>0</v>
      </c>
      <c r="B47" s="106">
        <v>0</v>
      </c>
      <c r="C47" s="14">
        <v>0</v>
      </c>
      <c r="D47" s="14">
        <v>0</v>
      </c>
      <c r="E47" s="14">
        <v>0</v>
      </c>
      <c r="F47" s="453">
        <v>0</v>
      </c>
      <c r="G47" s="377">
        <v>0</v>
      </c>
      <c r="H47" s="453">
        <v>0</v>
      </c>
      <c r="I47" s="453">
        <v>0</v>
      </c>
      <c r="J47" s="453">
        <v>0</v>
      </c>
      <c r="K47" s="453">
        <v>0</v>
      </c>
      <c r="L47" s="453">
        <v>0</v>
      </c>
      <c r="M47" s="453">
        <v>0</v>
      </c>
      <c r="N47" s="453">
        <v>0</v>
      </c>
      <c r="O47" s="453">
        <v>0</v>
      </c>
      <c r="P47" s="14">
        <v>0</v>
      </c>
      <c r="Q47" s="14">
        <v>0</v>
      </c>
      <c r="R47" s="453">
        <v>0</v>
      </c>
      <c r="S47" s="453">
        <v>0</v>
      </c>
      <c r="T47" s="453">
        <v>0</v>
      </c>
      <c r="U47" s="453">
        <v>0</v>
      </c>
      <c r="V47" s="453">
        <v>0</v>
      </c>
      <c r="W47" s="453">
        <v>0</v>
      </c>
      <c r="X47" s="453">
        <v>0</v>
      </c>
      <c r="Y47" s="453">
        <v>0</v>
      </c>
      <c r="Z47" s="453">
        <v>0</v>
      </c>
      <c r="AA47" s="14">
        <v>0</v>
      </c>
      <c r="AB47" s="14">
        <v>0</v>
      </c>
      <c r="AC47" s="453">
        <v>0</v>
      </c>
      <c r="AD47" s="14">
        <v>0</v>
      </c>
      <c r="AE47" s="14">
        <v>0</v>
      </c>
      <c r="AF47" s="14">
        <v>0</v>
      </c>
      <c r="AG47" s="14">
        <v>0</v>
      </c>
      <c r="AH47" s="14">
        <v>0</v>
      </c>
      <c r="AI47" s="14">
        <v>0</v>
      </c>
      <c r="AJ47" s="14">
        <v>0</v>
      </c>
      <c r="AK47" s="14">
        <v>0</v>
      </c>
      <c r="AL47" s="14">
        <v>0</v>
      </c>
      <c r="AM47" s="453">
        <v>0</v>
      </c>
      <c r="AN47" s="453">
        <v>0</v>
      </c>
      <c r="AO47" s="453">
        <v>0</v>
      </c>
      <c r="AP47" s="453">
        <v>0</v>
      </c>
      <c r="AQ47" s="453">
        <v>0</v>
      </c>
      <c r="AR47" s="453">
        <v>0</v>
      </c>
      <c r="AS47" s="453">
        <v>0</v>
      </c>
      <c r="AT47" s="453">
        <v>0</v>
      </c>
      <c r="AU47" s="453">
        <v>0</v>
      </c>
      <c r="AV47" s="453">
        <v>0</v>
      </c>
      <c r="AW47" s="453">
        <v>0</v>
      </c>
      <c r="AX47" s="453">
        <v>0</v>
      </c>
      <c r="AY47" s="453">
        <v>0</v>
      </c>
      <c r="AZ47" s="453">
        <v>0</v>
      </c>
      <c r="BA47" s="453">
        <v>0</v>
      </c>
      <c r="BB47" s="453">
        <v>0</v>
      </c>
      <c r="BC47" s="453">
        <v>0</v>
      </c>
      <c r="BD47" s="453">
        <v>0</v>
      </c>
      <c r="BE47" s="105">
        <v>0</v>
      </c>
      <c r="BF47" s="453">
        <v>0</v>
      </c>
      <c r="BG47" s="453">
        <v>0</v>
      </c>
      <c r="BH47" s="105">
        <v>0</v>
      </c>
      <c r="BI47" s="453">
        <v>0</v>
      </c>
      <c r="BJ47" s="453">
        <v>0</v>
      </c>
      <c r="BK47" s="105">
        <v>0</v>
      </c>
      <c r="BL47" s="453">
        <v>0</v>
      </c>
      <c r="BM47" s="453">
        <v>0</v>
      </c>
      <c r="BN47" s="453">
        <v>0</v>
      </c>
      <c r="BO47" s="453">
        <v>0</v>
      </c>
      <c r="BP47" s="453">
        <v>0</v>
      </c>
      <c r="BQ47" s="453">
        <v>0</v>
      </c>
      <c r="BR47" s="14">
        <v>0</v>
      </c>
      <c r="BS47" s="14">
        <v>0</v>
      </c>
      <c r="BT47" s="377" t="str">
        <v/>
      </c>
      <c r="BU47" s="105" t="str">
        <v/>
      </c>
      <c r="BV47" s="453" t="str">
        <v/>
      </c>
      <c r="BW47" s="105" t="str">
        <f ca="1"/>
        <v/>
      </c>
    </row>
    <row r="48" spans="1:75" x14ac:dyDescent="0.3">
      <c r="A48" s="1">
        <v>0</v>
      </c>
      <c r="B48" s="106">
        <v>0</v>
      </c>
      <c r="C48" s="14">
        <v>0</v>
      </c>
      <c r="D48" s="14">
        <v>0</v>
      </c>
      <c r="E48" s="14">
        <v>0</v>
      </c>
      <c r="F48" s="453">
        <v>0</v>
      </c>
      <c r="G48" s="377">
        <v>0</v>
      </c>
      <c r="H48" s="453">
        <v>0</v>
      </c>
      <c r="I48" s="453">
        <v>0</v>
      </c>
      <c r="J48" s="453">
        <v>0</v>
      </c>
      <c r="K48" s="453">
        <v>0</v>
      </c>
      <c r="L48" s="453">
        <v>0</v>
      </c>
      <c r="M48" s="453">
        <v>0</v>
      </c>
      <c r="N48" s="453">
        <v>0</v>
      </c>
      <c r="O48" s="453">
        <v>0</v>
      </c>
      <c r="P48" s="14">
        <v>0</v>
      </c>
      <c r="Q48" s="14">
        <v>0</v>
      </c>
      <c r="R48" s="453">
        <v>0</v>
      </c>
      <c r="S48" s="453">
        <v>0</v>
      </c>
      <c r="T48" s="453">
        <v>0</v>
      </c>
      <c r="U48" s="453">
        <v>0</v>
      </c>
      <c r="V48" s="453">
        <v>0</v>
      </c>
      <c r="W48" s="453">
        <v>0</v>
      </c>
      <c r="X48" s="453">
        <v>0</v>
      </c>
      <c r="Y48" s="453">
        <v>0</v>
      </c>
      <c r="Z48" s="453">
        <v>0</v>
      </c>
      <c r="AA48" s="14">
        <v>0</v>
      </c>
      <c r="AB48" s="14">
        <v>0</v>
      </c>
      <c r="AC48" s="453">
        <v>0</v>
      </c>
      <c r="AD48" s="14">
        <v>0</v>
      </c>
      <c r="AE48" s="14">
        <v>0</v>
      </c>
      <c r="AF48" s="14">
        <v>0</v>
      </c>
      <c r="AG48" s="14">
        <v>0</v>
      </c>
      <c r="AH48" s="14">
        <v>0</v>
      </c>
      <c r="AI48" s="14">
        <v>0</v>
      </c>
      <c r="AJ48" s="14">
        <v>0</v>
      </c>
      <c r="AK48" s="14">
        <v>0</v>
      </c>
      <c r="AL48" s="14">
        <v>0</v>
      </c>
      <c r="AM48" s="453">
        <v>0</v>
      </c>
      <c r="AN48" s="453">
        <v>0</v>
      </c>
      <c r="AO48" s="453">
        <v>0</v>
      </c>
      <c r="AP48" s="453">
        <v>0</v>
      </c>
      <c r="AQ48" s="453">
        <v>0</v>
      </c>
      <c r="AR48" s="453">
        <v>0</v>
      </c>
      <c r="AS48" s="453">
        <v>0</v>
      </c>
      <c r="AT48" s="453">
        <v>0</v>
      </c>
      <c r="AU48" s="453">
        <v>0</v>
      </c>
      <c r="AV48" s="453">
        <v>0</v>
      </c>
      <c r="AW48" s="453">
        <v>0</v>
      </c>
      <c r="AX48" s="453">
        <v>0</v>
      </c>
      <c r="AY48" s="453">
        <v>0</v>
      </c>
      <c r="AZ48" s="453">
        <v>0</v>
      </c>
      <c r="BA48" s="453">
        <v>0</v>
      </c>
      <c r="BB48" s="453">
        <v>0</v>
      </c>
      <c r="BC48" s="453">
        <v>0</v>
      </c>
      <c r="BD48" s="453">
        <v>0</v>
      </c>
      <c r="BE48" s="105">
        <v>0</v>
      </c>
      <c r="BF48" s="453">
        <v>0</v>
      </c>
      <c r="BG48" s="453">
        <v>0</v>
      </c>
      <c r="BH48" s="105">
        <v>0</v>
      </c>
      <c r="BI48" s="453">
        <v>0</v>
      </c>
      <c r="BJ48" s="453">
        <v>0</v>
      </c>
      <c r="BK48" s="105">
        <v>0</v>
      </c>
      <c r="BL48" s="453">
        <v>0</v>
      </c>
      <c r="BM48" s="453">
        <v>0</v>
      </c>
      <c r="BN48" s="453">
        <v>0</v>
      </c>
      <c r="BO48" s="453">
        <v>0</v>
      </c>
      <c r="BP48" s="453">
        <v>0</v>
      </c>
      <c r="BQ48" s="453">
        <v>0</v>
      </c>
      <c r="BR48" s="14">
        <v>0</v>
      </c>
      <c r="BS48" s="14">
        <v>0</v>
      </c>
      <c r="BT48" s="377" t="str">
        <v/>
      </c>
      <c r="BU48" s="105" t="str">
        <v/>
      </c>
      <c r="BV48" s="453" t="str">
        <v/>
      </c>
      <c r="BW48" s="105" t="str">
        <f ca="1"/>
        <v/>
      </c>
    </row>
    <row r="49" spans="1:75" x14ac:dyDescent="0.3">
      <c r="A49" s="1">
        <v>0</v>
      </c>
      <c r="B49" s="106">
        <v>0</v>
      </c>
      <c r="C49" s="14">
        <v>0</v>
      </c>
      <c r="D49" s="14">
        <v>0</v>
      </c>
      <c r="E49" s="14">
        <v>0</v>
      </c>
      <c r="F49" s="453">
        <v>0</v>
      </c>
      <c r="G49" s="377">
        <v>0</v>
      </c>
      <c r="H49" s="453">
        <v>0</v>
      </c>
      <c r="I49" s="453">
        <v>0</v>
      </c>
      <c r="J49" s="453">
        <v>0</v>
      </c>
      <c r="K49" s="453">
        <v>0</v>
      </c>
      <c r="L49" s="453">
        <v>0</v>
      </c>
      <c r="M49" s="453">
        <v>0</v>
      </c>
      <c r="N49" s="453">
        <v>0</v>
      </c>
      <c r="O49" s="453">
        <v>0</v>
      </c>
      <c r="P49" s="14">
        <v>0</v>
      </c>
      <c r="Q49" s="14">
        <v>0</v>
      </c>
      <c r="R49" s="453">
        <v>0</v>
      </c>
      <c r="S49" s="453">
        <v>0</v>
      </c>
      <c r="T49" s="453">
        <v>0</v>
      </c>
      <c r="U49" s="453">
        <v>0</v>
      </c>
      <c r="V49" s="453">
        <v>0</v>
      </c>
      <c r="W49" s="453">
        <v>0</v>
      </c>
      <c r="X49" s="453">
        <v>0</v>
      </c>
      <c r="Y49" s="453">
        <v>0</v>
      </c>
      <c r="Z49" s="453">
        <v>0</v>
      </c>
      <c r="AA49" s="14">
        <v>0</v>
      </c>
      <c r="AB49" s="14">
        <v>0</v>
      </c>
      <c r="AC49" s="453">
        <v>0</v>
      </c>
      <c r="AD49" s="14">
        <v>0</v>
      </c>
      <c r="AE49" s="14">
        <v>0</v>
      </c>
      <c r="AF49" s="14">
        <v>0</v>
      </c>
      <c r="AG49" s="14">
        <v>0</v>
      </c>
      <c r="AH49" s="14">
        <v>0</v>
      </c>
      <c r="AI49" s="14">
        <v>0</v>
      </c>
      <c r="AJ49" s="14">
        <v>0</v>
      </c>
      <c r="AK49" s="14">
        <v>0</v>
      </c>
      <c r="AL49" s="14">
        <v>0</v>
      </c>
      <c r="AM49" s="453">
        <v>0</v>
      </c>
      <c r="AN49" s="453">
        <v>0</v>
      </c>
      <c r="AO49" s="453">
        <v>0</v>
      </c>
      <c r="AP49" s="453">
        <v>0</v>
      </c>
      <c r="AQ49" s="453">
        <v>0</v>
      </c>
      <c r="AR49" s="453">
        <v>0</v>
      </c>
      <c r="AS49" s="453">
        <v>0</v>
      </c>
      <c r="AT49" s="453">
        <v>0</v>
      </c>
      <c r="AU49" s="453">
        <v>0</v>
      </c>
      <c r="AV49" s="453">
        <v>0</v>
      </c>
      <c r="AW49" s="453">
        <v>0</v>
      </c>
      <c r="AX49" s="453">
        <v>0</v>
      </c>
      <c r="AY49" s="453">
        <v>0</v>
      </c>
      <c r="AZ49" s="453">
        <v>0</v>
      </c>
      <c r="BA49" s="453">
        <v>0</v>
      </c>
      <c r="BB49" s="453">
        <v>0</v>
      </c>
      <c r="BC49" s="453">
        <v>0</v>
      </c>
      <c r="BD49" s="453">
        <v>0</v>
      </c>
      <c r="BE49" s="105">
        <v>0</v>
      </c>
      <c r="BF49" s="453">
        <v>0</v>
      </c>
      <c r="BG49" s="453">
        <v>0</v>
      </c>
      <c r="BH49" s="105">
        <v>0</v>
      </c>
      <c r="BI49" s="453">
        <v>0</v>
      </c>
      <c r="BJ49" s="453">
        <v>0</v>
      </c>
      <c r="BK49" s="105">
        <v>0</v>
      </c>
      <c r="BL49" s="453">
        <v>0</v>
      </c>
      <c r="BM49" s="453">
        <v>0</v>
      </c>
      <c r="BN49" s="453">
        <v>0</v>
      </c>
      <c r="BO49" s="453">
        <v>0</v>
      </c>
      <c r="BP49" s="453">
        <v>0</v>
      </c>
      <c r="BQ49" s="453">
        <v>0</v>
      </c>
      <c r="BR49" s="14">
        <v>0</v>
      </c>
      <c r="BS49" s="14">
        <v>0</v>
      </c>
      <c r="BT49" s="377" t="str">
        <v/>
      </c>
      <c r="BU49" s="105" t="str">
        <v/>
      </c>
      <c r="BV49" s="453" t="str">
        <v/>
      </c>
      <c r="BW49" s="105" t="str">
        <f ca="1"/>
        <v/>
      </c>
    </row>
    <row r="50" spans="1:75" x14ac:dyDescent="0.3">
      <c r="A50" s="1">
        <v>0</v>
      </c>
      <c r="B50" s="106">
        <v>0</v>
      </c>
      <c r="C50" s="14">
        <v>0</v>
      </c>
      <c r="D50" s="14">
        <v>0</v>
      </c>
      <c r="E50" s="14">
        <v>0</v>
      </c>
      <c r="F50" s="453">
        <v>0</v>
      </c>
      <c r="G50" s="377">
        <v>0</v>
      </c>
      <c r="H50" s="453">
        <v>0</v>
      </c>
      <c r="I50" s="453">
        <v>0</v>
      </c>
      <c r="J50" s="453">
        <v>0</v>
      </c>
      <c r="K50" s="453">
        <v>0</v>
      </c>
      <c r="L50" s="453">
        <v>0</v>
      </c>
      <c r="M50" s="453">
        <v>0</v>
      </c>
      <c r="N50" s="453">
        <v>0</v>
      </c>
      <c r="O50" s="453">
        <v>0</v>
      </c>
      <c r="P50" s="14">
        <v>0</v>
      </c>
      <c r="Q50" s="14">
        <v>0</v>
      </c>
      <c r="R50" s="453">
        <v>0</v>
      </c>
      <c r="S50" s="453">
        <v>0</v>
      </c>
      <c r="T50" s="453">
        <v>0</v>
      </c>
      <c r="U50" s="453">
        <v>0</v>
      </c>
      <c r="V50" s="453">
        <v>0</v>
      </c>
      <c r="W50" s="453">
        <v>0</v>
      </c>
      <c r="X50" s="453">
        <v>0</v>
      </c>
      <c r="Y50" s="453">
        <v>0</v>
      </c>
      <c r="Z50" s="453">
        <v>0</v>
      </c>
      <c r="AA50" s="14">
        <v>0</v>
      </c>
      <c r="AB50" s="14">
        <v>0</v>
      </c>
      <c r="AC50" s="453">
        <v>0</v>
      </c>
      <c r="AD50" s="14">
        <v>0</v>
      </c>
      <c r="AE50" s="14">
        <v>0</v>
      </c>
      <c r="AF50" s="14">
        <v>0</v>
      </c>
      <c r="AG50" s="14">
        <v>0</v>
      </c>
      <c r="AH50" s="14">
        <v>0</v>
      </c>
      <c r="AI50" s="14">
        <v>0</v>
      </c>
      <c r="AJ50" s="14">
        <v>0</v>
      </c>
      <c r="AK50" s="14">
        <v>0</v>
      </c>
      <c r="AL50" s="14">
        <v>0</v>
      </c>
      <c r="AM50" s="453">
        <v>0</v>
      </c>
      <c r="AN50" s="453">
        <v>0</v>
      </c>
      <c r="AO50" s="453">
        <v>0</v>
      </c>
      <c r="AP50" s="453">
        <v>0</v>
      </c>
      <c r="AQ50" s="453">
        <v>0</v>
      </c>
      <c r="AR50" s="453">
        <v>0</v>
      </c>
      <c r="AS50" s="453">
        <v>0</v>
      </c>
      <c r="AT50" s="453">
        <v>0</v>
      </c>
      <c r="AU50" s="453">
        <v>0</v>
      </c>
      <c r="AV50" s="453">
        <v>0</v>
      </c>
      <c r="AW50" s="453">
        <v>0</v>
      </c>
      <c r="AX50" s="453">
        <v>0</v>
      </c>
      <c r="AY50" s="453">
        <v>0</v>
      </c>
      <c r="AZ50" s="453">
        <v>0</v>
      </c>
      <c r="BA50" s="453">
        <v>0</v>
      </c>
      <c r="BB50" s="453">
        <v>0</v>
      </c>
      <c r="BC50" s="453">
        <v>0</v>
      </c>
      <c r="BD50" s="453">
        <v>0</v>
      </c>
      <c r="BE50" s="105">
        <v>0</v>
      </c>
      <c r="BF50" s="453">
        <v>0</v>
      </c>
      <c r="BG50" s="453">
        <v>0</v>
      </c>
      <c r="BH50" s="105">
        <v>0</v>
      </c>
      <c r="BI50" s="453">
        <v>0</v>
      </c>
      <c r="BJ50" s="453">
        <v>0</v>
      </c>
      <c r="BK50" s="105">
        <v>0</v>
      </c>
      <c r="BL50" s="453">
        <v>0</v>
      </c>
      <c r="BM50" s="453">
        <v>0</v>
      </c>
      <c r="BN50" s="453">
        <v>0</v>
      </c>
      <c r="BO50" s="453">
        <v>0</v>
      </c>
      <c r="BP50" s="453">
        <v>0</v>
      </c>
      <c r="BQ50" s="453">
        <v>0</v>
      </c>
      <c r="BR50" s="14">
        <v>0</v>
      </c>
      <c r="BS50" s="14">
        <v>0</v>
      </c>
      <c r="BT50" s="377" t="str">
        <v/>
      </c>
      <c r="BU50" s="105" t="str">
        <v/>
      </c>
      <c r="BV50" s="453" t="str">
        <v/>
      </c>
      <c r="BW50" s="105" t="str">
        <f ca="1"/>
        <v/>
      </c>
    </row>
    <row r="51" spans="1:75" x14ac:dyDescent="0.3">
      <c r="A51" s="1">
        <v>0</v>
      </c>
      <c r="B51" s="106">
        <v>0</v>
      </c>
      <c r="C51" s="14">
        <v>0</v>
      </c>
      <c r="D51" s="14">
        <v>0</v>
      </c>
      <c r="E51" s="14">
        <v>0</v>
      </c>
      <c r="F51" s="453">
        <v>0</v>
      </c>
      <c r="G51" s="377">
        <v>0</v>
      </c>
      <c r="H51" s="453">
        <v>0</v>
      </c>
      <c r="I51" s="453">
        <v>0</v>
      </c>
      <c r="J51" s="453">
        <v>0</v>
      </c>
      <c r="K51" s="453">
        <v>0</v>
      </c>
      <c r="L51" s="453">
        <v>0</v>
      </c>
      <c r="M51" s="453">
        <v>0</v>
      </c>
      <c r="N51" s="453">
        <v>0</v>
      </c>
      <c r="O51" s="453">
        <v>0</v>
      </c>
      <c r="P51" s="14">
        <v>0</v>
      </c>
      <c r="Q51" s="14">
        <v>0</v>
      </c>
      <c r="R51" s="453">
        <v>0</v>
      </c>
      <c r="S51" s="453">
        <v>0</v>
      </c>
      <c r="T51" s="453">
        <v>0</v>
      </c>
      <c r="U51" s="453">
        <v>0</v>
      </c>
      <c r="V51" s="453">
        <v>0</v>
      </c>
      <c r="W51" s="453">
        <v>0</v>
      </c>
      <c r="X51" s="453">
        <v>0</v>
      </c>
      <c r="Y51" s="453">
        <v>0</v>
      </c>
      <c r="Z51" s="453">
        <v>0</v>
      </c>
      <c r="AA51" s="14">
        <v>0</v>
      </c>
      <c r="AB51" s="14">
        <v>0</v>
      </c>
      <c r="AC51" s="453">
        <v>0</v>
      </c>
      <c r="AD51" s="14">
        <v>0</v>
      </c>
      <c r="AE51" s="14">
        <v>0</v>
      </c>
      <c r="AF51" s="14">
        <v>0</v>
      </c>
      <c r="AG51" s="14">
        <v>0</v>
      </c>
      <c r="AH51" s="14">
        <v>0</v>
      </c>
      <c r="AI51" s="14">
        <v>0</v>
      </c>
      <c r="AJ51" s="14">
        <v>0</v>
      </c>
      <c r="AK51" s="14">
        <v>0</v>
      </c>
      <c r="AL51" s="14">
        <v>0</v>
      </c>
      <c r="AM51" s="453">
        <v>0</v>
      </c>
      <c r="AN51" s="453">
        <v>0</v>
      </c>
      <c r="AO51" s="453">
        <v>0</v>
      </c>
      <c r="AP51" s="453">
        <v>0</v>
      </c>
      <c r="AQ51" s="453">
        <v>0</v>
      </c>
      <c r="AR51" s="453">
        <v>0</v>
      </c>
      <c r="AS51" s="453">
        <v>0</v>
      </c>
      <c r="AT51" s="453">
        <v>0</v>
      </c>
      <c r="AU51" s="453">
        <v>0</v>
      </c>
      <c r="AV51" s="453">
        <v>0</v>
      </c>
      <c r="AW51" s="453">
        <v>0</v>
      </c>
      <c r="AX51" s="453">
        <v>0</v>
      </c>
      <c r="AY51" s="453">
        <v>0</v>
      </c>
      <c r="AZ51" s="453">
        <v>0</v>
      </c>
      <c r="BA51" s="453">
        <v>0</v>
      </c>
      <c r="BB51" s="453">
        <v>0</v>
      </c>
      <c r="BC51" s="453">
        <v>0</v>
      </c>
      <c r="BD51" s="453">
        <v>0</v>
      </c>
      <c r="BE51" s="105">
        <v>0</v>
      </c>
      <c r="BF51" s="453">
        <v>0</v>
      </c>
      <c r="BG51" s="453">
        <v>0</v>
      </c>
      <c r="BH51" s="105">
        <v>0</v>
      </c>
      <c r="BI51" s="453">
        <v>0</v>
      </c>
      <c r="BJ51" s="453">
        <v>0</v>
      </c>
      <c r="BK51" s="105">
        <v>0</v>
      </c>
      <c r="BL51" s="453">
        <v>0</v>
      </c>
      <c r="BM51" s="453">
        <v>0</v>
      </c>
      <c r="BN51" s="453">
        <v>0</v>
      </c>
      <c r="BO51" s="453">
        <v>0</v>
      </c>
      <c r="BP51" s="453">
        <v>0</v>
      </c>
      <c r="BQ51" s="453">
        <v>0</v>
      </c>
      <c r="BR51" s="14">
        <v>0</v>
      </c>
      <c r="BS51" s="14">
        <v>0</v>
      </c>
      <c r="BT51" s="377" t="str">
        <v/>
      </c>
      <c r="BU51" s="105" t="str">
        <v/>
      </c>
      <c r="BV51" s="453" t="str">
        <v/>
      </c>
      <c r="BW51" s="105" t="str">
        <f ca="1"/>
        <v/>
      </c>
    </row>
    <row r="52" spans="1:75" x14ac:dyDescent="0.3">
      <c r="A52" s="1">
        <v>0</v>
      </c>
      <c r="B52" s="106">
        <v>0</v>
      </c>
      <c r="C52" s="14">
        <v>0</v>
      </c>
      <c r="D52" s="14">
        <v>0</v>
      </c>
      <c r="E52" s="14">
        <v>0</v>
      </c>
      <c r="F52" s="453">
        <v>0</v>
      </c>
      <c r="G52" s="377">
        <v>0</v>
      </c>
      <c r="H52" s="453">
        <v>0</v>
      </c>
      <c r="I52" s="453">
        <v>0</v>
      </c>
      <c r="J52" s="453">
        <v>0</v>
      </c>
      <c r="K52" s="453">
        <v>0</v>
      </c>
      <c r="L52" s="453">
        <v>0</v>
      </c>
      <c r="M52" s="453">
        <v>0</v>
      </c>
      <c r="N52" s="453">
        <v>0</v>
      </c>
      <c r="O52" s="453">
        <v>0</v>
      </c>
      <c r="P52" s="14">
        <v>0</v>
      </c>
      <c r="Q52" s="14">
        <v>0</v>
      </c>
      <c r="R52" s="453">
        <v>0</v>
      </c>
      <c r="S52" s="453">
        <v>0</v>
      </c>
      <c r="T52" s="453">
        <v>0</v>
      </c>
      <c r="U52" s="453">
        <v>0</v>
      </c>
      <c r="V52" s="453">
        <v>0</v>
      </c>
      <c r="W52" s="453">
        <v>0</v>
      </c>
      <c r="X52" s="453">
        <v>0</v>
      </c>
      <c r="Y52" s="453">
        <v>0</v>
      </c>
      <c r="Z52" s="453">
        <v>0</v>
      </c>
      <c r="AA52" s="14">
        <v>0</v>
      </c>
      <c r="AB52" s="14">
        <v>0</v>
      </c>
      <c r="AC52" s="453">
        <v>0</v>
      </c>
      <c r="AD52" s="14">
        <v>0</v>
      </c>
      <c r="AE52" s="14">
        <v>0</v>
      </c>
      <c r="AF52" s="14">
        <v>0</v>
      </c>
      <c r="AG52" s="14">
        <v>0</v>
      </c>
      <c r="AH52" s="14">
        <v>0</v>
      </c>
      <c r="AI52" s="14">
        <v>0</v>
      </c>
      <c r="AJ52" s="14">
        <v>0</v>
      </c>
      <c r="AK52" s="14">
        <v>0</v>
      </c>
      <c r="AL52" s="14">
        <v>0</v>
      </c>
      <c r="AM52" s="453">
        <v>0</v>
      </c>
      <c r="AN52" s="453">
        <v>0</v>
      </c>
      <c r="AO52" s="453">
        <v>0</v>
      </c>
      <c r="AP52" s="453">
        <v>0</v>
      </c>
      <c r="AQ52" s="453">
        <v>0</v>
      </c>
      <c r="AR52" s="453">
        <v>0</v>
      </c>
      <c r="AS52" s="453">
        <v>0</v>
      </c>
      <c r="AT52" s="453">
        <v>0</v>
      </c>
      <c r="AU52" s="453">
        <v>0</v>
      </c>
      <c r="AV52" s="453">
        <v>0</v>
      </c>
      <c r="AW52" s="453">
        <v>0</v>
      </c>
      <c r="AX52" s="453">
        <v>0</v>
      </c>
      <c r="AY52" s="453">
        <v>0</v>
      </c>
      <c r="AZ52" s="453">
        <v>0</v>
      </c>
      <c r="BA52" s="453">
        <v>0</v>
      </c>
      <c r="BB52" s="453">
        <v>0</v>
      </c>
      <c r="BC52" s="453">
        <v>0</v>
      </c>
      <c r="BD52" s="453">
        <v>0</v>
      </c>
      <c r="BE52" s="105">
        <v>0</v>
      </c>
      <c r="BF52" s="453">
        <v>0</v>
      </c>
      <c r="BG52" s="453">
        <v>0</v>
      </c>
      <c r="BH52" s="105">
        <v>0</v>
      </c>
      <c r="BI52" s="453">
        <v>0</v>
      </c>
      <c r="BJ52" s="453">
        <v>0</v>
      </c>
      <c r="BK52" s="105">
        <v>0</v>
      </c>
      <c r="BL52" s="453">
        <v>0</v>
      </c>
      <c r="BM52" s="453">
        <v>0</v>
      </c>
      <c r="BN52" s="453">
        <v>0</v>
      </c>
      <c r="BO52" s="453">
        <v>0</v>
      </c>
      <c r="BP52" s="453">
        <v>0</v>
      </c>
      <c r="BQ52" s="453">
        <v>0</v>
      </c>
      <c r="BR52" s="14">
        <v>0</v>
      </c>
      <c r="BS52" s="14">
        <v>0</v>
      </c>
      <c r="BT52" s="377" t="str">
        <v/>
      </c>
      <c r="BU52" s="105" t="str">
        <v/>
      </c>
      <c r="BV52" s="453" t="str">
        <v/>
      </c>
      <c r="BW52" s="105" t="str">
        <f ca="1"/>
        <v/>
      </c>
    </row>
    <row r="53" spans="1:75" x14ac:dyDescent="0.3">
      <c r="A53" s="1">
        <v>0</v>
      </c>
      <c r="B53" s="106">
        <v>0</v>
      </c>
      <c r="C53" s="14">
        <v>0</v>
      </c>
      <c r="D53" s="14">
        <v>0</v>
      </c>
      <c r="E53" s="14">
        <v>0</v>
      </c>
      <c r="F53" s="453">
        <v>0</v>
      </c>
      <c r="G53" s="377">
        <v>0</v>
      </c>
      <c r="H53" s="453">
        <v>0</v>
      </c>
      <c r="I53" s="453">
        <v>0</v>
      </c>
      <c r="J53" s="453">
        <v>0</v>
      </c>
      <c r="K53" s="453">
        <v>0</v>
      </c>
      <c r="L53" s="453">
        <v>0</v>
      </c>
      <c r="M53" s="453">
        <v>0</v>
      </c>
      <c r="N53" s="453">
        <v>0</v>
      </c>
      <c r="O53" s="453">
        <v>0</v>
      </c>
      <c r="P53" s="14">
        <v>0</v>
      </c>
      <c r="Q53" s="14">
        <v>0</v>
      </c>
      <c r="R53" s="453">
        <v>0</v>
      </c>
      <c r="S53" s="453">
        <v>0</v>
      </c>
      <c r="T53" s="453">
        <v>0</v>
      </c>
      <c r="U53" s="453">
        <v>0</v>
      </c>
      <c r="V53" s="453">
        <v>0</v>
      </c>
      <c r="W53" s="453">
        <v>0</v>
      </c>
      <c r="X53" s="453">
        <v>0</v>
      </c>
      <c r="Y53" s="453">
        <v>0</v>
      </c>
      <c r="Z53" s="453">
        <v>0</v>
      </c>
      <c r="AA53" s="14">
        <v>0</v>
      </c>
      <c r="AB53" s="14">
        <v>0</v>
      </c>
      <c r="AC53" s="453">
        <v>0</v>
      </c>
      <c r="AD53" s="14">
        <v>0</v>
      </c>
      <c r="AE53" s="14">
        <v>0</v>
      </c>
      <c r="AF53" s="14">
        <v>0</v>
      </c>
      <c r="AG53" s="14">
        <v>0</v>
      </c>
      <c r="AH53" s="14">
        <v>0</v>
      </c>
      <c r="AI53" s="14">
        <v>0</v>
      </c>
      <c r="AJ53" s="14">
        <v>0</v>
      </c>
      <c r="AK53" s="14">
        <v>0</v>
      </c>
      <c r="AL53" s="14">
        <v>0</v>
      </c>
      <c r="AM53" s="453">
        <v>0</v>
      </c>
      <c r="AN53" s="453">
        <v>0</v>
      </c>
      <c r="AO53" s="453">
        <v>0</v>
      </c>
      <c r="AP53" s="453">
        <v>0</v>
      </c>
      <c r="AQ53" s="453">
        <v>0</v>
      </c>
      <c r="AR53" s="453">
        <v>0</v>
      </c>
      <c r="AS53" s="453">
        <v>0</v>
      </c>
      <c r="AT53" s="453">
        <v>0</v>
      </c>
      <c r="AU53" s="453">
        <v>0</v>
      </c>
      <c r="AV53" s="453">
        <v>0</v>
      </c>
      <c r="AW53" s="453">
        <v>0</v>
      </c>
      <c r="AX53" s="453">
        <v>0</v>
      </c>
      <c r="AY53" s="453">
        <v>0</v>
      </c>
      <c r="AZ53" s="453">
        <v>0</v>
      </c>
      <c r="BA53" s="453">
        <v>0</v>
      </c>
      <c r="BB53" s="453">
        <v>0</v>
      </c>
      <c r="BC53" s="453">
        <v>0</v>
      </c>
      <c r="BD53" s="453">
        <v>0</v>
      </c>
      <c r="BE53" s="105">
        <v>0</v>
      </c>
      <c r="BF53" s="453">
        <v>0</v>
      </c>
      <c r="BG53" s="453">
        <v>0</v>
      </c>
      <c r="BH53" s="105">
        <v>0</v>
      </c>
      <c r="BI53" s="453">
        <v>0</v>
      </c>
      <c r="BJ53" s="453">
        <v>0</v>
      </c>
      <c r="BK53" s="105">
        <v>0</v>
      </c>
      <c r="BL53" s="453">
        <v>0</v>
      </c>
      <c r="BM53" s="453">
        <v>0</v>
      </c>
      <c r="BN53" s="453">
        <v>0</v>
      </c>
      <c r="BO53" s="453">
        <v>0</v>
      </c>
      <c r="BP53" s="453">
        <v>0</v>
      </c>
      <c r="BQ53" s="453">
        <v>0</v>
      </c>
      <c r="BR53" s="14">
        <v>0</v>
      </c>
      <c r="BS53" s="14">
        <v>0</v>
      </c>
      <c r="BT53" s="377" t="str">
        <v/>
      </c>
      <c r="BU53" s="105" t="str">
        <v/>
      </c>
      <c r="BV53" s="453" t="str">
        <v/>
      </c>
      <c r="BW53" s="105" t="str">
        <f ca="1"/>
        <v/>
      </c>
    </row>
    <row r="54" spans="1:75" x14ac:dyDescent="0.3">
      <c r="A54" s="1">
        <v>0</v>
      </c>
      <c r="B54" s="106">
        <v>0</v>
      </c>
      <c r="C54" s="14">
        <v>0</v>
      </c>
      <c r="D54" s="14">
        <v>0</v>
      </c>
      <c r="E54" s="14">
        <v>0</v>
      </c>
      <c r="F54" s="453">
        <v>0</v>
      </c>
      <c r="G54" s="377">
        <v>0</v>
      </c>
      <c r="H54" s="453">
        <v>0</v>
      </c>
      <c r="I54" s="453">
        <v>0</v>
      </c>
      <c r="J54" s="453">
        <v>0</v>
      </c>
      <c r="K54" s="453">
        <v>0</v>
      </c>
      <c r="L54" s="453">
        <v>0</v>
      </c>
      <c r="M54" s="453">
        <v>0</v>
      </c>
      <c r="N54" s="453">
        <v>0</v>
      </c>
      <c r="O54" s="453">
        <v>0</v>
      </c>
      <c r="P54" s="14">
        <v>0</v>
      </c>
      <c r="Q54" s="14">
        <v>0</v>
      </c>
      <c r="R54" s="453">
        <v>0</v>
      </c>
      <c r="S54" s="453">
        <v>0</v>
      </c>
      <c r="T54" s="453">
        <v>0</v>
      </c>
      <c r="U54" s="453">
        <v>0</v>
      </c>
      <c r="V54" s="453">
        <v>0</v>
      </c>
      <c r="W54" s="453">
        <v>0</v>
      </c>
      <c r="X54" s="453">
        <v>0</v>
      </c>
      <c r="Y54" s="453">
        <v>0</v>
      </c>
      <c r="Z54" s="453">
        <v>0</v>
      </c>
      <c r="AA54" s="14">
        <v>0</v>
      </c>
      <c r="AB54" s="14">
        <v>0</v>
      </c>
      <c r="AC54" s="453">
        <v>0</v>
      </c>
      <c r="AD54" s="14">
        <v>0</v>
      </c>
      <c r="AE54" s="14">
        <v>0</v>
      </c>
      <c r="AF54" s="14">
        <v>0</v>
      </c>
      <c r="AG54" s="14">
        <v>0</v>
      </c>
      <c r="AH54" s="14">
        <v>0</v>
      </c>
      <c r="AI54" s="14">
        <v>0</v>
      </c>
      <c r="AJ54" s="14">
        <v>0</v>
      </c>
      <c r="AK54" s="14">
        <v>0</v>
      </c>
      <c r="AL54" s="14">
        <v>0</v>
      </c>
      <c r="AM54" s="453">
        <v>0</v>
      </c>
      <c r="AN54" s="453">
        <v>0</v>
      </c>
      <c r="AO54" s="453">
        <v>0</v>
      </c>
      <c r="AP54" s="453">
        <v>0</v>
      </c>
      <c r="AQ54" s="453">
        <v>0</v>
      </c>
      <c r="AR54" s="453">
        <v>0</v>
      </c>
      <c r="AS54" s="453">
        <v>0</v>
      </c>
      <c r="AT54" s="453">
        <v>0</v>
      </c>
      <c r="AU54" s="453">
        <v>0</v>
      </c>
      <c r="AV54" s="453">
        <v>0</v>
      </c>
      <c r="AW54" s="453">
        <v>0</v>
      </c>
      <c r="AX54" s="453">
        <v>0</v>
      </c>
      <c r="AY54" s="453">
        <v>0</v>
      </c>
      <c r="AZ54" s="453">
        <v>0</v>
      </c>
      <c r="BA54" s="453">
        <v>0</v>
      </c>
      <c r="BB54" s="453">
        <v>0</v>
      </c>
      <c r="BC54" s="453">
        <v>0</v>
      </c>
      <c r="BD54" s="453">
        <v>0</v>
      </c>
      <c r="BE54" s="105">
        <v>0</v>
      </c>
      <c r="BF54" s="453">
        <v>0</v>
      </c>
      <c r="BG54" s="453">
        <v>0</v>
      </c>
      <c r="BH54" s="105">
        <v>0</v>
      </c>
      <c r="BI54" s="453">
        <v>0</v>
      </c>
      <c r="BJ54" s="453">
        <v>0</v>
      </c>
      <c r="BK54" s="105">
        <v>0</v>
      </c>
      <c r="BL54" s="453">
        <v>0</v>
      </c>
      <c r="BM54" s="453">
        <v>0</v>
      </c>
      <c r="BN54" s="453">
        <v>0</v>
      </c>
      <c r="BO54" s="453">
        <v>0</v>
      </c>
      <c r="BP54" s="453">
        <v>0</v>
      </c>
      <c r="BQ54" s="453">
        <v>0</v>
      </c>
      <c r="BR54" s="14">
        <v>0</v>
      </c>
      <c r="BS54" s="14">
        <v>0</v>
      </c>
      <c r="BT54" s="377" t="str">
        <v/>
      </c>
      <c r="BU54" s="105" t="str">
        <v/>
      </c>
      <c r="BV54" s="453" t="str">
        <v/>
      </c>
      <c r="BW54" s="105" t="str">
        <f ca="1"/>
        <v/>
      </c>
    </row>
    <row r="55" spans="1:75" x14ac:dyDescent="0.3">
      <c r="A55" s="1">
        <v>0</v>
      </c>
      <c r="B55" s="106">
        <v>0</v>
      </c>
      <c r="C55" s="14">
        <v>0</v>
      </c>
      <c r="D55" s="14">
        <v>0</v>
      </c>
      <c r="E55" s="14">
        <v>0</v>
      </c>
      <c r="F55" s="453">
        <v>0</v>
      </c>
      <c r="G55" s="377">
        <v>0</v>
      </c>
      <c r="H55" s="453">
        <v>0</v>
      </c>
      <c r="I55" s="453">
        <v>0</v>
      </c>
      <c r="J55" s="453">
        <v>0</v>
      </c>
      <c r="K55" s="453">
        <v>0</v>
      </c>
      <c r="L55" s="453">
        <v>0</v>
      </c>
      <c r="M55" s="453">
        <v>0</v>
      </c>
      <c r="N55" s="453">
        <v>0</v>
      </c>
      <c r="O55" s="453">
        <v>0</v>
      </c>
      <c r="P55" s="14">
        <v>0</v>
      </c>
      <c r="Q55" s="14">
        <v>0</v>
      </c>
      <c r="R55" s="453">
        <v>0</v>
      </c>
      <c r="S55" s="453">
        <v>0</v>
      </c>
      <c r="T55" s="453">
        <v>0</v>
      </c>
      <c r="U55" s="453">
        <v>0</v>
      </c>
      <c r="V55" s="453">
        <v>0</v>
      </c>
      <c r="W55" s="453">
        <v>0</v>
      </c>
      <c r="X55" s="453">
        <v>0</v>
      </c>
      <c r="Y55" s="453">
        <v>0</v>
      </c>
      <c r="Z55" s="453">
        <v>0</v>
      </c>
      <c r="AA55" s="14">
        <v>0</v>
      </c>
      <c r="AB55" s="14">
        <v>0</v>
      </c>
      <c r="AC55" s="453">
        <v>0</v>
      </c>
      <c r="AD55" s="14">
        <v>0</v>
      </c>
      <c r="AE55" s="14">
        <v>0</v>
      </c>
      <c r="AF55" s="14">
        <v>0</v>
      </c>
      <c r="AG55" s="14">
        <v>0</v>
      </c>
      <c r="AH55" s="14">
        <v>0</v>
      </c>
      <c r="AI55" s="14">
        <v>0</v>
      </c>
      <c r="AJ55" s="14">
        <v>0</v>
      </c>
      <c r="AK55" s="14">
        <v>0</v>
      </c>
      <c r="AL55" s="14">
        <v>0</v>
      </c>
      <c r="AM55" s="453">
        <v>0</v>
      </c>
      <c r="AN55" s="453">
        <v>0</v>
      </c>
      <c r="AO55" s="453">
        <v>0</v>
      </c>
      <c r="AP55" s="453">
        <v>0</v>
      </c>
      <c r="AQ55" s="453">
        <v>0</v>
      </c>
      <c r="AR55" s="453">
        <v>0</v>
      </c>
      <c r="AS55" s="453">
        <v>0</v>
      </c>
      <c r="AT55" s="453">
        <v>0</v>
      </c>
      <c r="AU55" s="453">
        <v>0</v>
      </c>
      <c r="AV55" s="453">
        <v>0</v>
      </c>
      <c r="AW55" s="453">
        <v>0</v>
      </c>
      <c r="AX55" s="453">
        <v>0</v>
      </c>
      <c r="AY55" s="453">
        <v>0</v>
      </c>
      <c r="AZ55" s="453">
        <v>0</v>
      </c>
      <c r="BA55" s="453">
        <v>0</v>
      </c>
      <c r="BB55" s="453">
        <v>0</v>
      </c>
      <c r="BC55" s="453">
        <v>0</v>
      </c>
      <c r="BD55" s="453">
        <v>0</v>
      </c>
      <c r="BE55" s="105">
        <v>0</v>
      </c>
      <c r="BF55" s="453">
        <v>0</v>
      </c>
      <c r="BG55" s="453">
        <v>0</v>
      </c>
      <c r="BH55" s="105">
        <v>0</v>
      </c>
      <c r="BI55" s="453">
        <v>0</v>
      </c>
      <c r="BJ55" s="453">
        <v>0</v>
      </c>
      <c r="BK55" s="105">
        <v>0</v>
      </c>
      <c r="BL55" s="453">
        <v>0</v>
      </c>
      <c r="BM55" s="453">
        <v>0</v>
      </c>
      <c r="BN55" s="453">
        <v>0</v>
      </c>
      <c r="BO55" s="453">
        <v>0</v>
      </c>
      <c r="BP55" s="453">
        <v>0</v>
      </c>
      <c r="BQ55" s="453">
        <v>0</v>
      </c>
      <c r="BR55" s="14">
        <v>0</v>
      </c>
      <c r="BS55" s="14">
        <v>0</v>
      </c>
      <c r="BT55" s="377" t="str">
        <v/>
      </c>
      <c r="BU55" s="105" t="str">
        <v/>
      </c>
      <c r="BV55" s="453" t="str">
        <v/>
      </c>
      <c r="BW55" s="105" t="str">
        <f ca="1"/>
        <v/>
      </c>
    </row>
    <row r="56" spans="1:75" x14ac:dyDescent="0.3">
      <c r="A56" s="1">
        <v>0</v>
      </c>
      <c r="B56" s="106">
        <v>0</v>
      </c>
      <c r="C56" s="14">
        <v>0</v>
      </c>
      <c r="D56" s="14">
        <v>0</v>
      </c>
      <c r="E56" s="14">
        <v>0</v>
      </c>
      <c r="F56" s="453">
        <v>0</v>
      </c>
      <c r="G56" s="377">
        <v>0</v>
      </c>
      <c r="H56" s="453">
        <v>0</v>
      </c>
      <c r="I56" s="453">
        <v>0</v>
      </c>
      <c r="J56" s="453">
        <v>0</v>
      </c>
      <c r="K56" s="453">
        <v>0</v>
      </c>
      <c r="L56" s="453">
        <v>0</v>
      </c>
      <c r="M56" s="453">
        <v>0</v>
      </c>
      <c r="N56" s="453">
        <v>0</v>
      </c>
      <c r="O56" s="453">
        <v>0</v>
      </c>
      <c r="P56" s="14">
        <v>0</v>
      </c>
      <c r="Q56" s="14">
        <v>0</v>
      </c>
      <c r="R56" s="453">
        <v>0</v>
      </c>
      <c r="S56" s="453">
        <v>0</v>
      </c>
      <c r="T56" s="453">
        <v>0</v>
      </c>
      <c r="U56" s="453">
        <v>0</v>
      </c>
      <c r="V56" s="453">
        <v>0</v>
      </c>
      <c r="W56" s="453">
        <v>0</v>
      </c>
      <c r="X56" s="453">
        <v>0</v>
      </c>
      <c r="Y56" s="453">
        <v>0</v>
      </c>
      <c r="Z56" s="453">
        <v>0</v>
      </c>
      <c r="AA56" s="14">
        <v>0</v>
      </c>
      <c r="AB56" s="14">
        <v>0</v>
      </c>
      <c r="AC56" s="453">
        <v>0</v>
      </c>
      <c r="AD56" s="14">
        <v>0</v>
      </c>
      <c r="AE56" s="14">
        <v>0</v>
      </c>
      <c r="AF56" s="14">
        <v>0</v>
      </c>
      <c r="AG56" s="14">
        <v>0</v>
      </c>
      <c r="AH56" s="14">
        <v>0</v>
      </c>
      <c r="AI56" s="14">
        <v>0</v>
      </c>
      <c r="AJ56" s="14">
        <v>0</v>
      </c>
      <c r="AK56" s="14">
        <v>0</v>
      </c>
      <c r="AL56" s="14">
        <v>0</v>
      </c>
      <c r="AM56" s="453">
        <v>0</v>
      </c>
      <c r="AN56" s="453">
        <v>0</v>
      </c>
      <c r="AO56" s="453">
        <v>0</v>
      </c>
      <c r="AP56" s="453">
        <v>0</v>
      </c>
      <c r="AQ56" s="453">
        <v>0</v>
      </c>
      <c r="AR56" s="453">
        <v>0</v>
      </c>
      <c r="AS56" s="453">
        <v>0</v>
      </c>
      <c r="AT56" s="453">
        <v>0</v>
      </c>
      <c r="AU56" s="453">
        <v>0</v>
      </c>
      <c r="AV56" s="453">
        <v>0</v>
      </c>
      <c r="AW56" s="453">
        <v>0</v>
      </c>
      <c r="AX56" s="453">
        <v>0</v>
      </c>
      <c r="AY56" s="453">
        <v>0</v>
      </c>
      <c r="AZ56" s="453">
        <v>0</v>
      </c>
      <c r="BA56" s="453">
        <v>0</v>
      </c>
      <c r="BB56" s="453">
        <v>0</v>
      </c>
      <c r="BC56" s="453">
        <v>0</v>
      </c>
      <c r="BD56" s="453">
        <v>0</v>
      </c>
      <c r="BE56" s="105">
        <v>0</v>
      </c>
      <c r="BF56" s="453">
        <v>0</v>
      </c>
      <c r="BG56" s="453">
        <v>0</v>
      </c>
      <c r="BH56" s="105">
        <v>0</v>
      </c>
      <c r="BI56" s="453">
        <v>0</v>
      </c>
      <c r="BJ56" s="453">
        <v>0</v>
      </c>
      <c r="BK56" s="105">
        <v>0</v>
      </c>
      <c r="BL56" s="453">
        <v>0</v>
      </c>
      <c r="BM56" s="453">
        <v>0</v>
      </c>
      <c r="BN56" s="453">
        <v>0</v>
      </c>
      <c r="BO56" s="453">
        <v>0</v>
      </c>
      <c r="BP56" s="453">
        <v>0</v>
      </c>
      <c r="BQ56" s="453">
        <v>0</v>
      </c>
      <c r="BR56" s="14">
        <v>0</v>
      </c>
      <c r="BS56" s="14">
        <v>0</v>
      </c>
      <c r="BT56" s="377" t="str">
        <v/>
      </c>
      <c r="BU56" s="105" t="str">
        <v/>
      </c>
      <c r="BV56" s="453" t="str">
        <v/>
      </c>
      <c r="BW56" s="105" t="str">
        <f ca="1"/>
        <v/>
      </c>
    </row>
    <row r="57" spans="1:75" x14ac:dyDescent="0.3">
      <c r="A57" s="1">
        <v>0</v>
      </c>
      <c r="B57" s="106">
        <v>0</v>
      </c>
      <c r="C57" s="14">
        <v>0</v>
      </c>
      <c r="D57" s="14">
        <v>0</v>
      </c>
      <c r="E57" s="14">
        <v>0</v>
      </c>
      <c r="F57" s="453">
        <v>0</v>
      </c>
      <c r="G57" s="377">
        <v>0</v>
      </c>
      <c r="H57" s="453">
        <v>0</v>
      </c>
      <c r="I57" s="453">
        <v>0</v>
      </c>
      <c r="J57" s="453">
        <v>0</v>
      </c>
      <c r="K57" s="453">
        <v>0</v>
      </c>
      <c r="L57" s="453">
        <v>0</v>
      </c>
      <c r="M57" s="453">
        <v>0</v>
      </c>
      <c r="N57" s="453">
        <v>0</v>
      </c>
      <c r="O57" s="453">
        <v>0</v>
      </c>
      <c r="P57" s="14">
        <v>0</v>
      </c>
      <c r="Q57" s="14">
        <v>0</v>
      </c>
      <c r="R57" s="453">
        <v>0</v>
      </c>
      <c r="S57" s="453">
        <v>0</v>
      </c>
      <c r="T57" s="453">
        <v>0</v>
      </c>
      <c r="U57" s="453">
        <v>0</v>
      </c>
      <c r="V57" s="453">
        <v>0</v>
      </c>
      <c r="W57" s="453">
        <v>0</v>
      </c>
      <c r="X57" s="453">
        <v>0</v>
      </c>
      <c r="Y57" s="453">
        <v>0</v>
      </c>
      <c r="Z57" s="453">
        <v>0</v>
      </c>
      <c r="AA57" s="14">
        <v>0</v>
      </c>
      <c r="AB57" s="14">
        <v>0</v>
      </c>
      <c r="AC57" s="453">
        <v>0</v>
      </c>
      <c r="AD57" s="14">
        <v>0</v>
      </c>
      <c r="AE57" s="14">
        <v>0</v>
      </c>
      <c r="AF57" s="14">
        <v>0</v>
      </c>
      <c r="AG57" s="14">
        <v>0</v>
      </c>
      <c r="AH57" s="14">
        <v>0</v>
      </c>
      <c r="AI57" s="14">
        <v>0</v>
      </c>
      <c r="AJ57" s="14">
        <v>0</v>
      </c>
      <c r="AK57" s="14">
        <v>0</v>
      </c>
      <c r="AL57" s="14">
        <v>0</v>
      </c>
      <c r="AM57" s="453">
        <v>0</v>
      </c>
      <c r="AN57" s="453">
        <v>0</v>
      </c>
      <c r="AO57" s="453">
        <v>0</v>
      </c>
      <c r="AP57" s="453">
        <v>0</v>
      </c>
      <c r="AQ57" s="453">
        <v>0</v>
      </c>
      <c r="AR57" s="453">
        <v>0</v>
      </c>
      <c r="AS57" s="453">
        <v>0</v>
      </c>
      <c r="AT57" s="453">
        <v>0</v>
      </c>
      <c r="AU57" s="453">
        <v>0</v>
      </c>
      <c r="AV57" s="453">
        <v>0</v>
      </c>
      <c r="AW57" s="453">
        <v>0</v>
      </c>
      <c r="AX57" s="453">
        <v>0</v>
      </c>
      <c r="AY57" s="453">
        <v>0</v>
      </c>
      <c r="AZ57" s="453">
        <v>0</v>
      </c>
      <c r="BA57" s="453">
        <v>0</v>
      </c>
      <c r="BB57" s="453">
        <v>0</v>
      </c>
      <c r="BC57" s="453">
        <v>0</v>
      </c>
      <c r="BD57" s="453">
        <v>0</v>
      </c>
      <c r="BE57" s="105">
        <v>0</v>
      </c>
      <c r="BF57" s="453">
        <v>0</v>
      </c>
      <c r="BG57" s="453">
        <v>0</v>
      </c>
      <c r="BH57" s="105">
        <v>0</v>
      </c>
      <c r="BI57" s="453">
        <v>0</v>
      </c>
      <c r="BJ57" s="453">
        <v>0</v>
      </c>
      <c r="BK57" s="105">
        <v>0</v>
      </c>
      <c r="BL57" s="453">
        <v>0</v>
      </c>
      <c r="BM57" s="453">
        <v>0</v>
      </c>
      <c r="BN57" s="453">
        <v>0</v>
      </c>
      <c r="BO57" s="453">
        <v>0</v>
      </c>
      <c r="BP57" s="453">
        <v>0</v>
      </c>
      <c r="BQ57" s="453">
        <v>0</v>
      </c>
      <c r="BR57" s="14">
        <v>0</v>
      </c>
      <c r="BS57" s="14">
        <v>0</v>
      </c>
      <c r="BT57" s="377" t="str">
        <v/>
      </c>
      <c r="BU57" s="105" t="str">
        <v/>
      </c>
      <c r="BV57" s="453" t="str">
        <v/>
      </c>
      <c r="BW57" s="105" t="str">
        <f ca="1"/>
        <v/>
      </c>
    </row>
    <row r="58" spans="1:75" x14ac:dyDescent="0.3">
      <c r="A58" s="1">
        <v>0</v>
      </c>
      <c r="B58" s="106">
        <v>0</v>
      </c>
      <c r="C58" s="14">
        <v>0</v>
      </c>
      <c r="D58" s="14">
        <v>0</v>
      </c>
      <c r="E58" s="14">
        <v>0</v>
      </c>
      <c r="F58" s="453">
        <v>0</v>
      </c>
      <c r="G58" s="377">
        <v>0</v>
      </c>
      <c r="H58" s="453">
        <v>0</v>
      </c>
      <c r="I58" s="453">
        <v>0</v>
      </c>
      <c r="J58" s="453">
        <v>0</v>
      </c>
      <c r="K58" s="453">
        <v>0</v>
      </c>
      <c r="L58" s="453">
        <v>0</v>
      </c>
      <c r="M58" s="453">
        <v>0</v>
      </c>
      <c r="N58" s="453">
        <v>0</v>
      </c>
      <c r="O58" s="453">
        <v>0</v>
      </c>
      <c r="P58" s="14">
        <v>0</v>
      </c>
      <c r="Q58" s="14">
        <v>0</v>
      </c>
      <c r="R58" s="453">
        <v>0</v>
      </c>
      <c r="S58" s="453">
        <v>0</v>
      </c>
      <c r="T58" s="453">
        <v>0</v>
      </c>
      <c r="U58" s="453">
        <v>0</v>
      </c>
      <c r="V58" s="453">
        <v>0</v>
      </c>
      <c r="W58" s="453">
        <v>0</v>
      </c>
      <c r="X58" s="453">
        <v>0</v>
      </c>
      <c r="Y58" s="453">
        <v>0</v>
      </c>
      <c r="Z58" s="453">
        <v>0</v>
      </c>
      <c r="AA58" s="14">
        <v>0</v>
      </c>
      <c r="AB58" s="14">
        <v>0</v>
      </c>
      <c r="AC58" s="453">
        <v>0</v>
      </c>
      <c r="AD58" s="14">
        <v>0</v>
      </c>
      <c r="AE58" s="14">
        <v>0</v>
      </c>
      <c r="AF58" s="14">
        <v>0</v>
      </c>
      <c r="AG58" s="14">
        <v>0</v>
      </c>
      <c r="AH58" s="14">
        <v>0</v>
      </c>
      <c r="AI58" s="14">
        <v>0</v>
      </c>
      <c r="AJ58" s="14">
        <v>0</v>
      </c>
      <c r="AK58" s="14">
        <v>0</v>
      </c>
      <c r="AL58" s="14">
        <v>0</v>
      </c>
      <c r="AM58" s="453">
        <v>0</v>
      </c>
      <c r="AN58" s="453">
        <v>0</v>
      </c>
      <c r="AO58" s="453">
        <v>0</v>
      </c>
      <c r="AP58" s="453">
        <v>0</v>
      </c>
      <c r="AQ58" s="453">
        <v>0</v>
      </c>
      <c r="AR58" s="453">
        <v>0</v>
      </c>
      <c r="AS58" s="453">
        <v>0</v>
      </c>
      <c r="AT58" s="453">
        <v>0</v>
      </c>
      <c r="AU58" s="453">
        <v>0</v>
      </c>
      <c r="AV58" s="453">
        <v>0</v>
      </c>
      <c r="AW58" s="453">
        <v>0</v>
      </c>
      <c r="AX58" s="453">
        <v>0</v>
      </c>
      <c r="AY58" s="453">
        <v>0</v>
      </c>
      <c r="AZ58" s="453">
        <v>0</v>
      </c>
      <c r="BA58" s="453">
        <v>0</v>
      </c>
      <c r="BB58" s="453">
        <v>0</v>
      </c>
      <c r="BC58" s="453">
        <v>0</v>
      </c>
      <c r="BD58" s="453">
        <v>0</v>
      </c>
      <c r="BE58" s="105">
        <v>0</v>
      </c>
      <c r="BF58" s="453">
        <v>0</v>
      </c>
      <c r="BG58" s="453">
        <v>0</v>
      </c>
      <c r="BH58" s="105">
        <v>0</v>
      </c>
      <c r="BI58" s="453">
        <v>0</v>
      </c>
      <c r="BJ58" s="453">
        <v>0</v>
      </c>
      <c r="BK58" s="105">
        <v>0</v>
      </c>
      <c r="BL58" s="453">
        <v>0</v>
      </c>
      <c r="BM58" s="453">
        <v>0</v>
      </c>
      <c r="BN58" s="453">
        <v>0</v>
      </c>
      <c r="BO58" s="453">
        <v>0</v>
      </c>
      <c r="BP58" s="453">
        <v>0</v>
      </c>
      <c r="BQ58" s="453">
        <v>0</v>
      </c>
      <c r="BR58" s="14">
        <v>0</v>
      </c>
      <c r="BS58" s="14">
        <v>0</v>
      </c>
      <c r="BT58" s="377" t="str">
        <v/>
      </c>
      <c r="BU58" s="105" t="str">
        <v/>
      </c>
      <c r="BV58" s="453" t="str">
        <v/>
      </c>
      <c r="BW58" s="105" t="str">
        <f ca="1"/>
        <v/>
      </c>
    </row>
    <row r="59" spans="1:75" x14ac:dyDescent="0.3">
      <c r="A59" s="1">
        <v>0</v>
      </c>
      <c r="B59" s="106">
        <v>0</v>
      </c>
      <c r="C59" s="14">
        <v>0</v>
      </c>
      <c r="D59" s="14">
        <v>0</v>
      </c>
      <c r="E59" s="14">
        <v>0</v>
      </c>
      <c r="F59" s="453">
        <v>0</v>
      </c>
      <c r="G59" s="377">
        <v>0</v>
      </c>
      <c r="H59" s="453">
        <v>0</v>
      </c>
      <c r="I59" s="453">
        <v>0</v>
      </c>
      <c r="J59" s="453">
        <v>0</v>
      </c>
      <c r="K59" s="453">
        <v>0</v>
      </c>
      <c r="L59" s="453">
        <v>0</v>
      </c>
      <c r="M59" s="453">
        <v>0</v>
      </c>
      <c r="N59" s="453">
        <v>0</v>
      </c>
      <c r="O59" s="453">
        <v>0</v>
      </c>
      <c r="P59" s="14">
        <v>0</v>
      </c>
      <c r="Q59" s="14">
        <v>0</v>
      </c>
      <c r="R59" s="453">
        <v>0</v>
      </c>
      <c r="S59" s="453">
        <v>0</v>
      </c>
      <c r="T59" s="453">
        <v>0</v>
      </c>
      <c r="U59" s="453">
        <v>0</v>
      </c>
      <c r="V59" s="453">
        <v>0</v>
      </c>
      <c r="W59" s="453">
        <v>0</v>
      </c>
      <c r="X59" s="453">
        <v>0</v>
      </c>
      <c r="Y59" s="453">
        <v>0</v>
      </c>
      <c r="Z59" s="453">
        <v>0</v>
      </c>
      <c r="AA59" s="14">
        <v>0</v>
      </c>
      <c r="AB59" s="14">
        <v>0</v>
      </c>
      <c r="AC59" s="453">
        <v>0</v>
      </c>
      <c r="AD59" s="14">
        <v>0</v>
      </c>
      <c r="AE59" s="14">
        <v>0</v>
      </c>
      <c r="AF59" s="14">
        <v>0</v>
      </c>
      <c r="AG59" s="14">
        <v>0</v>
      </c>
      <c r="AH59" s="14">
        <v>0</v>
      </c>
      <c r="AI59" s="14">
        <v>0</v>
      </c>
      <c r="AJ59" s="14">
        <v>0</v>
      </c>
      <c r="AK59" s="14">
        <v>0</v>
      </c>
      <c r="AL59" s="14">
        <v>0</v>
      </c>
      <c r="AM59" s="453">
        <v>0</v>
      </c>
      <c r="AN59" s="453">
        <v>0</v>
      </c>
      <c r="AO59" s="453">
        <v>0</v>
      </c>
      <c r="AP59" s="453">
        <v>0</v>
      </c>
      <c r="AQ59" s="453">
        <v>0</v>
      </c>
      <c r="AR59" s="453">
        <v>0</v>
      </c>
      <c r="AS59" s="453">
        <v>0</v>
      </c>
      <c r="AT59" s="453">
        <v>0</v>
      </c>
      <c r="AU59" s="453">
        <v>0</v>
      </c>
      <c r="AV59" s="453">
        <v>0</v>
      </c>
      <c r="AW59" s="453">
        <v>0</v>
      </c>
      <c r="AX59" s="453">
        <v>0</v>
      </c>
      <c r="AY59" s="453">
        <v>0</v>
      </c>
      <c r="AZ59" s="453">
        <v>0</v>
      </c>
      <c r="BA59" s="453">
        <v>0</v>
      </c>
      <c r="BB59" s="453">
        <v>0</v>
      </c>
      <c r="BC59" s="453">
        <v>0</v>
      </c>
      <c r="BD59" s="453">
        <v>0</v>
      </c>
      <c r="BE59" s="105">
        <v>0</v>
      </c>
      <c r="BF59" s="453">
        <v>0</v>
      </c>
      <c r="BG59" s="453">
        <v>0</v>
      </c>
      <c r="BH59" s="105">
        <v>0</v>
      </c>
      <c r="BI59" s="453">
        <v>0</v>
      </c>
      <c r="BJ59" s="453">
        <v>0</v>
      </c>
      <c r="BK59" s="105">
        <v>0</v>
      </c>
      <c r="BL59" s="453">
        <v>0</v>
      </c>
      <c r="BM59" s="453">
        <v>0</v>
      </c>
      <c r="BN59" s="453">
        <v>0</v>
      </c>
      <c r="BO59" s="453">
        <v>0</v>
      </c>
      <c r="BP59" s="453">
        <v>0</v>
      </c>
      <c r="BQ59" s="453">
        <v>0</v>
      </c>
      <c r="BR59" s="14">
        <v>0</v>
      </c>
      <c r="BS59" s="14">
        <v>0</v>
      </c>
      <c r="BT59" s="377" t="str">
        <v/>
      </c>
      <c r="BU59" s="105" t="str">
        <v/>
      </c>
      <c r="BV59" s="453" t="str">
        <v/>
      </c>
      <c r="BW59" s="105" t="str">
        <f ca="1"/>
        <v/>
      </c>
    </row>
    <row r="60" spans="1:75" x14ac:dyDescent="0.3">
      <c r="A60" s="1">
        <v>0</v>
      </c>
      <c r="B60" s="106">
        <v>0</v>
      </c>
      <c r="C60" s="14">
        <v>0</v>
      </c>
      <c r="D60" s="14">
        <v>0</v>
      </c>
      <c r="E60" s="14">
        <v>0</v>
      </c>
      <c r="F60" s="453">
        <v>0</v>
      </c>
      <c r="G60" s="377">
        <v>0</v>
      </c>
      <c r="H60" s="453">
        <v>0</v>
      </c>
      <c r="I60" s="453">
        <v>0</v>
      </c>
      <c r="J60" s="453">
        <v>0</v>
      </c>
      <c r="K60" s="453">
        <v>0</v>
      </c>
      <c r="L60" s="453">
        <v>0</v>
      </c>
      <c r="M60" s="453">
        <v>0</v>
      </c>
      <c r="N60" s="453">
        <v>0</v>
      </c>
      <c r="O60" s="453">
        <v>0</v>
      </c>
      <c r="P60" s="14">
        <v>0</v>
      </c>
      <c r="Q60" s="14">
        <v>0</v>
      </c>
      <c r="R60" s="453">
        <v>0</v>
      </c>
      <c r="S60" s="453">
        <v>0</v>
      </c>
      <c r="T60" s="453">
        <v>0</v>
      </c>
      <c r="U60" s="453">
        <v>0</v>
      </c>
      <c r="V60" s="453">
        <v>0</v>
      </c>
      <c r="W60" s="453">
        <v>0</v>
      </c>
      <c r="X60" s="453">
        <v>0</v>
      </c>
      <c r="Y60" s="453">
        <v>0</v>
      </c>
      <c r="Z60" s="453">
        <v>0</v>
      </c>
      <c r="AA60" s="14">
        <v>0</v>
      </c>
      <c r="AB60" s="14">
        <v>0</v>
      </c>
      <c r="AC60" s="453">
        <v>0</v>
      </c>
      <c r="AD60" s="14">
        <v>0</v>
      </c>
      <c r="AE60" s="14">
        <v>0</v>
      </c>
      <c r="AF60" s="14">
        <v>0</v>
      </c>
      <c r="AG60" s="14">
        <v>0</v>
      </c>
      <c r="AH60" s="14">
        <v>0</v>
      </c>
      <c r="AI60" s="14">
        <v>0</v>
      </c>
      <c r="AJ60" s="14">
        <v>0</v>
      </c>
      <c r="AK60" s="14">
        <v>0</v>
      </c>
      <c r="AL60" s="14">
        <v>0</v>
      </c>
      <c r="AM60" s="453">
        <v>0</v>
      </c>
      <c r="AN60" s="453">
        <v>0</v>
      </c>
      <c r="AO60" s="453">
        <v>0</v>
      </c>
      <c r="AP60" s="453">
        <v>0</v>
      </c>
      <c r="AQ60" s="453">
        <v>0</v>
      </c>
      <c r="AR60" s="453">
        <v>0</v>
      </c>
      <c r="AS60" s="453">
        <v>0</v>
      </c>
      <c r="AT60" s="453">
        <v>0</v>
      </c>
      <c r="AU60" s="453">
        <v>0</v>
      </c>
      <c r="AV60" s="453">
        <v>0</v>
      </c>
      <c r="AW60" s="453">
        <v>0</v>
      </c>
      <c r="AX60" s="453">
        <v>0</v>
      </c>
      <c r="AY60" s="453">
        <v>0</v>
      </c>
      <c r="AZ60" s="453">
        <v>0</v>
      </c>
      <c r="BA60" s="453">
        <v>0</v>
      </c>
      <c r="BB60" s="453">
        <v>0</v>
      </c>
      <c r="BC60" s="453">
        <v>0</v>
      </c>
      <c r="BD60" s="453">
        <v>0</v>
      </c>
      <c r="BE60" s="105">
        <v>0</v>
      </c>
      <c r="BF60" s="453">
        <v>0</v>
      </c>
      <c r="BG60" s="453">
        <v>0</v>
      </c>
      <c r="BH60" s="105">
        <v>0</v>
      </c>
      <c r="BI60" s="453">
        <v>0</v>
      </c>
      <c r="BJ60" s="453">
        <v>0</v>
      </c>
      <c r="BK60" s="105">
        <v>0</v>
      </c>
      <c r="BL60" s="453">
        <v>0</v>
      </c>
      <c r="BM60" s="453">
        <v>0</v>
      </c>
      <c r="BN60" s="453">
        <v>0</v>
      </c>
      <c r="BO60" s="453">
        <v>0</v>
      </c>
      <c r="BP60" s="453">
        <v>0</v>
      </c>
      <c r="BQ60" s="453">
        <v>0</v>
      </c>
      <c r="BR60" s="14">
        <v>0</v>
      </c>
      <c r="BS60" s="14">
        <v>0</v>
      </c>
      <c r="BT60" s="377" t="str">
        <v/>
      </c>
      <c r="BU60" s="105" t="str">
        <v/>
      </c>
      <c r="BV60" s="453" t="str">
        <v/>
      </c>
      <c r="BW60" s="105" t="str">
        <f ca="1"/>
        <v/>
      </c>
    </row>
    <row r="61" spans="1:75" x14ac:dyDescent="0.3">
      <c r="A61" s="1">
        <v>0</v>
      </c>
      <c r="B61" s="106">
        <v>0</v>
      </c>
      <c r="C61" s="14">
        <v>0</v>
      </c>
      <c r="D61" s="14">
        <v>0</v>
      </c>
      <c r="E61" s="14">
        <v>0</v>
      </c>
      <c r="F61" s="453">
        <v>0</v>
      </c>
      <c r="G61" s="377">
        <v>0</v>
      </c>
      <c r="H61" s="453">
        <v>0</v>
      </c>
      <c r="I61" s="453">
        <v>0</v>
      </c>
      <c r="J61" s="453">
        <v>0</v>
      </c>
      <c r="K61" s="453">
        <v>0</v>
      </c>
      <c r="L61" s="453">
        <v>0</v>
      </c>
      <c r="M61" s="453">
        <v>0</v>
      </c>
      <c r="N61" s="453">
        <v>0</v>
      </c>
      <c r="O61" s="453">
        <v>0</v>
      </c>
      <c r="P61" s="14">
        <v>0</v>
      </c>
      <c r="Q61" s="14">
        <v>0</v>
      </c>
      <c r="R61" s="453">
        <v>0</v>
      </c>
      <c r="S61" s="453">
        <v>0</v>
      </c>
      <c r="T61" s="453">
        <v>0</v>
      </c>
      <c r="U61" s="453">
        <v>0</v>
      </c>
      <c r="V61" s="453">
        <v>0</v>
      </c>
      <c r="W61" s="453">
        <v>0</v>
      </c>
      <c r="X61" s="453">
        <v>0</v>
      </c>
      <c r="Y61" s="453">
        <v>0</v>
      </c>
      <c r="Z61" s="453">
        <v>0</v>
      </c>
      <c r="AA61" s="14">
        <v>0</v>
      </c>
      <c r="AB61" s="14">
        <v>0</v>
      </c>
      <c r="AC61" s="453">
        <v>0</v>
      </c>
      <c r="AD61" s="14">
        <v>0</v>
      </c>
      <c r="AE61" s="14">
        <v>0</v>
      </c>
      <c r="AF61" s="14">
        <v>0</v>
      </c>
      <c r="AG61" s="14">
        <v>0</v>
      </c>
      <c r="AH61" s="14">
        <v>0</v>
      </c>
      <c r="AI61" s="14">
        <v>0</v>
      </c>
      <c r="AJ61" s="14">
        <v>0</v>
      </c>
      <c r="AK61" s="14">
        <v>0</v>
      </c>
      <c r="AL61" s="14">
        <v>0</v>
      </c>
      <c r="AM61" s="453">
        <v>0</v>
      </c>
      <c r="AN61" s="453">
        <v>0</v>
      </c>
      <c r="AO61" s="453">
        <v>0</v>
      </c>
      <c r="AP61" s="453">
        <v>0</v>
      </c>
      <c r="AQ61" s="453">
        <v>0</v>
      </c>
      <c r="AR61" s="453">
        <v>0</v>
      </c>
      <c r="AS61" s="453">
        <v>0</v>
      </c>
      <c r="AT61" s="453">
        <v>0</v>
      </c>
      <c r="AU61" s="453">
        <v>0</v>
      </c>
      <c r="AV61" s="453">
        <v>0</v>
      </c>
      <c r="AW61" s="453">
        <v>0</v>
      </c>
      <c r="AX61" s="453">
        <v>0</v>
      </c>
      <c r="AY61" s="453">
        <v>0</v>
      </c>
      <c r="AZ61" s="453">
        <v>0</v>
      </c>
      <c r="BA61" s="453">
        <v>0</v>
      </c>
      <c r="BB61" s="453">
        <v>0</v>
      </c>
      <c r="BC61" s="453">
        <v>0</v>
      </c>
      <c r="BD61" s="453">
        <v>0</v>
      </c>
      <c r="BE61" s="105">
        <v>0</v>
      </c>
      <c r="BF61" s="453">
        <v>0</v>
      </c>
      <c r="BG61" s="453">
        <v>0</v>
      </c>
      <c r="BH61" s="105">
        <v>0</v>
      </c>
      <c r="BI61" s="453">
        <v>0</v>
      </c>
      <c r="BJ61" s="453">
        <v>0</v>
      </c>
      <c r="BK61" s="105">
        <v>0</v>
      </c>
      <c r="BL61" s="453">
        <v>0</v>
      </c>
      <c r="BM61" s="453">
        <v>0</v>
      </c>
      <c r="BN61" s="453">
        <v>0</v>
      </c>
      <c r="BO61" s="453">
        <v>0</v>
      </c>
      <c r="BP61" s="453">
        <v>0</v>
      </c>
      <c r="BQ61" s="453">
        <v>0</v>
      </c>
      <c r="BR61" s="14">
        <v>0</v>
      </c>
      <c r="BS61" s="14">
        <v>0</v>
      </c>
      <c r="BT61" s="377" t="str">
        <v/>
      </c>
      <c r="BU61" s="105" t="str">
        <v/>
      </c>
      <c r="BV61" s="453" t="str">
        <v/>
      </c>
      <c r="BW61" s="105" t="str">
        <f ca="1"/>
        <v/>
      </c>
    </row>
    <row r="62" spans="1:75" x14ac:dyDescent="0.3">
      <c r="A62" s="1">
        <v>0</v>
      </c>
      <c r="B62" s="106">
        <v>0</v>
      </c>
      <c r="C62" s="14">
        <v>0</v>
      </c>
      <c r="D62" s="14">
        <v>0</v>
      </c>
      <c r="E62" s="14">
        <v>0</v>
      </c>
      <c r="F62" s="453">
        <v>0</v>
      </c>
      <c r="G62" s="377">
        <v>0</v>
      </c>
      <c r="H62" s="453">
        <v>0</v>
      </c>
      <c r="I62" s="453">
        <v>0</v>
      </c>
      <c r="J62" s="453">
        <v>0</v>
      </c>
      <c r="K62" s="453">
        <v>0</v>
      </c>
      <c r="L62" s="453">
        <v>0</v>
      </c>
      <c r="M62" s="453">
        <v>0</v>
      </c>
      <c r="N62" s="453">
        <v>0</v>
      </c>
      <c r="O62" s="453">
        <v>0</v>
      </c>
      <c r="P62" s="14">
        <v>0</v>
      </c>
      <c r="Q62" s="14">
        <v>0</v>
      </c>
      <c r="R62" s="453">
        <v>0</v>
      </c>
      <c r="S62" s="453">
        <v>0</v>
      </c>
      <c r="T62" s="453">
        <v>0</v>
      </c>
      <c r="U62" s="453">
        <v>0</v>
      </c>
      <c r="V62" s="453">
        <v>0</v>
      </c>
      <c r="W62" s="453">
        <v>0</v>
      </c>
      <c r="X62" s="453">
        <v>0</v>
      </c>
      <c r="Y62" s="453">
        <v>0</v>
      </c>
      <c r="Z62" s="453">
        <v>0</v>
      </c>
      <c r="AA62" s="14">
        <v>0</v>
      </c>
      <c r="AB62" s="14">
        <v>0</v>
      </c>
      <c r="AC62" s="453">
        <v>0</v>
      </c>
      <c r="AD62" s="14">
        <v>0</v>
      </c>
      <c r="AE62" s="14">
        <v>0</v>
      </c>
      <c r="AF62" s="14">
        <v>0</v>
      </c>
      <c r="AG62" s="14">
        <v>0</v>
      </c>
      <c r="AH62" s="14">
        <v>0</v>
      </c>
      <c r="AI62" s="14">
        <v>0</v>
      </c>
      <c r="AJ62" s="14">
        <v>0</v>
      </c>
      <c r="AK62" s="14">
        <v>0</v>
      </c>
      <c r="AL62" s="14">
        <v>0</v>
      </c>
      <c r="AM62" s="453">
        <v>0</v>
      </c>
      <c r="AN62" s="453">
        <v>0</v>
      </c>
      <c r="AO62" s="453">
        <v>0</v>
      </c>
      <c r="AP62" s="453">
        <v>0</v>
      </c>
      <c r="AQ62" s="453">
        <v>0</v>
      </c>
      <c r="AR62" s="453">
        <v>0</v>
      </c>
      <c r="AS62" s="453">
        <v>0</v>
      </c>
      <c r="AT62" s="453">
        <v>0</v>
      </c>
      <c r="AU62" s="453">
        <v>0</v>
      </c>
      <c r="AV62" s="453">
        <v>0</v>
      </c>
      <c r="AW62" s="453">
        <v>0</v>
      </c>
      <c r="AX62" s="453">
        <v>0</v>
      </c>
      <c r="AY62" s="453">
        <v>0</v>
      </c>
      <c r="AZ62" s="453">
        <v>0</v>
      </c>
      <c r="BA62" s="453">
        <v>0</v>
      </c>
      <c r="BB62" s="453">
        <v>0</v>
      </c>
      <c r="BC62" s="453">
        <v>0</v>
      </c>
      <c r="BD62" s="453">
        <v>0</v>
      </c>
      <c r="BE62" s="105">
        <v>0</v>
      </c>
      <c r="BF62" s="453">
        <v>0</v>
      </c>
      <c r="BG62" s="453">
        <v>0</v>
      </c>
      <c r="BH62" s="105">
        <v>0</v>
      </c>
      <c r="BI62" s="453">
        <v>0</v>
      </c>
      <c r="BJ62" s="453">
        <v>0</v>
      </c>
      <c r="BK62" s="105">
        <v>0</v>
      </c>
      <c r="BL62" s="453">
        <v>0</v>
      </c>
      <c r="BM62" s="453">
        <v>0</v>
      </c>
      <c r="BN62" s="453">
        <v>0</v>
      </c>
      <c r="BO62" s="453">
        <v>0</v>
      </c>
      <c r="BP62" s="453">
        <v>0</v>
      </c>
      <c r="BQ62" s="453">
        <v>0</v>
      </c>
      <c r="BR62" s="14">
        <v>0</v>
      </c>
      <c r="BS62" s="14">
        <v>0</v>
      </c>
      <c r="BT62" s="377" t="str">
        <v/>
      </c>
      <c r="BU62" s="105" t="str">
        <v/>
      </c>
      <c r="BV62" s="453" t="str">
        <v/>
      </c>
      <c r="BW62" s="105" t="str">
        <f ca="1"/>
        <v/>
      </c>
    </row>
    <row r="63" spans="1:75" x14ac:dyDescent="0.3">
      <c r="A63" s="1">
        <v>0</v>
      </c>
      <c r="B63" s="106">
        <v>0</v>
      </c>
      <c r="C63" s="14">
        <v>0</v>
      </c>
      <c r="D63" s="14">
        <v>0</v>
      </c>
      <c r="E63" s="14">
        <v>0</v>
      </c>
      <c r="F63" s="453">
        <v>0</v>
      </c>
      <c r="G63" s="377">
        <v>0</v>
      </c>
      <c r="H63" s="453">
        <v>0</v>
      </c>
      <c r="I63" s="453">
        <v>0</v>
      </c>
      <c r="J63" s="453">
        <v>0</v>
      </c>
      <c r="K63" s="453">
        <v>0</v>
      </c>
      <c r="L63" s="453">
        <v>0</v>
      </c>
      <c r="M63" s="453">
        <v>0</v>
      </c>
      <c r="N63" s="453">
        <v>0</v>
      </c>
      <c r="O63" s="453">
        <v>0</v>
      </c>
      <c r="P63" s="14">
        <v>0</v>
      </c>
      <c r="Q63" s="14">
        <v>0</v>
      </c>
      <c r="R63" s="453">
        <v>0</v>
      </c>
      <c r="S63" s="453">
        <v>0</v>
      </c>
      <c r="T63" s="453">
        <v>0</v>
      </c>
      <c r="U63" s="453">
        <v>0</v>
      </c>
      <c r="V63" s="453">
        <v>0</v>
      </c>
      <c r="W63" s="453">
        <v>0</v>
      </c>
      <c r="X63" s="453">
        <v>0</v>
      </c>
      <c r="Y63" s="453">
        <v>0</v>
      </c>
      <c r="Z63" s="453">
        <v>0</v>
      </c>
      <c r="AA63" s="14">
        <v>0</v>
      </c>
      <c r="AB63" s="14">
        <v>0</v>
      </c>
      <c r="AC63" s="453">
        <v>0</v>
      </c>
      <c r="AD63" s="14">
        <v>0</v>
      </c>
      <c r="AE63" s="14">
        <v>0</v>
      </c>
      <c r="AF63" s="14">
        <v>0</v>
      </c>
      <c r="AG63" s="14">
        <v>0</v>
      </c>
      <c r="AH63" s="14">
        <v>0</v>
      </c>
      <c r="AI63" s="14">
        <v>0</v>
      </c>
      <c r="AJ63" s="14">
        <v>0</v>
      </c>
      <c r="AK63" s="14">
        <v>0</v>
      </c>
      <c r="AL63" s="14">
        <v>0</v>
      </c>
      <c r="AM63" s="453">
        <v>0</v>
      </c>
      <c r="AN63" s="453">
        <v>0</v>
      </c>
      <c r="AO63" s="453">
        <v>0</v>
      </c>
      <c r="AP63" s="453">
        <v>0</v>
      </c>
      <c r="AQ63" s="453">
        <v>0</v>
      </c>
      <c r="AR63" s="453">
        <v>0</v>
      </c>
      <c r="AS63" s="453">
        <v>0</v>
      </c>
      <c r="AT63" s="453">
        <v>0</v>
      </c>
      <c r="AU63" s="453">
        <v>0</v>
      </c>
      <c r="AV63" s="453">
        <v>0</v>
      </c>
      <c r="AW63" s="453">
        <v>0</v>
      </c>
      <c r="AX63" s="453">
        <v>0</v>
      </c>
      <c r="AY63" s="453">
        <v>0</v>
      </c>
      <c r="AZ63" s="453">
        <v>0</v>
      </c>
      <c r="BA63" s="453">
        <v>0</v>
      </c>
      <c r="BB63" s="453">
        <v>0</v>
      </c>
      <c r="BC63" s="453">
        <v>0</v>
      </c>
      <c r="BD63" s="453">
        <v>0</v>
      </c>
      <c r="BE63" s="105">
        <v>0</v>
      </c>
      <c r="BF63" s="453">
        <v>0</v>
      </c>
      <c r="BG63" s="453">
        <v>0</v>
      </c>
      <c r="BH63" s="105">
        <v>0</v>
      </c>
      <c r="BI63" s="453">
        <v>0</v>
      </c>
      <c r="BJ63" s="453">
        <v>0</v>
      </c>
      <c r="BK63" s="105">
        <v>0</v>
      </c>
      <c r="BL63" s="453">
        <v>0</v>
      </c>
      <c r="BM63" s="453">
        <v>0</v>
      </c>
      <c r="BN63" s="453">
        <v>0</v>
      </c>
      <c r="BO63" s="453">
        <v>0</v>
      </c>
      <c r="BP63" s="453">
        <v>0</v>
      </c>
      <c r="BQ63" s="453">
        <v>0</v>
      </c>
      <c r="BR63" s="14">
        <v>0</v>
      </c>
      <c r="BS63" s="14">
        <v>0</v>
      </c>
      <c r="BT63" s="377" t="str">
        <v/>
      </c>
      <c r="BU63" s="105" t="str">
        <v/>
      </c>
      <c r="BV63" s="453" t="str">
        <v/>
      </c>
      <c r="BW63" s="105" t="str">
        <f ca="1"/>
        <v/>
      </c>
    </row>
    <row r="64" spans="1:75" x14ac:dyDescent="0.3">
      <c r="A64" s="1">
        <v>0</v>
      </c>
      <c r="B64" s="106">
        <v>0</v>
      </c>
      <c r="C64" s="14">
        <v>0</v>
      </c>
      <c r="D64" s="14">
        <v>0</v>
      </c>
      <c r="E64" s="14">
        <v>0</v>
      </c>
      <c r="F64" s="453">
        <v>0</v>
      </c>
      <c r="G64" s="377">
        <v>0</v>
      </c>
      <c r="H64" s="453">
        <v>0</v>
      </c>
      <c r="I64" s="453">
        <v>0</v>
      </c>
      <c r="J64" s="453">
        <v>0</v>
      </c>
      <c r="K64" s="453">
        <v>0</v>
      </c>
      <c r="L64" s="453">
        <v>0</v>
      </c>
      <c r="M64" s="453">
        <v>0</v>
      </c>
      <c r="N64" s="453">
        <v>0</v>
      </c>
      <c r="O64" s="453">
        <v>0</v>
      </c>
      <c r="P64" s="14">
        <v>0</v>
      </c>
      <c r="Q64" s="14">
        <v>0</v>
      </c>
      <c r="R64" s="453">
        <v>0</v>
      </c>
      <c r="S64" s="453">
        <v>0</v>
      </c>
      <c r="T64" s="453">
        <v>0</v>
      </c>
      <c r="U64" s="453">
        <v>0</v>
      </c>
      <c r="V64" s="453">
        <v>0</v>
      </c>
      <c r="W64" s="453">
        <v>0</v>
      </c>
      <c r="X64" s="453">
        <v>0</v>
      </c>
      <c r="Y64" s="453">
        <v>0</v>
      </c>
      <c r="Z64" s="453">
        <v>0</v>
      </c>
      <c r="AA64" s="14">
        <v>0</v>
      </c>
      <c r="AB64" s="14">
        <v>0</v>
      </c>
      <c r="AC64" s="453">
        <v>0</v>
      </c>
      <c r="AD64" s="14">
        <v>0</v>
      </c>
      <c r="AE64" s="14">
        <v>0</v>
      </c>
      <c r="AF64" s="14">
        <v>0</v>
      </c>
      <c r="AG64" s="14">
        <v>0</v>
      </c>
      <c r="AH64" s="14">
        <v>0</v>
      </c>
      <c r="AI64" s="14">
        <v>0</v>
      </c>
      <c r="AJ64" s="14">
        <v>0</v>
      </c>
      <c r="AK64" s="14">
        <v>0</v>
      </c>
      <c r="AL64" s="14">
        <v>0</v>
      </c>
      <c r="AM64" s="453">
        <v>0</v>
      </c>
      <c r="AN64" s="453">
        <v>0</v>
      </c>
      <c r="AO64" s="453">
        <v>0</v>
      </c>
      <c r="AP64" s="453">
        <v>0</v>
      </c>
      <c r="AQ64" s="453">
        <v>0</v>
      </c>
      <c r="AR64" s="453">
        <v>0</v>
      </c>
      <c r="AS64" s="453">
        <v>0</v>
      </c>
      <c r="AT64" s="453">
        <v>0</v>
      </c>
      <c r="AU64" s="453">
        <v>0</v>
      </c>
      <c r="AV64" s="453">
        <v>0</v>
      </c>
      <c r="AW64" s="453">
        <v>0</v>
      </c>
      <c r="AX64" s="453">
        <v>0</v>
      </c>
      <c r="AY64" s="453">
        <v>0</v>
      </c>
      <c r="AZ64" s="453">
        <v>0</v>
      </c>
      <c r="BA64" s="453">
        <v>0</v>
      </c>
      <c r="BB64" s="453">
        <v>0</v>
      </c>
      <c r="BC64" s="453">
        <v>0</v>
      </c>
      <c r="BD64" s="453">
        <v>0</v>
      </c>
      <c r="BE64" s="105">
        <v>0</v>
      </c>
      <c r="BF64" s="453">
        <v>0</v>
      </c>
      <c r="BG64" s="453">
        <v>0</v>
      </c>
      <c r="BH64" s="105">
        <v>0</v>
      </c>
      <c r="BI64" s="453">
        <v>0</v>
      </c>
      <c r="BJ64" s="453">
        <v>0</v>
      </c>
      <c r="BK64" s="105">
        <v>0</v>
      </c>
      <c r="BL64" s="453">
        <v>0</v>
      </c>
      <c r="BM64" s="453">
        <v>0</v>
      </c>
      <c r="BN64" s="453">
        <v>0</v>
      </c>
      <c r="BO64" s="453">
        <v>0</v>
      </c>
      <c r="BP64" s="453">
        <v>0</v>
      </c>
      <c r="BQ64" s="453">
        <v>0</v>
      </c>
      <c r="BR64" s="14">
        <v>0</v>
      </c>
      <c r="BS64" s="14">
        <v>0</v>
      </c>
      <c r="BT64" s="377" t="str">
        <v/>
      </c>
      <c r="BU64" s="105" t="str">
        <v/>
      </c>
      <c r="BV64" s="453" t="str">
        <v/>
      </c>
      <c r="BW64" s="105" t="str">
        <f ca="1"/>
        <v/>
      </c>
    </row>
    <row r="65" spans="1:75" x14ac:dyDescent="0.3">
      <c r="A65" s="1">
        <v>0</v>
      </c>
      <c r="B65" s="106">
        <v>0</v>
      </c>
      <c r="C65" s="14">
        <v>0</v>
      </c>
      <c r="D65" s="14">
        <v>0</v>
      </c>
      <c r="E65" s="14">
        <v>0</v>
      </c>
      <c r="F65" s="453">
        <v>0</v>
      </c>
      <c r="G65" s="377">
        <v>0</v>
      </c>
      <c r="H65" s="453">
        <v>0</v>
      </c>
      <c r="I65" s="453">
        <v>0</v>
      </c>
      <c r="J65" s="453">
        <v>0</v>
      </c>
      <c r="K65" s="453">
        <v>0</v>
      </c>
      <c r="L65" s="453">
        <v>0</v>
      </c>
      <c r="M65" s="453">
        <v>0</v>
      </c>
      <c r="N65" s="453">
        <v>0</v>
      </c>
      <c r="O65" s="453">
        <v>0</v>
      </c>
      <c r="P65" s="14">
        <v>0</v>
      </c>
      <c r="Q65" s="14">
        <v>0</v>
      </c>
      <c r="R65" s="453">
        <v>0</v>
      </c>
      <c r="S65" s="453">
        <v>0</v>
      </c>
      <c r="T65" s="453">
        <v>0</v>
      </c>
      <c r="U65" s="453">
        <v>0</v>
      </c>
      <c r="V65" s="453">
        <v>0</v>
      </c>
      <c r="W65" s="453">
        <v>0</v>
      </c>
      <c r="X65" s="453">
        <v>0</v>
      </c>
      <c r="Y65" s="453">
        <v>0</v>
      </c>
      <c r="Z65" s="453">
        <v>0</v>
      </c>
      <c r="AA65" s="14">
        <v>0</v>
      </c>
      <c r="AB65" s="14">
        <v>0</v>
      </c>
      <c r="AC65" s="453">
        <v>0</v>
      </c>
      <c r="AD65" s="14">
        <v>0</v>
      </c>
      <c r="AE65" s="14">
        <v>0</v>
      </c>
      <c r="AF65" s="14">
        <v>0</v>
      </c>
      <c r="AG65" s="14">
        <v>0</v>
      </c>
      <c r="AH65" s="14">
        <v>0</v>
      </c>
      <c r="AI65" s="14">
        <v>0</v>
      </c>
      <c r="AJ65" s="14">
        <v>0</v>
      </c>
      <c r="AK65" s="14">
        <v>0</v>
      </c>
      <c r="AL65" s="14">
        <v>0</v>
      </c>
      <c r="AM65" s="453">
        <v>0</v>
      </c>
      <c r="AN65" s="453">
        <v>0</v>
      </c>
      <c r="AO65" s="453">
        <v>0</v>
      </c>
      <c r="AP65" s="453">
        <v>0</v>
      </c>
      <c r="AQ65" s="453">
        <v>0</v>
      </c>
      <c r="AR65" s="453">
        <v>0</v>
      </c>
      <c r="AS65" s="453">
        <v>0</v>
      </c>
      <c r="AT65" s="453">
        <v>0</v>
      </c>
      <c r="AU65" s="453">
        <v>0</v>
      </c>
      <c r="AV65" s="453">
        <v>0</v>
      </c>
      <c r="AW65" s="453">
        <v>0</v>
      </c>
      <c r="AX65" s="453">
        <v>0</v>
      </c>
      <c r="AY65" s="453">
        <v>0</v>
      </c>
      <c r="AZ65" s="453">
        <v>0</v>
      </c>
      <c r="BA65" s="453">
        <v>0</v>
      </c>
      <c r="BB65" s="453">
        <v>0</v>
      </c>
      <c r="BC65" s="453">
        <v>0</v>
      </c>
      <c r="BD65" s="453">
        <v>0</v>
      </c>
      <c r="BE65" s="105">
        <v>0</v>
      </c>
      <c r="BF65" s="453">
        <v>0</v>
      </c>
      <c r="BG65" s="453">
        <v>0</v>
      </c>
      <c r="BH65" s="105">
        <v>0</v>
      </c>
      <c r="BI65" s="453">
        <v>0</v>
      </c>
      <c r="BJ65" s="453">
        <v>0</v>
      </c>
      <c r="BK65" s="105">
        <v>0</v>
      </c>
      <c r="BL65" s="453">
        <v>0</v>
      </c>
      <c r="BM65" s="453">
        <v>0</v>
      </c>
      <c r="BN65" s="453">
        <v>0</v>
      </c>
      <c r="BO65" s="453">
        <v>0</v>
      </c>
      <c r="BP65" s="453">
        <v>0</v>
      </c>
      <c r="BQ65" s="453">
        <v>0</v>
      </c>
      <c r="BR65" s="14">
        <v>0</v>
      </c>
      <c r="BS65" s="14">
        <v>0</v>
      </c>
      <c r="BT65" s="377" t="str">
        <v/>
      </c>
      <c r="BU65" s="105" t="str">
        <v/>
      </c>
      <c r="BV65" s="453" t="str">
        <v/>
      </c>
      <c r="BW65" s="105" t="str">
        <f ca="1"/>
        <v/>
      </c>
    </row>
    <row r="66" spans="1:75" x14ac:dyDescent="0.3">
      <c r="A66" s="1">
        <v>0</v>
      </c>
      <c r="B66" s="106">
        <v>0</v>
      </c>
      <c r="C66" s="14">
        <v>0</v>
      </c>
      <c r="D66" s="14">
        <v>0</v>
      </c>
      <c r="E66" s="14">
        <v>0</v>
      </c>
      <c r="F66" s="453">
        <v>0</v>
      </c>
      <c r="G66" s="377">
        <v>0</v>
      </c>
      <c r="H66" s="453">
        <v>0</v>
      </c>
      <c r="I66" s="453">
        <v>0</v>
      </c>
      <c r="J66" s="453">
        <v>0</v>
      </c>
      <c r="K66" s="453">
        <v>0</v>
      </c>
      <c r="L66" s="453">
        <v>0</v>
      </c>
      <c r="M66" s="453">
        <v>0</v>
      </c>
      <c r="N66" s="453">
        <v>0</v>
      </c>
      <c r="O66" s="453">
        <v>0</v>
      </c>
      <c r="P66" s="14">
        <v>0</v>
      </c>
      <c r="Q66" s="14">
        <v>0</v>
      </c>
      <c r="R66" s="453">
        <v>0</v>
      </c>
      <c r="S66" s="453">
        <v>0</v>
      </c>
      <c r="T66" s="453">
        <v>0</v>
      </c>
      <c r="U66" s="453">
        <v>0</v>
      </c>
      <c r="V66" s="453">
        <v>0</v>
      </c>
      <c r="W66" s="453">
        <v>0</v>
      </c>
      <c r="X66" s="453">
        <v>0</v>
      </c>
      <c r="Y66" s="453">
        <v>0</v>
      </c>
      <c r="Z66" s="453">
        <v>0</v>
      </c>
      <c r="AA66" s="14">
        <v>0</v>
      </c>
      <c r="AB66" s="14">
        <v>0</v>
      </c>
      <c r="AC66" s="453">
        <v>0</v>
      </c>
      <c r="AD66" s="14">
        <v>0</v>
      </c>
      <c r="AE66" s="14">
        <v>0</v>
      </c>
      <c r="AF66" s="14">
        <v>0</v>
      </c>
      <c r="AG66" s="14">
        <v>0</v>
      </c>
      <c r="AH66" s="14">
        <v>0</v>
      </c>
      <c r="AI66" s="14">
        <v>0</v>
      </c>
      <c r="AJ66" s="14">
        <v>0</v>
      </c>
      <c r="AK66" s="14">
        <v>0</v>
      </c>
      <c r="AL66" s="14">
        <v>0</v>
      </c>
      <c r="AM66" s="453">
        <v>0</v>
      </c>
      <c r="AN66" s="453">
        <v>0</v>
      </c>
      <c r="AO66" s="453">
        <v>0</v>
      </c>
      <c r="AP66" s="453">
        <v>0</v>
      </c>
      <c r="AQ66" s="453">
        <v>0</v>
      </c>
      <c r="AR66" s="453">
        <v>0</v>
      </c>
      <c r="AS66" s="453">
        <v>0</v>
      </c>
      <c r="AT66" s="453">
        <v>0</v>
      </c>
      <c r="AU66" s="453">
        <v>0</v>
      </c>
      <c r="AV66" s="453">
        <v>0</v>
      </c>
      <c r="AW66" s="453">
        <v>0</v>
      </c>
      <c r="AX66" s="453">
        <v>0</v>
      </c>
      <c r="AY66" s="453">
        <v>0</v>
      </c>
      <c r="AZ66" s="453">
        <v>0</v>
      </c>
      <c r="BA66" s="453">
        <v>0</v>
      </c>
      <c r="BB66" s="453">
        <v>0</v>
      </c>
      <c r="BC66" s="453">
        <v>0</v>
      </c>
      <c r="BD66" s="453">
        <v>0</v>
      </c>
      <c r="BE66" s="105">
        <v>0</v>
      </c>
      <c r="BF66" s="453">
        <v>0</v>
      </c>
      <c r="BG66" s="453">
        <v>0</v>
      </c>
      <c r="BH66" s="105">
        <v>0</v>
      </c>
      <c r="BI66" s="453">
        <v>0</v>
      </c>
      <c r="BJ66" s="453">
        <v>0</v>
      </c>
      <c r="BK66" s="105">
        <v>0</v>
      </c>
      <c r="BL66" s="453">
        <v>0</v>
      </c>
      <c r="BM66" s="453">
        <v>0</v>
      </c>
      <c r="BN66" s="453">
        <v>0</v>
      </c>
      <c r="BO66" s="453">
        <v>0</v>
      </c>
      <c r="BP66" s="453">
        <v>0</v>
      </c>
      <c r="BQ66" s="453">
        <v>0</v>
      </c>
      <c r="BR66" s="14">
        <v>0</v>
      </c>
      <c r="BS66" s="14">
        <v>0</v>
      </c>
      <c r="BT66" s="377" t="str">
        <v/>
      </c>
      <c r="BU66" s="105" t="str">
        <v/>
      </c>
      <c r="BV66" s="453" t="str">
        <v/>
      </c>
      <c r="BW66" s="105" t="str">
        <f ca="1"/>
        <v/>
      </c>
    </row>
    <row r="67" spans="1:75" x14ac:dyDescent="0.3">
      <c r="A67" s="1">
        <v>0</v>
      </c>
      <c r="B67" s="106">
        <v>0</v>
      </c>
      <c r="C67" s="14">
        <v>0</v>
      </c>
      <c r="D67" s="14">
        <v>0</v>
      </c>
      <c r="E67" s="14">
        <v>0</v>
      </c>
      <c r="F67" s="453">
        <v>0</v>
      </c>
      <c r="G67" s="377">
        <v>0</v>
      </c>
      <c r="H67" s="453">
        <v>0</v>
      </c>
      <c r="I67" s="453">
        <v>0</v>
      </c>
      <c r="J67" s="453">
        <v>0</v>
      </c>
      <c r="K67" s="453">
        <v>0</v>
      </c>
      <c r="L67" s="453">
        <v>0</v>
      </c>
      <c r="M67" s="453">
        <v>0</v>
      </c>
      <c r="N67" s="453">
        <v>0</v>
      </c>
      <c r="O67" s="453">
        <v>0</v>
      </c>
      <c r="P67" s="14">
        <v>0</v>
      </c>
      <c r="Q67" s="14">
        <v>0</v>
      </c>
      <c r="R67" s="453">
        <v>0</v>
      </c>
      <c r="S67" s="453">
        <v>0</v>
      </c>
      <c r="T67" s="453">
        <v>0</v>
      </c>
      <c r="U67" s="453">
        <v>0</v>
      </c>
      <c r="V67" s="453">
        <v>0</v>
      </c>
      <c r="W67" s="453">
        <v>0</v>
      </c>
      <c r="X67" s="453">
        <v>0</v>
      </c>
      <c r="Y67" s="453">
        <v>0</v>
      </c>
      <c r="Z67" s="453">
        <v>0</v>
      </c>
      <c r="AA67" s="14">
        <v>0</v>
      </c>
      <c r="AB67" s="14">
        <v>0</v>
      </c>
      <c r="AC67" s="453">
        <v>0</v>
      </c>
      <c r="AD67" s="14">
        <v>0</v>
      </c>
      <c r="AE67" s="14">
        <v>0</v>
      </c>
      <c r="AF67" s="14">
        <v>0</v>
      </c>
      <c r="AG67" s="14">
        <v>0</v>
      </c>
      <c r="AH67" s="14">
        <v>0</v>
      </c>
      <c r="AI67" s="14">
        <v>0</v>
      </c>
      <c r="AJ67" s="14">
        <v>0</v>
      </c>
      <c r="AK67" s="14">
        <v>0</v>
      </c>
      <c r="AL67" s="14">
        <v>0</v>
      </c>
      <c r="AM67" s="453">
        <v>0</v>
      </c>
      <c r="AN67" s="453">
        <v>0</v>
      </c>
      <c r="AO67" s="453">
        <v>0</v>
      </c>
      <c r="AP67" s="453">
        <v>0</v>
      </c>
      <c r="AQ67" s="453">
        <v>0</v>
      </c>
      <c r="AR67" s="453">
        <v>0</v>
      </c>
      <c r="AS67" s="453">
        <v>0</v>
      </c>
      <c r="AT67" s="453">
        <v>0</v>
      </c>
      <c r="AU67" s="453">
        <v>0</v>
      </c>
      <c r="AV67" s="453">
        <v>0</v>
      </c>
      <c r="AW67" s="453">
        <v>0</v>
      </c>
      <c r="AX67" s="453">
        <v>0</v>
      </c>
      <c r="AY67" s="453">
        <v>0</v>
      </c>
      <c r="AZ67" s="453">
        <v>0</v>
      </c>
      <c r="BA67" s="453">
        <v>0</v>
      </c>
      <c r="BB67" s="453">
        <v>0</v>
      </c>
      <c r="BC67" s="453">
        <v>0</v>
      </c>
      <c r="BD67" s="453">
        <v>0</v>
      </c>
      <c r="BE67" s="105">
        <v>0</v>
      </c>
      <c r="BF67" s="453">
        <v>0</v>
      </c>
      <c r="BG67" s="453">
        <v>0</v>
      </c>
      <c r="BH67" s="105">
        <v>0</v>
      </c>
      <c r="BI67" s="453">
        <v>0</v>
      </c>
      <c r="BJ67" s="453">
        <v>0</v>
      </c>
      <c r="BK67" s="105">
        <v>0</v>
      </c>
      <c r="BL67" s="453">
        <v>0</v>
      </c>
      <c r="BM67" s="453">
        <v>0</v>
      </c>
      <c r="BN67" s="453">
        <v>0</v>
      </c>
      <c r="BO67" s="453">
        <v>0</v>
      </c>
      <c r="BP67" s="453">
        <v>0</v>
      </c>
      <c r="BQ67" s="453">
        <v>0</v>
      </c>
      <c r="BR67" s="14">
        <v>0</v>
      </c>
      <c r="BS67" s="14">
        <v>0</v>
      </c>
      <c r="BT67" s="377" t="str">
        <v/>
      </c>
      <c r="BU67" s="105" t="str">
        <v/>
      </c>
      <c r="BV67" s="453" t="str">
        <v/>
      </c>
      <c r="BW67" s="105" t="str">
        <f ca="1"/>
        <v/>
      </c>
    </row>
    <row r="68" spans="1:75" x14ac:dyDescent="0.3">
      <c r="A68" s="1">
        <v>0</v>
      </c>
      <c r="B68" s="106">
        <v>0</v>
      </c>
      <c r="C68" s="14">
        <v>0</v>
      </c>
      <c r="D68" s="14">
        <v>0</v>
      </c>
      <c r="E68" s="14">
        <v>0</v>
      </c>
      <c r="F68" s="453">
        <v>0</v>
      </c>
      <c r="G68" s="377">
        <v>0</v>
      </c>
      <c r="H68" s="453">
        <v>0</v>
      </c>
      <c r="I68" s="453">
        <v>0</v>
      </c>
      <c r="J68" s="453">
        <v>0</v>
      </c>
      <c r="K68" s="453">
        <v>0</v>
      </c>
      <c r="L68" s="453">
        <v>0</v>
      </c>
      <c r="M68" s="453">
        <v>0</v>
      </c>
      <c r="N68" s="453">
        <v>0</v>
      </c>
      <c r="O68" s="453">
        <v>0</v>
      </c>
      <c r="P68" s="14">
        <v>0</v>
      </c>
      <c r="Q68" s="14">
        <v>0</v>
      </c>
      <c r="R68" s="453">
        <v>0</v>
      </c>
      <c r="S68" s="453">
        <v>0</v>
      </c>
      <c r="T68" s="453">
        <v>0</v>
      </c>
      <c r="U68" s="453">
        <v>0</v>
      </c>
      <c r="V68" s="453">
        <v>0</v>
      </c>
      <c r="W68" s="453">
        <v>0</v>
      </c>
      <c r="X68" s="453">
        <v>0</v>
      </c>
      <c r="Y68" s="453">
        <v>0</v>
      </c>
      <c r="Z68" s="453">
        <v>0</v>
      </c>
      <c r="AA68" s="14">
        <v>0</v>
      </c>
      <c r="AB68" s="14">
        <v>0</v>
      </c>
      <c r="AC68" s="453">
        <v>0</v>
      </c>
      <c r="AD68" s="14">
        <v>0</v>
      </c>
      <c r="AE68" s="14">
        <v>0</v>
      </c>
      <c r="AF68" s="14">
        <v>0</v>
      </c>
      <c r="AG68" s="14">
        <v>0</v>
      </c>
      <c r="AH68" s="14">
        <v>0</v>
      </c>
      <c r="AI68" s="14">
        <v>0</v>
      </c>
      <c r="AJ68" s="14">
        <v>0</v>
      </c>
      <c r="AK68" s="14">
        <v>0</v>
      </c>
      <c r="AL68" s="14">
        <v>0</v>
      </c>
      <c r="AM68" s="453">
        <v>0</v>
      </c>
      <c r="AN68" s="453">
        <v>0</v>
      </c>
      <c r="AO68" s="453">
        <v>0</v>
      </c>
      <c r="AP68" s="453">
        <v>0</v>
      </c>
      <c r="AQ68" s="453">
        <v>0</v>
      </c>
      <c r="AR68" s="453">
        <v>0</v>
      </c>
      <c r="AS68" s="453">
        <v>0</v>
      </c>
      <c r="AT68" s="453">
        <v>0</v>
      </c>
      <c r="AU68" s="453">
        <v>0</v>
      </c>
      <c r="AV68" s="453">
        <v>0</v>
      </c>
      <c r="AW68" s="453">
        <v>0</v>
      </c>
      <c r="AX68" s="453">
        <v>0</v>
      </c>
      <c r="AY68" s="453">
        <v>0</v>
      </c>
      <c r="AZ68" s="453">
        <v>0</v>
      </c>
      <c r="BA68" s="453">
        <v>0</v>
      </c>
      <c r="BB68" s="453">
        <v>0</v>
      </c>
      <c r="BC68" s="453">
        <v>0</v>
      </c>
      <c r="BD68" s="453">
        <v>0</v>
      </c>
      <c r="BE68" s="105">
        <v>0</v>
      </c>
      <c r="BF68" s="453">
        <v>0</v>
      </c>
      <c r="BG68" s="453">
        <v>0</v>
      </c>
      <c r="BH68" s="105">
        <v>0</v>
      </c>
      <c r="BI68" s="453">
        <v>0</v>
      </c>
      <c r="BJ68" s="453">
        <v>0</v>
      </c>
      <c r="BK68" s="105">
        <v>0</v>
      </c>
      <c r="BL68" s="453">
        <v>0</v>
      </c>
      <c r="BM68" s="453">
        <v>0</v>
      </c>
      <c r="BN68" s="453">
        <v>0</v>
      </c>
      <c r="BO68" s="453">
        <v>0</v>
      </c>
      <c r="BP68" s="453">
        <v>0</v>
      </c>
      <c r="BQ68" s="453">
        <v>0</v>
      </c>
      <c r="BR68" s="14">
        <v>0</v>
      </c>
      <c r="BS68" s="14">
        <v>0</v>
      </c>
      <c r="BT68" s="377" t="str">
        <v/>
      </c>
      <c r="BU68" s="105" t="str">
        <v/>
      </c>
      <c r="BV68" s="453" t="str">
        <v/>
      </c>
      <c r="BW68" s="105" t="str">
        <f ca="1"/>
        <v/>
      </c>
    </row>
    <row r="69" spans="1:75" x14ac:dyDescent="0.3">
      <c r="A69" s="1">
        <v>0</v>
      </c>
      <c r="B69" s="106">
        <v>0</v>
      </c>
      <c r="C69" s="14">
        <v>0</v>
      </c>
      <c r="D69" s="14">
        <v>0</v>
      </c>
      <c r="E69" s="14">
        <v>0</v>
      </c>
      <c r="F69" s="453">
        <v>0</v>
      </c>
      <c r="G69" s="377">
        <v>0</v>
      </c>
      <c r="H69" s="453">
        <v>0</v>
      </c>
      <c r="I69" s="453">
        <v>0</v>
      </c>
      <c r="J69" s="453">
        <v>0</v>
      </c>
      <c r="K69" s="453">
        <v>0</v>
      </c>
      <c r="L69" s="453">
        <v>0</v>
      </c>
      <c r="M69" s="453">
        <v>0</v>
      </c>
      <c r="N69" s="453">
        <v>0</v>
      </c>
      <c r="O69" s="453">
        <v>0</v>
      </c>
      <c r="P69" s="14">
        <v>0</v>
      </c>
      <c r="Q69" s="14">
        <v>0</v>
      </c>
      <c r="R69" s="453">
        <v>0</v>
      </c>
      <c r="S69" s="453">
        <v>0</v>
      </c>
      <c r="T69" s="453">
        <v>0</v>
      </c>
      <c r="U69" s="453">
        <v>0</v>
      </c>
      <c r="V69" s="453">
        <v>0</v>
      </c>
      <c r="W69" s="453">
        <v>0</v>
      </c>
      <c r="X69" s="453">
        <v>0</v>
      </c>
      <c r="Y69" s="453">
        <v>0</v>
      </c>
      <c r="Z69" s="453">
        <v>0</v>
      </c>
      <c r="AA69" s="14">
        <v>0</v>
      </c>
      <c r="AB69" s="14">
        <v>0</v>
      </c>
      <c r="AC69" s="453">
        <v>0</v>
      </c>
      <c r="AD69" s="14">
        <v>0</v>
      </c>
      <c r="AE69" s="14">
        <v>0</v>
      </c>
      <c r="AF69" s="14">
        <v>0</v>
      </c>
      <c r="AG69" s="14">
        <v>0</v>
      </c>
      <c r="AH69" s="14">
        <v>0</v>
      </c>
      <c r="AI69" s="14">
        <v>0</v>
      </c>
      <c r="AJ69" s="14">
        <v>0</v>
      </c>
      <c r="AK69" s="14">
        <v>0</v>
      </c>
      <c r="AL69" s="14">
        <v>0</v>
      </c>
      <c r="AM69" s="453">
        <v>0</v>
      </c>
      <c r="AN69" s="453">
        <v>0</v>
      </c>
      <c r="AO69" s="453">
        <v>0</v>
      </c>
      <c r="AP69" s="453">
        <v>0</v>
      </c>
      <c r="AQ69" s="453">
        <v>0</v>
      </c>
      <c r="AR69" s="453">
        <v>0</v>
      </c>
      <c r="AS69" s="453">
        <v>0</v>
      </c>
      <c r="AT69" s="453">
        <v>0</v>
      </c>
      <c r="AU69" s="453">
        <v>0</v>
      </c>
      <c r="AV69" s="453">
        <v>0</v>
      </c>
      <c r="AW69" s="453">
        <v>0</v>
      </c>
      <c r="AX69" s="453">
        <v>0</v>
      </c>
      <c r="AY69" s="453">
        <v>0</v>
      </c>
      <c r="AZ69" s="453">
        <v>0</v>
      </c>
      <c r="BA69" s="453">
        <v>0</v>
      </c>
      <c r="BB69" s="453">
        <v>0</v>
      </c>
      <c r="BC69" s="453">
        <v>0</v>
      </c>
      <c r="BD69" s="453">
        <v>0</v>
      </c>
      <c r="BE69" s="105">
        <v>0</v>
      </c>
      <c r="BF69" s="453">
        <v>0</v>
      </c>
      <c r="BG69" s="453">
        <v>0</v>
      </c>
      <c r="BH69" s="105">
        <v>0</v>
      </c>
      <c r="BI69" s="453">
        <v>0</v>
      </c>
      <c r="BJ69" s="453">
        <v>0</v>
      </c>
      <c r="BK69" s="105">
        <v>0</v>
      </c>
      <c r="BL69" s="453">
        <v>0</v>
      </c>
      <c r="BM69" s="453">
        <v>0</v>
      </c>
      <c r="BN69" s="453">
        <v>0</v>
      </c>
      <c r="BO69" s="453">
        <v>0</v>
      </c>
      <c r="BP69" s="453">
        <v>0</v>
      </c>
      <c r="BQ69" s="453">
        <v>0</v>
      </c>
      <c r="BR69" s="14">
        <v>0</v>
      </c>
      <c r="BS69" s="14">
        <v>0</v>
      </c>
      <c r="BT69" s="377" t="str">
        <v/>
      </c>
      <c r="BU69" s="105" t="str">
        <v/>
      </c>
      <c r="BV69" s="453" t="str">
        <v/>
      </c>
      <c r="BW69" s="105" t="str">
        <f ca="1"/>
        <v/>
      </c>
    </row>
    <row r="70" spans="1:75" x14ac:dyDescent="0.3">
      <c r="A70" s="1">
        <v>0</v>
      </c>
      <c r="B70" s="106">
        <v>0</v>
      </c>
      <c r="C70" s="14">
        <v>0</v>
      </c>
      <c r="D70" s="14">
        <v>0</v>
      </c>
      <c r="E70" s="14">
        <v>0</v>
      </c>
      <c r="F70" s="453">
        <v>0</v>
      </c>
      <c r="G70" s="377">
        <v>0</v>
      </c>
      <c r="H70" s="453">
        <v>0</v>
      </c>
      <c r="I70" s="453">
        <v>0</v>
      </c>
      <c r="J70" s="453">
        <v>0</v>
      </c>
      <c r="K70" s="453">
        <v>0</v>
      </c>
      <c r="L70" s="453">
        <v>0</v>
      </c>
      <c r="M70" s="453">
        <v>0</v>
      </c>
      <c r="N70" s="453">
        <v>0</v>
      </c>
      <c r="O70" s="453">
        <v>0</v>
      </c>
      <c r="P70" s="14">
        <v>0</v>
      </c>
      <c r="Q70" s="14">
        <v>0</v>
      </c>
      <c r="R70" s="453">
        <v>0</v>
      </c>
      <c r="S70" s="453">
        <v>0</v>
      </c>
      <c r="T70" s="453">
        <v>0</v>
      </c>
      <c r="U70" s="453">
        <v>0</v>
      </c>
      <c r="V70" s="453">
        <v>0</v>
      </c>
      <c r="W70" s="453">
        <v>0</v>
      </c>
      <c r="X70" s="453">
        <v>0</v>
      </c>
      <c r="Y70" s="453">
        <v>0</v>
      </c>
      <c r="Z70" s="453">
        <v>0</v>
      </c>
      <c r="AA70" s="14">
        <v>0</v>
      </c>
      <c r="AB70" s="14">
        <v>0</v>
      </c>
      <c r="AC70" s="453">
        <v>0</v>
      </c>
      <c r="AD70" s="14">
        <v>0</v>
      </c>
      <c r="AE70" s="14">
        <v>0</v>
      </c>
      <c r="AF70" s="14">
        <v>0</v>
      </c>
      <c r="AG70" s="14">
        <v>0</v>
      </c>
      <c r="AH70" s="14">
        <v>0</v>
      </c>
      <c r="AI70" s="14">
        <v>0</v>
      </c>
      <c r="AJ70" s="14">
        <v>0</v>
      </c>
      <c r="AK70" s="14">
        <v>0</v>
      </c>
      <c r="AL70" s="14">
        <v>0</v>
      </c>
      <c r="AM70" s="453">
        <v>0</v>
      </c>
      <c r="AN70" s="453">
        <v>0</v>
      </c>
      <c r="AO70" s="453">
        <v>0</v>
      </c>
      <c r="AP70" s="453">
        <v>0</v>
      </c>
      <c r="AQ70" s="453">
        <v>0</v>
      </c>
      <c r="AR70" s="453">
        <v>0</v>
      </c>
      <c r="AS70" s="453">
        <v>0</v>
      </c>
      <c r="AT70" s="453">
        <v>0</v>
      </c>
      <c r="AU70" s="453">
        <v>0</v>
      </c>
      <c r="AV70" s="453">
        <v>0</v>
      </c>
      <c r="AW70" s="453">
        <v>0</v>
      </c>
      <c r="AX70" s="453">
        <v>0</v>
      </c>
      <c r="AY70" s="453">
        <v>0</v>
      </c>
      <c r="AZ70" s="453">
        <v>0</v>
      </c>
      <c r="BA70" s="453">
        <v>0</v>
      </c>
      <c r="BB70" s="453">
        <v>0</v>
      </c>
      <c r="BC70" s="453">
        <v>0</v>
      </c>
      <c r="BD70" s="453">
        <v>0</v>
      </c>
      <c r="BE70" s="105">
        <v>0</v>
      </c>
      <c r="BF70" s="453">
        <v>0</v>
      </c>
      <c r="BG70" s="453">
        <v>0</v>
      </c>
      <c r="BH70" s="105">
        <v>0</v>
      </c>
      <c r="BI70" s="453">
        <v>0</v>
      </c>
      <c r="BJ70" s="453">
        <v>0</v>
      </c>
      <c r="BK70" s="105">
        <v>0</v>
      </c>
      <c r="BL70" s="453">
        <v>0</v>
      </c>
      <c r="BM70" s="453">
        <v>0</v>
      </c>
      <c r="BN70" s="453">
        <v>0</v>
      </c>
      <c r="BO70" s="453">
        <v>0</v>
      </c>
      <c r="BP70" s="453">
        <v>0</v>
      </c>
      <c r="BQ70" s="453">
        <v>0</v>
      </c>
      <c r="BR70" s="14">
        <v>0</v>
      </c>
      <c r="BS70" s="14">
        <v>0</v>
      </c>
      <c r="BT70" s="377" t="str">
        <v/>
      </c>
      <c r="BU70" s="105" t="str">
        <v/>
      </c>
      <c r="BV70" s="453" t="str">
        <v/>
      </c>
      <c r="BW70" s="105" t="str">
        <f ca="1"/>
        <v/>
      </c>
    </row>
    <row r="71" spans="1:75" x14ac:dyDescent="0.3">
      <c r="A71" s="1">
        <v>0</v>
      </c>
      <c r="B71" s="106">
        <v>0</v>
      </c>
      <c r="C71" s="14">
        <v>0</v>
      </c>
      <c r="D71" s="14">
        <v>0</v>
      </c>
      <c r="E71" s="14">
        <v>0</v>
      </c>
      <c r="F71" s="453">
        <v>0</v>
      </c>
      <c r="G71" s="377">
        <v>0</v>
      </c>
      <c r="H71" s="453">
        <v>0</v>
      </c>
      <c r="I71" s="453">
        <v>0</v>
      </c>
      <c r="J71" s="453">
        <v>0</v>
      </c>
      <c r="K71" s="453">
        <v>0</v>
      </c>
      <c r="L71" s="453">
        <v>0</v>
      </c>
      <c r="M71" s="453">
        <v>0</v>
      </c>
      <c r="N71" s="453">
        <v>0</v>
      </c>
      <c r="O71" s="453">
        <v>0</v>
      </c>
      <c r="P71" s="14">
        <v>0</v>
      </c>
      <c r="Q71" s="14">
        <v>0</v>
      </c>
      <c r="R71" s="453">
        <v>0</v>
      </c>
      <c r="S71" s="453">
        <v>0</v>
      </c>
      <c r="T71" s="453">
        <v>0</v>
      </c>
      <c r="U71" s="453">
        <v>0</v>
      </c>
      <c r="V71" s="453">
        <v>0</v>
      </c>
      <c r="W71" s="453">
        <v>0</v>
      </c>
      <c r="X71" s="453">
        <v>0</v>
      </c>
      <c r="Y71" s="453">
        <v>0</v>
      </c>
      <c r="Z71" s="453">
        <v>0</v>
      </c>
      <c r="AA71" s="14">
        <v>0</v>
      </c>
      <c r="AB71" s="14">
        <v>0</v>
      </c>
      <c r="AC71" s="453">
        <v>0</v>
      </c>
      <c r="AD71" s="14">
        <v>0</v>
      </c>
      <c r="AE71" s="14">
        <v>0</v>
      </c>
      <c r="AF71" s="14">
        <v>0</v>
      </c>
      <c r="AG71" s="14">
        <v>0</v>
      </c>
      <c r="AH71" s="14">
        <v>0</v>
      </c>
      <c r="AI71" s="14">
        <v>0</v>
      </c>
      <c r="AJ71" s="14">
        <v>0</v>
      </c>
      <c r="AK71" s="14">
        <v>0</v>
      </c>
      <c r="AL71" s="14">
        <v>0</v>
      </c>
      <c r="AM71" s="453">
        <v>0</v>
      </c>
      <c r="AN71" s="453">
        <v>0</v>
      </c>
      <c r="AO71" s="453">
        <v>0</v>
      </c>
      <c r="AP71" s="453">
        <v>0</v>
      </c>
      <c r="AQ71" s="453">
        <v>0</v>
      </c>
      <c r="AR71" s="453">
        <v>0</v>
      </c>
      <c r="AS71" s="453">
        <v>0</v>
      </c>
      <c r="AT71" s="453">
        <v>0</v>
      </c>
      <c r="AU71" s="453">
        <v>0</v>
      </c>
      <c r="AV71" s="453">
        <v>0</v>
      </c>
      <c r="AW71" s="453">
        <v>0</v>
      </c>
      <c r="AX71" s="453">
        <v>0</v>
      </c>
      <c r="AY71" s="453">
        <v>0</v>
      </c>
      <c r="AZ71" s="453">
        <v>0</v>
      </c>
      <c r="BA71" s="453">
        <v>0</v>
      </c>
      <c r="BB71" s="453">
        <v>0</v>
      </c>
      <c r="BC71" s="453">
        <v>0</v>
      </c>
      <c r="BD71" s="453">
        <v>0</v>
      </c>
      <c r="BE71" s="105">
        <v>0</v>
      </c>
      <c r="BF71" s="453">
        <v>0</v>
      </c>
      <c r="BG71" s="453">
        <v>0</v>
      </c>
      <c r="BH71" s="105">
        <v>0</v>
      </c>
      <c r="BI71" s="453">
        <v>0</v>
      </c>
      <c r="BJ71" s="453">
        <v>0</v>
      </c>
      <c r="BK71" s="105">
        <v>0</v>
      </c>
      <c r="BL71" s="453">
        <v>0</v>
      </c>
      <c r="BM71" s="453">
        <v>0</v>
      </c>
      <c r="BN71" s="453">
        <v>0</v>
      </c>
      <c r="BO71" s="453">
        <v>0</v>
      </c>
      <c r="BP71" s="453">
        <v>0</v>
      </c>
      <c r="BQ71" s="453">
        <v>0</v>
      </c>
      <c r="BR71" s="14">
        <v>0</v>
      </c>
      <c r="BS71" s="14">
        <v>0</v>
      </c>
      <c r="BT71" s="377" t="str">
        <v/>
      </c>
      <c r="BU71" s="105" t="str">
        <v/>
      </c>
      <c r="BV71" s="453" t="str">
        <v/>
      </c>
      <c r="BW71" s="105" t="str">
        <f ca="1"/>
        <v/>
      </c>
    </row>
    <row r="72" spans="1:75" x14ac:dyDescent="0.3">
      <c r="A72" s="1">
        <v>0</v>
      </c>
      <c r="B72" s="106">
        <v>0</v>
      </c>
      <c r="C72" s="14">
        <v>0</v>
      </c>
      <c r="D72" s="14">
        <v>0</v>
      </c>
      <c r="E72" s="14">
        <v>0</v>
      </c>
      <c r="F72" s="453">
        <v>0</v>
      </c>
      <c r="G72" s="377">
        <v>0</v>
      </c>
      <c r="H72" s="453">
        <v>0</v>
      </c>
      <c r="I72" s="453">
        <v>0</v>
      </c>
      <c r="J72" s="453">
        <v>0</v>
      </c>
      <c r="K72" s="453">
        <v>0</v>
      </c>
      <c r="L72" s="453">
        <v>0</v>
      </c>
      <c r="M72" s="453">
        <v>0</v>
      </c>
      <c r="N72" s="453">
        <v>0</v>
      </c>
      <c r="O72" s="453">
        <v>0</v>
      </c>
      <c r="P72" s="14">
        <v>0</v>
      </c>
      <c r="Q72" s="14">
        <v>0</v>
      </c>
      <c r="R72" s="453">
        <v>0</v>
      </c>
      <c r="S72" s="453">
        <v>0</v>
      </c>
      <c r="T72" s="453">
        <v>0</v>
      </c>
      <c r="U72" s="453">
        <v>0</v>
      </c>
      <c r="V72" s="453">
        <v>0</v>
      </c>
      <c r="W72" s="453">
        <v>0</v>
      </c>
      <c r="X72" s="453">
        <v>0</v>
      </c>
      <c r="Y72" s="453">
        <v>0</v>
      </c>
      <c r="Z72" s="453">
        <v>0</v>
      </c>
      <c r="AA72" s="14">
        <v>0</v>
      </c>
      <c r="AB72" s="14">
        <v>0</v>
      </c>
      <c r="AC72" s="453">
        <v>0</v>
      </c>
      <c r="AD72" s="14">
        <v>0</v>
      </c>
      <c r="AE72" s="14">
        <v>0</v>
      </c>
      <c r="AF72" s="14">
        <v>0</v>
      </c>
      <c r="AG72" s="14">
        <v>0</v>
      </c>
      <c r="AH72" s="14">
        <v>0</v>
      </c>
      <c r="AI72" s="14">
        <v>0</v>
      </c>
      <c r="AJ72" s="14">
        <v>0</v>
      </c>
      <c r="AK72" s="14">
        <v>0</v>
      </c>
      <c r="AL72" s="14">
        <v>0</v>
      </c>
      <c r="AM72" s="453">
        <v>0</v>
      </c>
      <c r="AN72" s="453">
        <v>0</v>
      </c>
      <c r="AO72" s="453">
        <v>0</v>
      </c>
      <c r="AP72" s="453">
        <v>0</v>
      </c>
      <c r="AQ72" s="453">
        <v>0</v>
      </c>
      <c r="AR72" s="453">
        <v>0</v>
      </c>
      <c r="AS72" s="453">
        <v>0</v>
      </c>
      <c r="AT72" s="453">
        <v>0</v>
      </c>
      <c r="AU72" s="453">
        <v>0</v>
      </c>
      <c r="AV72" s="453">
        <v>0</v>
      </c>
      <c r="AW72" s="453">
        <v>0</v>
      </c>
      <c r="AX72" s="453">
        <v>0</v>
      </c>
      <c r="AY72" s="453">
        <v>0</v>
      </c>
      <c r="AZ72" s="453">
        <v>0</v>
      </c>
      <c r="BA72" s="453">
        <v>0</v>
      </c>
      <c r="BB72" s="453">
        <v>0</v>
      </c>
      <c r="BC72" s="453">
        <v>0</v>
      </c>
      <c r="BD72" s="453">
        <v>0</v>
      </c>
      <c r="BE72" s="105">
        <v>0</v>
      </c>
      <c r="BF72" s="453">
        <v>0</v>
      </c>
      <c r="BG72" s="453">
        <v>0</v>
      </c>
      <c r="BH72" s="105">
        <v>0</v>
      </c>
      <c r="BI72" s="453">
        <v>0</v>
      </c>
      <c r="BJ72" s="453">
        <v>0</v>
      </c>
      <c r="BK72" s="105">
        <v>0</v>
      </c>
      <c r="BL72" s="453">
        <v>0</v>
      </c>
      <c r="BM72" s="453">
        <v>0</v>
      </c>
      <c r="BN72" s="453">
        <v>0</v>
      </c>
      <c r="BO72" s="453">
        <v>0</v>
      </c>
      <c r="BP72" s="453">
        <v>0</v>
      </c>
      <c r="BQ72" s="453">
        <v>0</v>
      </c>
      <c r="BR72" s="14">
        <v>0</v>
      </c>
      <c r="BS72" s="14">
        <v>0</v>
      </c>
      <c r="BT72" s="377" t="str">
        <v/>
      </c>
      <c r="BU72" s="105" t="str">
        <v/>
      </c>
      <c r="BV72" s="453" t="str">
        <v/>
      </c>
      <c r="BW72" s="105" t="str">
        <f ca="1"/>
        <v/>
      </c>
    </row>
    <row r="73" spans="1:75" x14ac:dyDescent="0.3">
      <c r="A73" s="1">
        <v>0</v>
      </c>
      <c r="B73" s="106">
        <v>0</v>
      </c>
      <c r="C73" s="14">
        <v>0</v>
      </c>
      <c r="D73" s="14">
        <v>0</v>
      </c>
      <c r="E73" s="14">
        <v>0</v>
      </c>
      <c r="F73" s="453">
        <v>0</v>
      </c>
      <c r="G73" s="377">
        <v>0</v>
      </c>
      <c r="H73" s="453">
        <v>0</v>
      </c>
      <c r="I73" s="453">
        <v>0</v>
      </c>
      <c r="J73" s="453">
        <v>0</v>
      </c>
      <c r="K73" s="453">
        <v>0</v>
      </c>
      <c r="L73" s="453">
        <v>0</v>
      </c>
      <c r="M73" s="453">
        <v>0</v>
      </c>
      <c r="N73" s="453">
        <v>0</v>
      </c>
      <c r="O73" s="453">
        <v>0</v>
      </c>
      <c r="P73" s="14">
        <v>0</v>
      </c>
      <c r="Q73" s="14">
        <v>0</v>
      </c>
      <c r="R73" s="453">
        <v>0</v>
      </c>
      <c r="S73" s="453">
        <v>0</v>
      </c>
      <c r="T73" s="453">
        <v>0</v>
      </c>
      <c r="U73" s="453">
        <v>0</v>
      </c>
      <c r="V73" s="453">
        <v>0</v>
      </c>
      <c r="W73" s="453">
        <v>0</v>
      </c>
      <c r="X73" s="453">
        <v>0</v>
      </c>
      <c r="Y73" s="453">
        <v>0</v>
      </c>
      <c r="Z73" s="453">
        <v>0</v>
      </c>
      <c r="AA73" s="14">
        <v>0</v>
      </c>
      <c r="AB73" s="14">
        <v>0</v>
      </c>
      <c r="AC73" s="453">
        <v>0</v>
      </c>
      <c r="AD73" s="14">
        <v>0</v>
      </c>
      <c r="AE73" s="14">
        <v>0</v>
      </c>
      <c r="AF73" s="14">
        <v>0</v>
      </c>
      <c r="AG73" s="14">
        <v>0</v>
      </c>
      <c r="AH73" s="14">
        <v>0</v>
      </c>
      <c r="AI73" s="14">
        <v>0</v>
      </c>
      <c r="AJ73" s="14">
        <v>0</v>
      </c>
      <c r="AK73" s="14">
        <v>0</v>
      </c>
      <c r="AL73" s="14">
        <v>0</v>
      </c>
      <c r="AM73" s="453">
        <v>0</v>
      </c>
      <c r="AN73" s="453">
        <v>0</v>
      </c>
      <c r="AO73" s="453">
        <v>0</v>
      </c>
      <c r="AP73" s="453">
        <v>0</v>
      </c>
      <c r="AQ73" s="453">
        <v>0</v>
      </c>
      <c r="AR73" s="453">
        <v>0</v>
      </c>
      <c r="AS73" s="453">
        <v>0</v>
      </c>
      <c r="AT73" s="453">
        <v>0</v>
      </c>
      <c r="AU73" s="453">
        <v>0</v>
      </c>
      <c r="AV73" s="453">
        <v>0</v>
      </c>
      <c r="AW73" s="453">
        <v>0</v>
      </c>
      <c r="AX73" s="453">
        <v>0</v>
      </c>
      <c r="AY73" s="453">
        <v>0</v>
      </c>
      <c r="AZ73" s="453">
        <v>0</v>
      </c>
      <c r="BA73" s="453">
        <v>0</v>
      </c>
      <c r="BB73" s="453">
        <v>0</v>
      </c>
      <c r="BC73" s="453">
        <v>0</v>
      </c>
      <c r="BD73" s="453">
        <v>0</v>
      </c>
      <c r="BE73" s="105">
        <v>0</v>
      </c>
      <c r="BF73" s="453">
        <v>0</v>
      </c>
      <c r="BG73" s="453">
        <v>0</v>
      </c>
      <c r="BH73" s="105">
        <v>0</v>
      </c>
      <c r="BI73" s="453">
        <v>0</v>
      </c>
      <c r="BJ73" s="453">
        <v>0</v>
      </c>
      <c r="BK73" s="105">
        <v>0</v>
      </c>
      <c r="BL73" s="453">
        <v>0</v>
      </c>
      <c r="BM73" s="453">
        <v>0</v>
      </c>
      <c r="BN73" s="453">
        <v>0</v>
      </c>
      <c r="BO73" s="453">
        <v>0</v>
      </c>
      <c r="BP73" s="453">
        <v>0</v>
      </c>
      <c r="BQ73" s="453">
        <v>0</v>
      </c>
      <c r="BR73" s="14">
        <v>0</v>
      </c>
      <c r="BS73" s="14">
        <v>0</v>
      </c>
      <c r="BT73" s="377" t="str">
        <v/>
      </c>
      <c r="BU73" s="105" t="str">
        <v/>
      </c>
      <c r="BV73" s="453" t="str">
        <v/>
      </c>
      <c r="BW73" s="105" t="str">
        <f ca="1"/>
        <v/>
      </c>
    </row>
    <row r="74" spans="1:75" x14ac:dyDescent="0.3">
      <c r="A74" s="1">
        <v>0</v>
      </c>
      <c r="B74" s="106">
        <v>0</v>
      </c>
      <c r="C74" s="14">
        <v>0</v>
      </c>
      <c r="D74" s="14">
        <v>0</v>
      </c>
      <c r="E74" s="14">
        <v>0</v>
      </c>
      <c r="F74" s="453">
        <v>0</v>
      </c>
      <c r="G74" s="377">
        <v>0</v>
      </c>
      <c r="H74" s="453">
        <v>0</v>
      </c>
      <c r="I74" s="453">
        <v>0</v>
      </c>
      <c r="J74" s="453">
        <v>0</v>
      </c>
      <c r="K74" s="453">
        <v>0</v>
      </c>
      <c r="L74" s="453">
        <v>0</v>
      </c>
      <c r="M74" s="453">
        <v>0</v>
      </c>
      <c r="N74" s="453">
        <v>0</v>
      </c>
      <c r="O74" s="453">
        <v>0</v>
      </c>
      <c r="P74" s="14">
        <v>0</v>
      </c>
      <c r="Q74" s="14">
        <v>0</v>
      </c>
      <c r="R74" s="453">
        <v>0</v>
      </c>
      <c r="S74" s="453">
        <v>0</v>
      </c>
      <c r="T74" s="453">
        <v>0</v>
      </c>
      <c r="U74" s="453">
        <v>0</v>
      </c>
      <c r="V74" s="453">
        <v>0</v>
      </c>
      <c r="W74" s="453">
        <v>0</v>
      </c>
      <c r="X74" s="453">
        <v>0</v>
      </c>
      <c r="Y74" s="453">
        <v>0</v>
      </c>
      <c r="Z74" s="453">
        <v>0</v>
      </c>
      <c r="AA74" s="14">
        <v>0</v>
      </c>
      <c r="AB74" s="14">
        <v>0</v>
      </c>
      <c r="AC74" s="453">
        <v>0</v>
      </c>
      <c r="AD74" s="14">
        <v>0</v>
      </c>
      <c r="AE74" s="14">
        <v>0</v>
      </c>
      <c r="AF74" s="14">
        <v>0</v>
      </c>
      <c r="AG74" s="14">
        <v>0</v>
      </c>
      <c r="AH74" s="14">
        <v>0</v>
      </c>
      <c r="AI74" s="14">
        <v>0</v>
      </c>
      <c r="AJ74" s="14">
        <v>0</v>
      </c>
      <c r="AK74" s="14">
        <v>0</v>
      </c>
      <c r="AL74" s="14">
        <v>0</v>
      </c>
      <c r="AM74" s="453">
        <v>0</v>
      </c>
      <c r="AN74" s="453">
        <v>0</v>
      </c>
      <c r="AO74" s="453">
        <v>0</v>
      </c>
      <c r="AP74" s="453">
        <v>0</v>
      </c>
      <c r="AQ74" s="453">
        <v>0</v>
      </c>
      <c r="AR74" s="453">
        <v>0</v>
      </c>
      <c r="AS74" s="453">
        <v>0</v>
      </c>
      <c r="AT74" s="453">
        <v>0</v>
      </c>
      <c r="AU74" s="453">
        <v>0</v>
      </c>
      <c r="AV74" s="453">
        <v>0</v>
      </c>
      <c r="AW74" s="453">
        <v>0</v>
      </c>
      <c r="AX74" s="453">
        <v>0</v>
      </c>
      <c r="AY74" s="453">
        <v>0</v>
      </c>
      <c r="AZ74" s="453">
        <v>0</v>
      </c>
      <c r="BA74" s="453">
        <v>0</v>
      </c>
      <c r="BB74" s="453">
        <v>0</v>
      </c>
      <c r="BC74" s="453">
        <v>0</v>
      </c>
      <c r="BD74" s="453">
        <v>0</v>
      </c>
      <c r="BE74" s="105">
        <v>0</v>
      </c>
      <c r="BF74" s="453">
        <v>0</v>
      </c>
      <c r="BG74" s="453">
        <v>0</v>
      </c>
      <c r="BH74" s="105">
        <v>0</v>
      </c>
      <c r="BI74" s="453">
        <v>0</v>
      </c>
      <c r="BJ74" s="453">
        <v>0</v>
      </c>
      <c r="BK74" s="105">
        <v>0</v>
      </c>
      <c r="BL74" s="453">
        <v>0</v>
      </c>
      <c r="BM74" s="453">
        <v>0</v>
      </c>
      <c r="BN74" s="453">
        <v>0</v>
      </c>
      <c r="BO74" s="453">
        <v>0</v>
      </c>
      <c r="BP74" s="453">
        <v>0</v>
      </c>
      <c r="BQ74" s="453">
        <v>0</v>
      </c>
      <c r="BR74" s="14">
        <v>0</v>
      </c>
      <c r="BS74" s="14">
        <v>0</v>
      </c>
      <c r="BT74" s="377" t="str">
        <v/>
      </c>
      <c r="BU74" s="105" t="str">
        <v/>
      </c>
      <c r="BV74" s="453" t="str">
        <v/>
      </c>
      <c r="BW74" s="105" t="str">
        <f ca="1"/>
        <v/>
      </c>
    </row>
    <row r="75" spans="1:75" x14ac:dyDescent="0.3">
      <c r="A75" s="1">
        <v>0</v>
      </c>
      <c r="B75" s="106">
        <v>0</v>
      </c>
      <c r="C75" s="14">
        <v>0</v>
      </c>
      <c r="D75" s="14">
        <v>0</v>
      </c>
      <c r="E75" s="14">
        <v>0</v>
      </c>
      <c r="F75" s="453">
        <v>0</v>
      </c>
      <c r="G75" s="377">
        <v>0</v>
      </c>
      <c r="H75" s="453">
        <v>0</v>
      </c>
      <c r="I75" s="453">
        <v>0</v>
      </c>
      <c r="J75" s="453">
        <v>0</v>
      </c>
      <c r="K75" s="453">
        <v>0</v>
      </c>
      <c r="L75" s="453">
        <v>0</v>
      </c>
      <c r="M75" s="453">
        <v>0</v>
      </c>
      <c r="N75" s="453">
        <v>0</v>
      </c>
      <c r="O75" s="453">
        <v>0</v>
      </c>
      <c r="P75" s="14">
        <v>0</v>
      </c>
      <c r="Q75" s="14">
        <v>0</v>
      </c>
      <c r="R75" s="453">
        <v>0</v>
      </c>
      <c r="S75" s="453">
        <v>0</v>
      </c>
      <c r="T75" s="453">
        <v>0</v>
      </c>
      <c r="U75" s="453">
        <v>0</v>
      </c>
      <c r="V75" s="453">
        <v>0</v>
      </c>
      <c r="W75" s="453">
        <v>0</v>
      </c>
      <c r="X75" s="453">
        <v>0</v>
      </c>
      <c r="Y75" s="453">
        <v>0</v>
      </c>
      <c r="Z75" s="453">
        <v>0</v>
      </c>
      <c r="AA75" s="14">
        <v>0</v>
      </c>
      <c r="AB75" s="14">
        <v>0</v>
      </c>
      <c r="AC75" s="453">
        <v>0</v>
      </c>
      <c r="AD75" s="14">
        <v>0</v>
      </c>
      <c r="AE75" s="14">
        <v>0</v>
      </c>
      <c r="AF75" s="14">
        <v>0</v>
      </c>
      <c r="AG75" s="14">
        <v>0</v>
      </c>
      <c r="AH75" s="14">
        <v>0</v>
      </c>
      <c r="AI75" s="14">
        <v>0</v>
      </c>
      <c r="AJ75" s="14">
        <v>0</v>
      </c>
      <c r="AK75" s="14">
        <v>0</v>
      </c>
      <c r="AL75" s="14">
        <v>0</v>
      </c>
      <c r="AM75" s="453">
        <v>0</v>
      </c>
      <c r="AN75" s="453">
        <v>0</v>
      </c>
      <c r="AO75" s="453">
        <v>0</v>
      </c>
      <c r="AP75" s="453">
        <v>0</v>
      </c>
      <c r="AQ75" s="453">
        <v>0</v>
      </c>
      <c r="AR75" s="453">
        <v>0</v>
      </c>
      <c r="AS75" s="453">
        <v>0</v>
      </c>
      <c r="AT75" s="453">
        <v>0</v>
      </c>
      <c r="AU75" s="453">
        <v>0</v>
      </c>
      <c r="AV75" s="453">
        <v>0</v>
      </c>
      <c r="AW75" s="453">
        <v>0</v>
      </c>
      <c r="AX75" s="453">
        <v>0</v>
      </c>
      <c r="AY75" s="453">
        <v>0</v>
      </c>
      <c r="AZ75" s="453">
        <v>0</v>
      </c>
      <c r="BA75" s="453">
        <v>0</v>
      </c>
      <c r="BB75" s="453">
        <v>0</v>
      </c>
      <c r="BC75" s="453">
        <v>0</v>
      </c>
      <c r="BD75" s="453">
        <v>0</v>
      </c>
      <c r="BE75" s="105">
        <v>0</v>
      </c>
      <c r="BF75" s="453">
        <v>0</v>
      </c>
      <c r="BG75" s="453">
        <v>0</v>
      </c>
      <c r="BH75" s="105">
        <v>0</v>
      </c>
      <c r="BI75" s="453">
        <v>0</v>
      </c>
      <c r="BJ75" s="453">
        <v>0</v>
      </c>
      <c r="BK75" s="105">
        <v>0</v>
      </c>
      <c r="BL75" s="453">
        <v>0</v>
      </c>
      <c r="BM75" s="453">
        <v>0</v>
      </c>
      <c r="BN75" s="453">
        <v>0</v>
      </c>
      <c r="BO75" s="453">
        <v>0</v>
      </c>
      <c r="BP75" s="453">
        <v>0</v>
      </c>
      <c r="BQ75" s="453">
        <v>0</v>
      </c>
      <c r="BR75" s="14">
        <v>0</v>
      </c>
      <c r="BS75" s="14">
        <v>0</v>
      </c>
      <c r="BT75" s="377" t="str">
        <v/>
      </c>
      <c r="BU75" s="105" t="str">
        <v/>
      </c>
      <c r="BV75" s="453" t="str">
        <v/>
      </c>
      <c r="BW75" s="105" t="str">
        <f ca="1"/>
        <v/>
      </c>
    </row>
    <row r="76" spans="1:75" x14ac:dyDescent="0.3">
      <c r="A76" s="1">
        <v>0</v>
      </c>
      <c r="B76" s="106">
        <v>0</v>
      </c>
      <c r="C76" s="14">
        <v>0</v>
      </c>
      <c r="D76" s="14">
        <v>0</v>
      </c>
      <c r="E76" s="14">
        <v>0</v>
      </c>
      <c r="F76" s="453">
        <v>0</v>
      </c>
      <c r="G76" s="377">
        <v>0</v>
      </c>
      <c r="H76" s="453">
        <v>0</v>
      </c>
      <c r="I76" s="453">
        <v>0</v>
      </c>
      <c r="J76" s="453">
        <v>0</v>
      </c>
      <c r="K76" s="453">
        <v>0</v>
      </c>
      <c r="L76" s="453">
        <v>0</v>
      </c>
      <c r="M76" s="453">
        <v>0</v>
      </c>
      <c r="N76" s="453">
        <v>0</v>
      </c>
      <c r="O76" s="453">
        <v>0</v>
      </c>
      <c r="P76" s="14">
        <v>0</v>
      </c>
      <c r="Q76" s="14">
        <v>0</v>
      </c>
      <c r="R76" s="453">
        <v>0</v>
      </c>
      <c r="S76" s="453">
        <v>0</v>
      </c>
      <c r="T76" s="453">
        <v>0</v>
      </c>
      <c r="U76" s="453">
        <v>0</v>
      </c>
      <c r="V76" s="453">
        <v>0</v>
      </c>
      <c r="W76" s="453">
        <v>0</v>
      </c>
      <c r="X76" s="453">
        <v>0</v>
      </c>
      <c r="Y76" s="453">
        <v>0</v>
      </c>
      <c r="Z76" s="453">
        <v>0</v>
      </c>
      <c r="AA76" s="14">
        <v>0</v>
      </c>
      <c r="AB76" s="14">
        <v>0</v>
      </c>
      <c r="AC76" s="453">
        <v>0</v>
      </c>
      <c r="AD76" s="14">
        <v>0</v>
      </c>
      <c r="AE76" s="14">
        <v>0</v>
      </c>
      <c r="AF76" s="14">
        <v>0</v>
      </c>
      <c r="AG76" s="14">
        <v>0</v>
      </c>
      <c r="AH76" s="14">
        <v>0</v>
      </c>
      <c r="AI76" s="14">
        <v>0</v>
      </c>
      <c r="AJ76" s="14">
        <v>0</v>
      </c>
      <c r="AK76" s="14">
        <v>0</v>
      </c>
      <c r="AL76" s="14">
        <v>0</v>
      </c>
      <c r="AM76" s="453">
        <v>0</v>
      </c>
      <c r="AN76" s="453">
        <v>0</v>
      </c>
      <c r="AO76" s="453">
        <v>0</v>
      </c>
      <c r="AP76" s="453">
        <v>0</v>
      </c>
      <c r="AQ76" s="453">
        <v>0</v>
      </c>
      <c r="AR76" s="453">
        <v>0</v>
      </c>
      <c r="AS76" s="453">
        <v>0</v>
      </c>
      <c r="AT76" s="453">
        <v>0</v>
      </c>
      <c r="AU76" s="453">
        <v>0</v>
      </c>
      <c r="AV76" s="453">
        <v>0</v>
      </c>
      <c r="AW76" s="453">
        <v>0</v>
      </c>
      <c r="AX76" s="453">
        <v>0</v>
      </c>
      <c r="AY76" s="453">
        <v>0</v>
      </c>
      <c r="AZ76" s="453">
        <v>0</v>
      </c>
      <c r="BA76" s="453">
        <v>0</v>
      </c>
      <c r="BB76" s="453">
        <v>0</v>
      </c>
      <c r="BC76" s="453">
        <v>0</v>
      </c>
      <c r="BD76" s="453">
        <v>0</v>
      </c>
      <c r="BE76" s="105">
        <v>0</v>
      </c>
      <c r="BF76" s="453">
        <v>0</v>
      </c>
      <c r="BG76" s="453">
        <v>0</v>
      </c>
      <c r="BH76" s="105">
        <v>0</v>
      </c>
      <c r="BI76" s="453">
        <v>0</v>
      </c>
      <c r="BJ76" s="453">
        <v>0</v>
      </c>
      <c r="BK76" s="105">
        <v>0</v>
      </c>
      <c r="BL76" s="453">
        <v>0</v>
      </c>
      <c r="BM76" s="453">
        <v>0</v>
      </c>
      <c r="BN76" s="453">
        <v>0</v>
      </c>
      <c r="BO76" s="453">
        <v>0</v>
      </c>
      <c r="BP76" s="453">
        <v>0</v>
      </c>
      <c r="BQ76" s="453">
        <v>0</v>
      </c>
      <c r="BR76" s="14">
        <v>0</v>
      </c>
      <c r="BS76" s="14">
        <v>0</v>
      </c>
      <c r="BT76" s="377" t="str">
        <v/>
      </c>
      <c r="BU76" s="105" t="str">
        <v/>
      </c>
      <c r="BV76" s="453" t="str">
        <v/>
      </c>
      <c r="BW76" s="105" t="str">
        <f ca="1"/>
        <v/>
      </c>
    </row>
    <row r="77" spans="1:75" x14ac:dyDescent="0.3">
      <c r="A77" s="1">
        <v>0</v>
      </c>
      <c r="B77" s="106">
        <v>0</v>
      </c>
      <c r="C77" s="14">
        <v>0</v>
      </c>
      <c r="D77" s="14">
        <v>0</v>
      </c>
      <c r="E77" s="14">
        <v>0</v>
      </c>
      <c r="F77" s="453">
        <v>0</v>
      </c>
      <c r="G77" s="377">
        <v>0</v>
      </c>
      <c r="H77" s="453">
        <v>0</v>
      </c>
      <c r="I77" s="453">
        <v>0</v>
      </c>
      <c r="J77" s="453">
        <v>0</v>
      </c>
      <c r="K77" s="453">
        <v>0</v>
      </c>
      <c r="L77" s="453">
        <v>0</v>
      </c>
      <c r="M77" s="453">
        <v>0</v>
      </c>
      <c r="N77" s="453">
        <v>0</v>
      </c>
      <c r="O77" s="453">
        <v>0</v>
      </c>
      <c r="P77" s="14">
        <v>0</v>
      </c>
      <c r="Q77" s="14">
        <v>0</v>
      </c>
      <c r="R77" s="453">
        <v>0</v>
      </c>
      <c r="S77" s="453">
        <v>0</v>
      </c>
      <c r="T77" s="453">
        <v>0</v>
      </c>
      <c r="U77" s="453">
        <v>0</v>
      </c>
      <c r="V77" s="453">
        <v>0</v>
      </c>
      <c r="W77" s="453">
        <v>0</v>
      </c>
      <c r="X77" s="453">
        <v>0</v>
      </c>
      <c r="Y77" s="453">
        <v>0</v>
      </c>
      <c r="Z77" s="453">
        <v>0</v>
      </c>
      <c r="AA77" s="14">
        <v>0</v>
      </c>
      <c r="AB77" s="14">
        <v>0</v>
      </c>
      <c r="AC77" s="453">
        <v>0</v>
      </c>
      <c r="AD77" s="14">
        <v>0</v>
      </c>
      <c r="AE77" s="14">
        <v>0</v>
      </c>
      <c r="AF77" s="14">
        <v>0</v>
      </c>
      <c r="AG77" s="14">
        <v>0</v>
      </c>
      <c r="AH77" s="14">
        <v>0</v>
      </c>
      <c r="AI77" s="14">
        <v>0</v>
      </c>
      <c r="AJ77" s="14">
        <v>0</v>
      </c>
      <c r="AK77" s="14">
        <v>0</v>
      </c>
      <c r="AL77" s="14">
        <v>0</v>
      </c>
      <c r="AM77" s="453">
        <v>0</v>
      </c>
      <c r="AN77" s="453">
        <v>0</v>
      </c>
      <c r="AO77" s="453">
        <v>0</v>
      </c>
      <c r="AP77" s="453">
        <v>0</v>
      </c>
      <c r="AQ77" s="453">
        <v>0</v>
      </c>
      <c r="AR77" s="453">
        <v>0</v>
      </c>
      <c r="AS77" s="453">
        <v>0</v>
      </c>
      <c r="AT77" s="453">
        <v>0</v>
      </c>
      <c r="AU77" s="453">
        <v>0</v>
      </c>
      <c r="AV77" s="453">
        <v>0</v>
      </c>
      <c r="AW77" s="453">
        <v>0</v>
      </c>
      <c r="AX77" s="453">
        <v>0</v>
      </c>
      <c r="AY77" s="453">
        <v>0</v>
      </c>
      <c r="AZ77" s="453">
        <v>0</v>
      </c>
      <c r="BA77" s="453">
        <v>0</v>
      </c>
      <c r="BB77" s="453">
        <v>0</v>
      </c>
      <c r="BC77" s="453">
        <v>0</v>
      </c>
      <c r="BD77" s="453">
        <v>0</v>
      </c>
      <c r="BE77" s="105">
        <v>0</v>
      </c>
      <c r="BF77" s="453">
        <v>0</v>
      </c>
      <c r="BG77" s="453">
        <v>0</v>
      </c>
      <c r="BH77" s="105">
        <v>0</v>
      </c>
      <c r="BI77" s="453">
        <v>0</v>
      </c>
      <c r="BJ77" s="453">
        <v>0</v>
      </c>
      <c r="BK77" s="105">
        <v>0</v>
      </c>
      <c r="BL77" s="453">
        <v>0</v>
      </c>
      <c r="BM77" s="453">
        <v>0</v>
      </c>
      <c r="BN77" s="453">
        <v>0</v>
      </c>
      <c r="BO77" s="453">
        <v>0</v>
      </c>
      <c r="BP77" s="453">
        <v>0</v>
      </c>
      <c r="BQ77" s="453">
        <v>0</v>
      </c>
      <c r="BR77" s="14">
        <v>0</v>
      </c>
      <c r="BS77" s="14">
        <v>0</v>
      </c>
      <c r="BT77" s="377" t="str">
        <v/>
      </c>
      <c r="BU77" s="105" t="str">
        <v/>
      </c>
      <c r="BV77" s="453" t="str">
        <v/>
      </c>
      <c r="BW77" s="105" t="str">
        <f ca="1"/>
        <v/>
      </c>
    </row>
    <row r="78" spans="1:75" x14ac:dyDescent="0.3">
      <c r="A78" s="1">
        <v>0</v>
      </c>
      <c r="B78" s="106">
        <v>0</v>
      </c>
      <c r="C78" s="14">
        <v>0</v>
      </c>
      <c r="D78" s="14">
        <v>0</v>
      </c>
      <c r="E78" s="14">
        <v>0</v>
      </c>
      <c r="F78" s="453">
        <v>0</v>
      </c>
      <c r="G78" s="377">
        <v>0</v>
      </c>
      <c r="H78" s="453">
        <v>0</v>
      </c>
      <c r="I78" s="453">
        <v>0</v>
      </c>
      <c r="J78" s="453">
        <v>0</v>
      </c>
      <c r="K78" s="453">
        <v>0</v>
      </c>
      <c r="L78" s="453">
        <v>0</v>
      </c>
      <c r="M78" s="453">
        <v>0</v>
      </c>
      <c r="N78" s="453">
        <v>0</v>
      </c>
      <c r="O78" s="453">
        <v>0</v>
      </c>
      <c r="P78" s="14">
        <v>0</v>
      </c>
      <c r="Q78" s="14">
        <v>0</v>
      </c>
      <c r="R78" s="453">
        <v>0</v>
      </c>
      <c r="S78" s="453">
        <v>0</v>
      </c>
      <c r="T78" s="453">
        <v>0</v>
      </c>
      <c r="U78" s="453">
        <v>0</v>
      </c>
      <c r="V78" s="453">
        <v>0</v>
      </c>
      <c r="W78" s="453">
        <v>0</v>
      </c>
      <c r="X78" s="453">
        <v>0</v>
      </c>
      <c r="Y78" s="453">
        <v>0</v>
      </c>
      <c r="Z78" s="453">
        <v>0</v>
      </c>
      <c r="AA78" s="14">
        <v>0</v>
      </c>
      <c r="AB78" s="14">
        <v>0</v>
      </c>
      <c r="AC78" s="453">
        <v>0</v>
      </c>
      <c r="AD78" s="14">
        <v>0</v>
      </c>
      <c r="AE78" s="14">
        <v>0</v>
      </c>
      <c r="AF78" s="14">
        <v>0</v>
      </c>
      <c r="AG78" s="14">
        <v>0</v>
      </c>
      <c r="AH78" s="14">
        <v>0</v>
      </c>
      <c r="AI78" s="14">
        <v>0</v>
      </c>
      <c r="AJ78" s="14">
        <v>0</v>
      </c>
      <c r="AK78" s="14">
        <v>0</v>
      </c>
      <c r="AL78" s="14">
        <v>0</v>
      </c>
      <c r="AM78" s="453">
        <v>0</v>
      </c>
      <c r="AN78" s="453">
        <v>0</v>
      </c>
      <c r="AO78" s="453">
        <v>0</v>
      </c>
      <c r="AP78" s="453">
        <v>0</v>
      </c>
      <c r="AQ78" s="453">
        <v>0</v>
      </c>
      <c r="AR78" s="453">
        <v>0</v>
      </c>
      <c r="AS78" s="453">
        <v>0</v>
      </c>
      <c r="AT78" s="453">
        <v>0</v>
      </c>
      <c r="AU78" s="453">
        <v>0</v>
      </c>
      <c r="AV78" s="453">
        <v>0</v>
      </c>
      <c r="AW78" s="453">
        <v>0</v>
      </c>
      <c r="AX78" s="453">
        <v>0</v>
      </c>
      <c r="AY78" s="453">
        <v>0</v>
      </c>
      <c r="AZ78" s="453">
        <v>0</v>
      </c>
      <c r="BA78" s="453">
        <v>0</v>
      </c>
      <c r="BB78" s="453">
        <v>0</v>
      </c>
      <c r="BC78" s="453">
        <v>0</v>
      </c>
      <c r="BD78" s="453">
        <v>0</v>
      </c>
      <c r="BE78" s="105">
        <v>0</v>
      </c>
      <c r="BF78" s="453">
        <v>0</v>
      </c>
      <c r="BG78" s="453">
        <v>0</v>
      </c>
      <c r="BH78" s="105">
        <v>0</v>
      </c>
      <c r="BI78" s="453">
        <v>0</v>
      </c>
      <c r="BJ78" s="453">
        <v>0</v>
      </c>
      <c r="BK78" s="105">
        <v>0</v>
      </c>
      <c r="BL78" s="453">
        <v>0</v>
      </c>
      <c r="BM78" s="453">
        <v>0</v>
      </c>
      <c r="BN78" s="453">
        <v>0</v>
      </c>
      <c r="BO78" s="453">
        <v>0</v>
      </c>
      <c r="BP78" s="453">
        <v>0</v>
      </c>
      <c r="BQ78" s="453">
        <v>0</v>
      </c>
      <c r="BR78" s="14">
        <v>0</v>
      </c>
      <c r="BS78" s="14">
        <v>0</v>
      </c>
      <c r="BT78" s="377" t="str">
        <v/>
      </c>
      <c r="BU78" s="105" t="str">
        <v/>
      </c>
      <c r="BV78" s="453" t="str">
        <v/>
      </c>
      <c r="BW78" s="105" t="str">
        <f ca="1"/>
        <v/>
      </c>
    </row>
    <row r="79" spans="1:75" x14ac:dyDescent="0.3">
      <c r="A79" s="1">
        <v>0</v>
      </c>
      <c r="B79" s="106">
        <v>0</v>
      </c>
      <c r="C79" s="14">
        <v>0</v>
      </c>
      <c r="D79" s="14">
        <v>0</v>
      </c>
      <c r="E79" s="14">
        <v>0</v>
      </c>
      <c r="F79" s="453">
        <v>0</v>
      </c>
      <c r="G79" s="377">
        <v>0</v>
      </c>
      <c r="H79" s="453">
        <v>0</v>
      </c>
      <c r="I79" s="453">
        <v>0</v>
      </c>
      <c r="J79" s="453">
        <v>0</v>
      </c>
      <c r="K79" s="453">
        <v>0</v>
      </c>
      <c r="L79" s="453">
        <v>0</v>
      </c>
      <c r="M79" s="453">
        <v>0</v>
      </c>
      <c r="N79" s="453">
        <v>0</v>
      </c>
      <c r="O79" s="453">
        <v>0</v>
      </c>
      <c r="P79" s="14">
        <v>0</v>
      </c>
      <c r="Q79" s="14">
        <v>0</v>
      </c>
      <c r="R79" s="453">
        <v>0</v>
      </c>
      <c r="S79" s="453">
        <v>0</v>
      </c>
      <c r="T79" s="453">
        <v>0</v>
      </c>
      <c r="U79" s="453">
        <v>0</v>
      </c>
      <c r="V79" s="453">
        <v>0</v>
      </c>
      <c r="W79" s="453">
        <v>0</v>
      </c>
      <c r="X79" s="453">
        <v>0</v>
      </c>
      <c r="Y79" s="453">
        <v>0</v>
      </c>
      <c r="Z79" s="453">
        <v>0</v>
      </c>
      <c r="AA79" s="14">
        <v>0</v>
      </c>
      <c r="AB79" s="14">
        <v>0</v>
      </c>
      <c r="AC79" s="453">
        <v>0</v>
      </c>
      <c r="AD79" s="14">
        <v>0</v>
      </c>
      <c r="AE79" s="14">
        <v>0</v>
      </c>
      <c r="AF79" s="14">
        <v>0</v>
      </c>
      <c r="AG79" s="14">
        <v>0</v>
      </c>
      <c r="AH79" s="14">
        <v>0</v>
      </c>
      <c r="AI79" s="14">
        <v>0</v>
      </c>
      <c r="AJ79" s="14">
        <v>0</v>
      </c>
      <c r="AK79" s="14">
        <v>0</v>
      </c>
      <c r="AL79" s="14">
        <v>0</v>
      </c>
      <c r="AM79" s="453">
        <v>0</v>
      </c>
      <c r="AN79" s="453">
        <v>0</v>
      </c>
      <c r="AO79" s="453">
        <v>0</v>
      </c>
      <c r="AP79" s="453">
        <v>0</v>
      </c>
      <c r="AQ79" s="453">
        <v>0</v>
      </c>
      <c r="AR79" s="453">
        <v>0</v>
      </c>
      <c r="AS79" s="453">
        <v>0</v>
      </c>
      <c r="AT79" s="453">
        <v>0</v>
      </c>
      <c r="AU79" s="453">
        <v>0</v>
      </c>
      <c r="AV79" s="453">
        <v>0</v>
      </c>
      <c r="AW79" s="453">
        <v>0</v>
      </c>
      <c r="AX79" s="453">
        <v>0</v>
      </c>
      <c r="AY79" s="453">
        <v>0</v>
      </c>
      <c r="AZ79" s="453">
        <v>0</v>
      </c>
      <c r="BA79" s="453">
        <v>0</v>
      </c>
      <c r="BB79" s="453">
        <v>0</v>
      </c>
      <c r="BC79" s="453">
        <v>0</v>
      </c>
      <c r="BD79" s="453">
        <v>0</v>
      </c>
      <c r="BE79" s="105">
        <v>0</v>
      </c>
      <c r="BF79" s="453">
        <v>0</v>
      </c>
      <c r="BG79" s="453">
        <v>0</v>
      </c>
      <c r="BH79" s="105">
        <v>0</v>
      </c>
      <c r="BI79" s="453">
        <v>0</v>
      </c>
      <c r="BJ79" s="453">
        <v>0</v>
      </c>
      <c r="BK79" s="105">
        <v>0</v>
      </c>
      <c r="BL79" s="453">
        <v>0</v>
      </c>
      <c r="BM79" s="453">
        <v>0</v>
      </c>
      <c r="BN79" s="453">
        <v>0</v>
      </c>
      <c r="BO79" s="453">
        <v>0</v>
      </c>
      <c r="BP79" s="453">
        <v>0</v>
      </c>
      <c r="BQ79" s="453">
        <v>0</v>
      </c>
      <c r="BR79" s="14">
        <v>0</v>
      </c>
      <c r="BS79" s="14">
        <v>0</v>
      </c>
      <c r="BT79" s="377" t="str">
        <v/>
      </c>
      <c r="BU79" s="105" t="str">
        <v/>
      </c>
      <c r="BV79" s="453" t="str">
        <v/>
      </c>
      <c r="BW79" s="105" t="str">
        <f ca="1"/>
        <v/>
      </c>
    </row>
    <row r="80" spans="1:75" x14ac:dyDescent="0.3">
      <c r="A80" s="1">
        <v>0</v>
      </c>
      <c r="B80" s="106">
        <v>0</v>
      </c>
      <c r="C80" s="14">
        <v>0</v>
      </c>
      <c r="D80" s="14">
        <v>0</v>
      </c>
      <c r="E80" s="14">
        <v>0</v>
      </c>
      <c r="F80" s="453">
        <v>0</v>
      </c>
      <c r="G80" s="377">
        <v>0</v>
      </c>
      <c r="H80" s="453">
        <v>0</v>
      </c>
      <c r="I80" s="453">
        <v>0</v>
      </c>
      <c r="J80" s="453">
        <v>0</v>
      </c>
      <c r="K80" s="453">
        <v>0</v>
      </c>
      <c r="L80" s="453">
        <v>0</v>
      </c>
      <c r="M80" s="453">
        <v>0</v>
      </c>
      <c r="N80" s="453">
        <v>0</v>
      </c>
      <c r="O80" s="453">
        <v>0</v>
      </c>
      <c r="P80" s="14">
        <v>0</v>
      </c>
      <c r="Q80" s="14">
        <v>0</v>
      </c>
      <c r="R80" s="453">
        <v>0</v>
      </c>
      <c r="S80" s="453">
        <v>0</v>
      </c>
      <c r="T80" s="453">
        <v>0</v>
      </c>
      <c r="U80" s="453">
        <v>0</v>
      </c>
      <c r="V80" s="453">
        <v>0</v>
      </c>
      <c r="W80" s="453">
        <v>0</v>
      </c>
      <c r="X80" s="453">
        <v>0</v>
      </c>
      <c r="Y80" s="453">
        <v>0</v>
      </c>
      <c r="Z80" s="453">
        <v>0</v>
      </c>
      <c r="AA80" s="14">
        <v>0</v>
      </c>
      <c r="AB80" s="14">
        <v>0</v>
      </c>
      <c r="AC80" s="453">
        <v>0</v>
      </c>
      <c r="AD80" s="14">
        <v>0</v>
      </c>
      <c r="AE80" s="14">
        <v>0</v>
      </c>
      <c r="AF80" s="14">
        <v>0</v>
      </c>
      <c r="AG80" s="14">
        <v>0</v>
      </c>
      <c r="AH80" s="14">
        <v>0</v>
      </c>
      <c r="AI80" s="14">
        <v>0</v>
      </c>
      <c r="AJ80" s="14">
        <v>0</v>
      </c>
      <c r="AK80" s="14">
        <v>0</v>
      </c>
      <c r="AL80" s="14">
        <v>0</v>
      </c>
      <c r="AM80" s="453">
        <v>0</v>
      </c>
      <c r="AN80" s="453">
        <v>0</v>
      </c>
      <c r="AO80" s="453">
        <v>0</v>
      </c>
      <c r="AP80" s="453">
        <v>0</v>
      </c>
      <c r="AQ80" s="453">
        <v>0</v>
      </c>
      <c r="AR80" s="453">
        <v>0</v>
      </c>
      <c r="AS80" s="453">
        <v>0</v>
      </c>
      <c r="AT80" s="453">
        <v>0</v>
      </c>
      <c r="AU80" s="453">
        <v>0</v>
      </c>
      <c r="AV80" s="453">
        <v>0</v>
      </c>
      <c r="AW80" s="453">
        <v>0</v>
      </c>
      <c r="AX80" s="453">
        <v>0</v>
      </c>
      <c r="AY80" s="453">
        <v>0</v>
      </c>
      <c r="AZ80" s="453">
        <v>0</v>
      </c>
      <c r="BA80" s="453">
        <v>0</v>
      </c>
      <c r="BB80" s="453">
        <v>0</v>
      </c>
      <c r="BC80" s="453">
        <v>0</v>
      </c>
      <c r="BD80" s="453">
        <v>0</v>
      </c>
      <c r="BE80" s="105">
        <v>0</v>
      </c>
      <c r="BF80" s="453">
        <v>0</v>
      </c>
      <c r="BG80" s="453">
        <v>0</v>
      </c>
      <c r="BH80" s="105">
        <v>0</v>
      </c>
      <c r="BI80" s="453">
        <v>0</v>
      </c>
      <c r="BJ80" s="453">
        <v>0</v>
      </c>
      <c r="BK80" s="105">
        <v>0</v>
      </c>
      <c r="BL80" s="453">
        <v>0</v>
      </c>
      <c r="BM80" s="453">
        <v>0</v>
      </c>
      <c r="BN80" s="453">
        <v>0</v>
      </c>
      <c r="BO80" s="453">
        <v>0</v>
      </c>
      <c r="BP80" s="453">
        <v>0</v>
      </c>
      <c r="BQ80" s="453">
        <v>0</v>
      </c>
      <c r="BR80" s="14">
        <v>0</v>
      </c>
      <c r="BS80" s="14">
        <v>0</v>
      </c>
      <c r="BT80" s="377" t="str">
        <v/>
      </c>
      <c r="BU80" s="105" t="str">
        <v/>
      </c>
      <c r="BV80" s="453" t="str">
        <v/>
      </c>
      <c r="BW80" s="105" t="str">
        <f ca="1"/>
        <v/>
      </c>
    </row>
    <row r="81" spans="1:75" x14ac:dyDescent="0.3">
      <c r="A81" s="1">
        <v>0</v>
      </c>
      <c r="B81" s="106">
        <v>0</v>
      </c>
      <c r="C81" s="14">
        <v>0</v>
      </c>
      <c r="D81" s="14">
        <v>0</v>
      </c>
      <c r="E81" s="14">
        <v>0</v>
      </c>
      <c r="F81" s="453">
        <v>0</v>
      </c>
      <c r="G81" s="377">
        <v>0</v>
      </c>
      <c r="H81" s="453">
        <v>0</v>
      </c>
      <c r="I81" s="453">
        <v>0</v>
      </c>
      <c r="J81" s="453">
        <v>0</v>
      </c>
      <c r="K81" s="453">
        <v>0</v>
      </c>
      <c r="L81" s="453">
        <v>0</v>
      </c>
      <c r="M81" s="453">
        <v>0</v>
      </c>
      <c r="N81" s="453">
        <v>0</v>
      </c>
      <c r="O81" s="453">
        <v>0</v>
      </c>
      <c r="P81" s="14">
        <v>0</v>
      </c>
      <c r="Q81" s="14">
        <v>0</v>
      </c>
      <c r="R81" s="453">
        <v>0</v>
      </c>
      <c r="S81" s="453">
        <v>0</v>
      </c>
      <c r="T81" s="453">
        <v>0</v>
      </c>
      <c r="U81" s="453">
        <v>0</v>
      </c>
      <c r="V81" s="453">
        <v>0</v>
      </c>
      <c r="W81" s="453">
        <v>0</v>
      </c>
      <c r="X81" s="453">
        <v>0</v>
      </c>
      <c r="Y81" s="453">
        <v>0</v>
      </c>
      <c r="Z81" s="453">
        <v>0</v>
      </c>
      <c r="AA81" s="14">
        <v>0</v>
      </c>
      <c r="AB81" s="14">
        <v>0</v>
      </c>
      <c r="AC81" s="453">
        <v>0</v>
      </c>
      <c r="AD81" s="14">
        <v>0</v>
      </c>
      <c r="AE81" s="14">
        <v>0</v>
      </c>
      <c r="AF81" s="14">
        <v>0</v>
      </c>
      <c r="AG81" s="14">
        <v>0</v>
      </c>
      <c r="AH81" s="14">
        <v>0</v>
      </c>
      <c r="AI81" s="14">
        <v>0</v>
      </c>
      <c r="AJ81" s="14">
        <v>0</v>
      </c>
      <c r="AK81" s="14">
        <v>0</v>
      </c>
      <c r="AL81" s="14">
        <v>0</v>
      </c>
      <c r="AM81" s="453">
        <v>0</v>
      </c>
      <c r="AN81" s="453">
        <v>0</v>
      </c>
      <c r="AO81" s="453">
        <v>0</v>
      </c>
      <c r="AP81" s="453">
        <v>0</v>
      </c>
      <c r="AQ81" s="453">
        <v>0</v>
      </c>
      <c r="AR81" s="453">
        <v>0</v>
      </c>
      <c r="AS81" s="453">
        <v>0</v>
      </c>
      <c r="AT81" s="453">
        <v>0</v>
      </c>
      <c r="AU81" s="453">
        <v>0</v>
      </c>
      <c r="AV81" s="453">
        <v>0</v>
      </c>
      <c r="AW81" s="453">
        <v>0</v>
      </c>
      <c r="AX81" s="453">
        <v>0</v>
      </c>
      <c r="AY81" s="453">
        <v>0</v>
      </c>
      <c r="AZ81" s="453">
        <v>0</v>
      </c>
      <c r="BA81" s="453">
        <v>0</v>
      </c>
      <c r="BB81" s="453">
        <v>0</v>
      </c>
      <c r="BC81" s="453">
        <v>0</v>
      </c>
      <c r="BD81" s="453">
        <v>0</v>
      </c>
      <c r="BE81" s="105">
        <v>0</v>
      </c>
      <c r="BF81" s="453">
        <v>0</v>
      </c>
      <c r="BG81" s="453">
        <v>0</v>
      </c>
      <c r="BH81" s="105">
        <v>0</v>
      </c>
      <c r="BI81" s="453">
        <v>0</v>
      </c>
      <c r="BJ81" s="453">
        <v>0</v>
      </c>
      <c r="BK81" s="105">
        <v>0</v>
      </c>
      <c r="BL81" s="453">
        <v>0</v>
      </c>
      <c r="BM81" s="453">
        <v>0</v>
      </c>
      <c r="BN81" s="453">
        <v>0</v>
      </c>
      <c r="BO81" s="453">
        <v>0</v>
      </c>
      <c r="BP81" s="453">
        <v>0</v>
      </c>
      <c r="BQ81" s="453">
        <v>0</v>
      </c>
      <c r="BR81" s="14">
        <v>0</v>
      </c>
      <c r="BS81" s="14">
        <v>0</v>
      </c>
      <c r="BT81" s="377" t="str">
        <v/>
      </c>
      <c r="BU81" s="105" t="str">
        <v/>
      </c>
      <c r="BV81" s="453" t="str">
        <v/>
      </c>
      <c r="BW81" s="105" t="str">
        <f ca="1"/>
        <v/>
      </c>
    </row>
    <row r="82" spans="1:75" x14ac:dyDescent="0.3">
      <c r="A82" s="1">
        <v>0</v>
      </c>
      <c r="B82" s="106">
        <v>0</v>
      </c>
      <c r="C82" s="14">
        <v>0</v>
      </c>
      <c r="D82" s="14">
        <v>0</v>
      </c>
      <c r="E82" s="14">
        <v>0</v>
      </c>
      <c r="F82" s="453">
        <v>0</v>
      </c>
      <c r="G82" s="377">
        <v>0</v>
      </c>
      <c r="H82" s="453">
        <v>0</v>
      </c>
      <c r="I82" s="453">
        <v>0</v>
      </c>
      <c r="J82" s="453">
        <v>0</v>
      </c>
      <c r="K82" s="453">
        <v>0</v>
      </c>
      <c r="L82" s="453">
        <v>0</v>
      </c>
      <c r="M82" s="453">
        <v>0</v>
      </c>
      <c r="N82" s="453">
        <v>0</v>
      </c>
      <c r="O82" s="453">
        <v>0</v>
      </c>
      <c r="P82" s="14">
        <v>0</v>
      </c>
      <c r="Q82" s="14">
        <v>0</v>
      </c>
      <c r="R82" s="453">
        <v>0</v>
      </c>
      <c r="S82" s="453">
        <v>0</v>
      </c>
      <c r="T82" s="453">
        <v>0</v>
      </c>
      <c r="U82" s="453">
        <v>0</v>
      </c>
      <c r="V82" s="453">
        <v>0</v>
      </c>
      <c r="W82" s="453">
        <v>0</v>
      </c>
      <c r="X82" s="453">
        <v>0</v>
      </c>
      <c r="Y82" s="453">
        <v>0</v>
      </c>
      <c r="Z82" s="453">
        <v>0</v>
      </c>
      <c r="AA82" s="14">
        <v>0</v>
      </c>
      <c r="AB82" s="14">
        <v>0</v>
      </c>
      <c r="AC82" s="453">
        <v>0</v>
      </c>
      <c r="AD82" s="14">
        <v>0</v>
      </c>
      <c r="AE82" s="14">
        <v>0</v>
      </c>
      <c r="AF82" s="14">
        <v>0</v>
      </c>
      <c r="AG82" s="14">
        <v>0</v>
      </c>
      <c r="AH82" s="14">
        <v>0</v>
      </c>
      <c r="AI82" s="14">
        <v>0</v>
      </c>
      <c r="AJ82" s="14">
        <v>0</v>
      </c>
      <c r="AK82" s="14">
        <v>0</v>
      </c>
      <c r="AL82" s="14">
        <v>0</v>
      </c>
      <c r="AM82" s="453">
        <v>0</v>
      </c>
      <c r="AN82" s="453">
        <v>0</v>
      </c>
      <c r="AO82" s="453">
        <v>0</v>
      </c>
      <c r="AP82" s="453">
        <v>0</v>
      </c>
      <c r="AQ82" s="453">
        <v>0</v>
      </c>
      <c r="AR82" s="453">
        <v>0</v>
      </c>
      <c r="AS82" s="453">
        <v>0</v>
      </c>
      <c r="AT82" s="453">
        <v>0</v>
      </c>
      <c r="AU82" s="453">
        <v>0</v>
      </c>
      <c r="AV82" s="453">
        <v>0</v>
      </c>
      <c r="AW82" s="453">
        <v>0</v>
      </c>
      <c r="AX82" s="453">
        <v>0</v>
      </c>
      <c r="AY82" s="453">
        <v>0</v>
      </c>
      <c r="AZ82" s="453">
        <v>0</v>
      </c>
      <c r="BA82" s="453">
        <v>0</v>
      </c>
      <c r="BB82" s="453">
        <v>0</v>
      </c>
      <c r="BC82" s="453">
        <v>0</v>
      </c>
      <c r="BD82" s="453">
        <v>0</v>
      </c>
      <c r="BE82" s="105">
        <v>0</v>
      </c>
      <c r="BF82" s="453">
        <v>0</v>
      </c>
      <c r="BG82" s="453">
        <v>0</v>
      </c>
      <c r="BH82" s="105">
        <v>0</v>
      </c>
      <c r="BI82" s="453">
        <v>0</v>
      </c>
      <c r="BJ82" s="453">
        <v>0</v>
      </c>
      <c r="BK82" s="105">
        <v>0</v>
      </c>
      <c r="BL82" s="453">
        <v>0</v>
      </c>
      <c r="BM82" s="453">
        <v>0</v>
      </c>
      <c r="BN82" s="453">
        <v>0</v>
      </c>
      <c r="BO82" s="453">
        <v>0</v>
      </c>
      <c r="BP82" s="453">
        <v>0</v>
      </c>
      <c r="BQ82" s="453">
        <v>0</v>
      </c>
      <c r="BR82" s="14">
        <v>0</v>
      </c>
      <c r="BS82" s="14">
        <v>0</v>
      </c>
      <c r="BT82" s="377" t="str">
        <v/>
      </c>
      <c r="BU82" s="105" t="str">
        <v/>
      </c>
      <c r="BV82" s="453" t="str">
        <v/>
      </c>
      <c r="BW82" s="105" t="str">
        <f ca="1"/>
        <v/>
      </c>
    </row>
    <row r="83" spans="1:75" x14ac:dyDescent="0.3">
      <c r="A83" s="1">
        <v>0</v>
      </c>
      <c r="B83" s="106">
        <v>0</v>
      </c>
      <c r="C83" s="14">
        <v>0</v>
      </c>
      <c r="D83" s="14">
        <v>0</v>
      </c>
      <c r="E83" s="14">
        <v>0</v>
      </c>
      <c r="F83" s="453">
        <v>0</v>
      </c>
      <c r="G83" s="377">
        <v>0</v>
      </c>
      <c r="H83" s="453">
        <v>0</v>
      </c>
      <c r="I83" s="453">
        <v>0</v>
      </c>
      <c r="J83" s="453">
        <v>0</v>
      </c>
      <c r="K83" s="453">
        <v>0</v>
      </c>
      <c r="L83" s="453">
        <v>0</v>
      </c>
      <c r="M83" s="453">
        <v>0</v>
      </c>
      <c r="N83" s="453">
        <v>0</v>
      </c>
      <c r="O83" s="453">
        <v>0</v>
      </c>
      <c r="P83" s="14">
        <v>0</v>
      </c>
      <c r="Q83" s="14">
        <v>0</v>
      </c>
      <c r="R83" s="453">
        <v>0</v>
      </c>
      <c r="S83" s="453">
        <v>0</v>
      </c>
      <c r="T83" s="453">
        <v>0</v>
      </c>
      <c r="U83" s="453">
        <v>0</v>
      </c>
      <c r="V83" s="453">
        <v>0</v>
      </c>
      <c r="W83" s="453">
        <v>0</v>
      </c>
      <c r="X83" s="453">
        <v>0</v>
      </c>
      <c r="Y83" s="453">
        <v>0</v>
      </c>
      <c r="Z83" s="453">
        <v>0</v>
      </c>
      <c r="AA83" s="14">
        <v>0</v>
      </c>
      <c r="AB83" s="14">
        <v>0</v>
      </c>
      <c r="AC83" s="453">
        <v>0</v>
      </c>
      <c r="AD83" s="14">
        <v>0</v>
      </c>
      <c r="AE83" s="14">
        <v>0</v>
      </c>
      <c r="AF83" s="14">
        <v>0</v>
      </c>
      <c r="AG83" s="14">
        <v>0</v>
      </c>
      <c r="AH83" s="14">
        <v>0</v>
      </c>
      <c r="AI83" s="14">
        <v>0</v>
      </c>
      <c r="AJ83" s="14">
        <v>0</v>
      </c>
      <c r="AK83" s="14">
        <v>0</v>
      </c>
      <c r="AL83" s="14">
        <v>0</v>
      </c>
      <c r="AM83" s="453">
        <v>0</v>
      </c>
      <c r="AN83" s="453">
        <v>0</v>
      </c>
      <c r="AO83" s="453">
        <v>0</v>
      </c>
      <c r="AP83" s="453">
        <v>0</v>
      </c>
      <c r="AQ83" s="453">
        <v>0</v>
      </c>
      <c r="AR83" s="453">
        <v>0</v>
      </c>
      <c r="AS83" s="453">
        <v>0</v>
      </c>
      <c r="AT83" s="453">
        <v>0</v>
      </c>
      <c r="AU83" s="453">
        <v>0</v>
      </c>
      <c r="AV83" s="453">
        <v>0</v>
      </c>
      <c r="AW83" s="453">
        <v>0</v>
      </c>
      <c r="AX83" s="453">
        <v>0</v>
      </c>
      <c r="AY83" s="453">
        <v>0</v>
      </c>
      <c r="AZ83" s="453">
        <v>0</v>
      </c>
      <c r="BA83" s="453">
        <v>0</v>
      </c>
      <c r="BB83" s="453">
        <v>0</v>
      </c>
      <c r="BC83" s="453">
        <v>0</v>
      </c>
      <c r="BD83" s="453">
        <v>0</v>
      </c>
      <c r="BE83" s="105">
        <v>0</v>
      </c>
      <c r="BF83" s="453">
        <v>0</v>
      </c>
      <c r="BG83" s="453">
        <v>0</v>
      </c>
      <c r="BH83" s="105">
        <v>0</v>
      </c>
      <c r="BI83" s="453">
        <v>0</v>
      </c>
      <c r="BJ83" s="453">
        <v>0</v>
      </c>
      <c r="BK83" s="105">
        <v>0</v>
      </c>
      <c r="BL83" s="453">
        <v>0</v>
      </c>
      <c r="BM83" s="453">
        <v>0</v>
      </c>
      <c r="BN83" s="453">
        <v>0</v>
      </c>
      <c r="BO83" s="453">
        <v>0</v>
      </c>
      <c r="BP83" s="453">
        <v>0</v>
      </c>
      <c r="BQ83" s="453">
        <v>0</v>
      </c>
      <c r="BR83" s="14">
        <v>0</v>
      </c>
      <c r="BS83" s="14">
        <v>0</v>
      </c>
      <c r="BT83" s="377" t="str">
        <v/>
      </c>
      <c r="BU83" s="105" t="str">
        <v/>
      </c>
      <c r="BV83" s="453" t="str">
        <v/>
      </c>
      <c r="BW83" s="105" t="str">
        <f ca="1"/>
        <v/>
      </c>
    </row>
    <row r="84" spans="1:75" x14ac:dyDescent="0.3">
      <c r="A84" s="1">
        <v>0</v>
      </c>
      <c r="B84" s="106">
        <v>0</v>
      </c>
      <c r="C84" s="14">
        <v>0</v>
      </c>
      <c r="D84" s="14">
        <v>0</v>
      </c>
      <c r="E84" s="14">
        <v>0</v>
      </c>
      <c r="F84" s="453">
        <v>0</v>
      </c>
      <c r="G84" s="377">
        <v>0</v>
      </c>
      <c r="H84" s="453">
        <v>0</v>
      </c>
      <c r="I84" s="453">
        <v>0</v>
      </c>
      <c r="J84" s="453">
        <v>0</v>
      </c>
      <c r="K84" s="453">
        <v>0</v>
      </c>
      <c r="L84" s="453">
        <v>0</v>
      </c>
      <c r="M84" s="453">
        <v>0</v>
      </c>
      <c r="N84" s="453">
        <v>0</v>
      </c>
      <c r="O84" s="453">
        <v>0</v>
      </c>
      <c r="P84" s="14">
        <v>0</v>
      </c>
      <c r="Q84" s="14">
        <v>0</v>
      </c>
      <c r="R84" s="453">
        <v>0</v>
      </c>
      <c r="S84" s="453">
        <v>0</v>
      </c>
      <c r="T84" s="453">
        <v>0</v>
      </c>
      <c r="U84" s="453">
        <v>0</v>
      </c>
      <c r="V84" s="453">
        <v>0</v>
      </c>
      <c r="W84" s="453">
        <v>0</v>
      </c>
      <c r="X84" s="453">
        <v>0</v>
      </c>
      <c r="Y84" s="453">
        <v>0</v>
      </c>
      <c r="Z84" s="453">
        <v>0</v>
      </c>
      <c r="AA84" s="14">
        <v>0</v>
      </c>
      <c r="AB84" s="14">
        <v>0</v>
      </c>
      <c r="AC84" s="453">
        <v>0</v>
      </c>
      <c r="AD84" s="14">
        <v>0</v>
      </c>
      <c r="AE84" s="14">
        <v>0</v>
      </c>
      <c r="AF84" s="14">
        <v>0</v>
      </c>
      <c r="AG84" s="14">
        <v>0</v>
      </c>
      <c r="AH84" s="14">
        <v>0</v>
      </c>
      <c r="AI84" s="14">
        <v>0</v>
      </c>
      <c r="AJ84" s="14">
        <v>0</v>
      </c>
      <c r="AK84" s="14">
        <v>0</v>
      </c>
      <c r="AL84" s="14">
        <v>0</v>
      </c>
      <c r="AM84" s="453">
        <v>0</v>
      </c>
      <c r="AN84" s="453">
        <v>0</v>
      </c>
      <c r="AO84" s="453">
        <v>0</v>
      </c>
      <c r="AP84" s="453">
        <v>0</v>
      </c>
      <c r="AQ84" s="453">
        <v>0</v>
      </c>
      <c r="AR84" s="453">
        <v>0</v>
      </c>
      <c r="AS84" s="453">
        <v>0</v>
      </c>
      <c r="AT84" s="453">
        <v>0</v>
      </c>
      <c r="AU84" s="453">
        <v>0</v>
      </c>
      <c r="AV84" s="453">
        <v>0</v>
      </c>
      <c r="AW84" s="453">
        <v>0</v>
      </c>
      <c r="AX84" s="453">
        <v>0</v>
      </c>
      <c r="AY84" s="453">
        <v>0</v>
      </c>
      <c r="AZ84" s="453">
        <v>0</v>
      </c>
      <c r="BA84" s="453">
        <v>0</v>
      </c>
      <c r="BB84" s="453">
        <v>0</v>
      </c>
      <c r="BC84" s="453">
        <v>0</v>
      </c>
      <c r="BD84" s="453">
        <v>0</v>
      </c>
      <c r="BE84" s="105">
        <v>0</v>
      </c>
      <c r="BF84" s="453">
        <v>0</v>
      </c>
      <c r="BG84" s="453">
        <v>0</v>
      </c>
      <c r="BH84" s="105">
        <v>0</v>
      </c>
      <c r="BI84" s="453">
        <v>0</v>
      </c>
      <c r="BJ84" s="453">
        <v>0</v>
      </c>
      <c r="BK84" s="105">
        <v>0</v>
      </c>
      <c r="BL84" s="453">
        <v>0</v>
      </c>
      <c r="BM84" s="453">
        <v>0</v>
      </c>
      <c r="BN84" s="453">
        <v>0</v>
      </c>
      <c r="BO84" s="453">
        <v>0</v>
      </c>
      <c r="BP84" s="453">
        <v>0</v>
      </c>
      <c r="BQ84" s="453">
        <v>0</v>
      </c>
      <c r="BR84" s="14">
        <v>0</v>
      </c>
      <c r="BS84" s="14">
        <v>0</v>
      </c>
      <c r="BT84" s="377" t="str">
        <v/>
      </c>
      <c r="BU84" s="105" t="str">
        <v/>
      </c>
      <c r="BV84" s="453" t="str">
        <v/>
      </c>
      <c r="BW84" s="105" t="str">
        <f ca="1"/>
        <v/>
      </c>
    </row>
    <row r="85" spans="1:75" x14ac:dyDescent="0.3">
      <c r="A85" s="1">
        <v>0</v>
      </c>
      <c r="B85" s="106">
        <v>0</v>
      </c>
      <c r="C85" s="14">
        <v>0</v>
      </c>
      <c r="D85" s="14">
        <v>0</v>
      </c>
      <c r="E85" s="14">
        <v>0</v>
      </c>
      <c r="F85" s="453">
        <v>0</v>
      </c>
      <c r="G85" s="377">
        <v>0</v>
      </c>
      <c r="H85" s="453">
        <v>0</v>
      </c>
      <c r="I85" s="453">
        <v>0</v>
      </c>
      <c r="J85" s="453">
        <v>0</v>
      </c>
      <c r="K85" s="453">
        <v>0</v>
      </c>
      <c r="L85" s="453">
        <v>0</v>
      </c>
      <c r="M85" s="453">
        <v>0</v>
      </c>
      <c r="N85" s="453">
        <v>0</v>
      </c>
      <c r="O85" s="453">
        <v>0</v>
      </c>
      <c r="P85" s="14">
        <v>0</v>
      </c>
      <c r="Q85" s="14">
        <v>0</v>
      </c>
      <c r="R85" s="453">
        <v>0</v>
      </c>
      <c r="S85" s="453">
        <v>0</v>
      </c>
      <c r="T85" s="453">
        <v>0</v>
      </c>
      <c r="U85" s="453">
        <v>0</v>
      </c>
      <c r="V85" s="453">
        <v>0</v>
      </c>
      <c r="W85" s="453">
        <v>0</v>
      </c>
      <c r="X85" s="453">
        <v>0</v>
      </c>
      <c r="Y85" s="453">
        <v>0</v>
      </c>
      <c r="Z85" s="453">
        <v>0</v>
      </c>
      <c r="AA85" s="14">
        <v>0</v>
      </c>
      <c r="AB85" s="14">
        <v>0</v>
      </c>
      <c r="AC85" s="453">
        <v>0</v>
      </c>
      <c r="AD85" s="14">
        <v>0</v>
      </c>
      <c r="AE85" s="14">
        <v>0</v>
      </c>
      <c r="AF85" s="14">
        <v>0</v>
      </c>
      <c r="AG85" s="14">
        <v>0</v>
      </c>
      <c r="AH85" s="14">
        <v>0</v>
      </c>
      <c r="AI85" s="14">
        <v>0</v>
      </c>
      <c r="AJ85" s="14">
        <v>0</v>
      </c>
      <c r="AK85" s="14">
        <v>0</v>
      </c>
      <c r="AL85" s="14">
        <v>0</v>
      </c>
      <c r="AM85" s="453">
        <v>0</v>
      </c>
      <c r="AN85" s="453">
        <v>0</v>
      </c>
      <c r="AO85" s="453">
        <v>0</v>
      </c>
      <c r="AP85" s="453">
        <v>0</v>
      </c>
      <c r="AQ85" s="453">
        <v>0</v>
      </c>
      <c r="AR85" s="453">
        <v>0</v>
      </c>
      <c r="AS85" s="453">
        <v>0</v>
      </c>
      <c r="AT85" s="453">
        <v>0</v>
      </c>
      <c r="AU85" s="453">
        <v>0</v>
      </c>
      <c r="AV85" s="453">
        <v>0</v>
      </c>
      <c r="AW85" s="453">
        <v>0</v>
      </c>
      <c r="AX85" s="453">
        <v>0</v>
      </c>
      <c r="AY85" s="453">
        <v>0</v>
      </c>
      <c r="AZ85" s="453">
        <v>0</v>
      </c>
      <c r="BA85" s="453">
        <v>0</v>
      </c>
      <c r="BB85" s="453">
        <v>0</v>
      </c>
      <c r="BC85" s="453">
        <v>0</v>
      </c>
      <c r="BD85" s="453">
        <v>0</v>
      </c>
      <c r="BE85" s="105">
        <v>0</v>
      </c>
      <c r="BF85" s="453">
        <v>0</v>
      </c>
      <c r="BG85" s="453">
        <v>0</v>
      </c>
      <c r="BH85" s="105">
        <v>0</v>
      </c>
      <c r="BI85" s="453">
        <v>0</v>
      </c>
      <c r="BJ85" s="453">
        <v>0</v>
      </c>
      <c r="BK85" s="105">
        <v>0</v>
      </c>
      <c r="BL85" s="453">
        <v>0</v>
      </c>
      <c r="BM85" s="453">
        <v>0</v>
      </c>
      <c r="BN85" s="453">
        <v>0</v>
      </c>
      <c r="BO85" s="453">
        <v>0</v>
      </c>
      <c r="BP85" s="453">
        <v>0</v>
      </c>
      <c r="BQ85" s="453">
        <v>0</v>
      </c>
      <c r="BR85" s="14">
        <v>0</v>
      </c>
      <c r="BS85" s="14">
        <v>0</v>
      </c>
      <c r="BT85" s="377" t="str">
        <v/>
      </c>
      <c r="BU85" s="105" t="str">
        <v/>
      </c>
      <c r="BV85" s="453" t="str">
        <v/>
      </c>
      <c r="BW85" s="105" t="str">
        <f ca="1"/>
        <v/>
      </c>
    </row>
    <row r="86" spans="1:75" x14ac:dyDescent="0.3">
      <c r="A86" s="1">
        <v>0</v>
      </c>
      <c r="B86" s="106">
        <v>0</v>
      </c>
      <c r="C86" s="14">
        <v>0</v>
      </c>
      <c r="D86" s="14">
        <v>0</v>
      </c>
      <c r="E86" s="14">
        <v>0</v>
      </c>
      <c r="F86" s="453">
        <v>0</v>
      </c>
      <c r="G86" s="377">
        <v>0</v>
      </c>
      <c r="H86" s="453">
        <v>0</v>
      </c>
      <c r="I86" s="453">
        <v>0</v>
      </c>
      <c r="J86" s="453">
        <v>0</v>
      </c>
      <c r="K86" s="453">
        <v>0</v>
      </c>
      <c r="L86" s="453">
        <v>0</v>
      </c>
      <c r="M86" s="453">
        <v>0</v>
      </c>
      <c r="N86" s="453">
        <v>0</v>
      </c>
      <c r="O86" s="453">
        <v>0</v>
      </c>
      <c r="P86" s="14">
        <v>0</v>
      </c>
      <c r="Q86" s="14">
        <v>0</v>
      </c>
      <c r="R86" s="453">
        <v>0</v>
      </c>
      <c r="S86" s="453">
        <v>0</v>
      </c>
      <c r="T86" s="453">
        <v>0</v>
      </c>
      <c r="U86" s="453">
        <v>0</v>
      </c>
      <c r="V86" s="453">
        <v>0</v>
      </c>
      <c r="W86" s="453">
        <v>0</v>
      </c>
      <c r="X86" s="453">
        <v>0</v>
      </c>
      <c r="Y86" s="453">
        <v>0</v>
      </c>
      <c r="Z86" s="453">
        <v>0</v>
      </c>
      <c r="AA86" s="14">
        <v>0</v>
      </c>
      <c r="AB86" s="14">
        <v>0</v>
      </c>
      <c r="AC86" s="453">
        <v>0</v>
      </c>
      <c r="AD86" s="14">
        <v>0</v>
      </c>
      <c r="AE86" s="14">
        <v>0</v>
      </c>
      <c r="AF86" s="14">
        <v>0</v>
      </c>
      <c r="AG86" s="14">
        <v>0</v>
      </c>
      <c r="AH86" s="14">
        <v>0</v>
      </c>
      <c r="AI86" s="14">
        <v>0</v>
      </c>
      <c r="AJ86" s="14">
        <v>0</v>
      </c>
      <c r="AK86" s="14">
        <v>0</v>
      </c>
      <c r="AL86" s="14">
        <v>0</v>
      </c>
      <c r="AM86" s="453">
        <v>0</v>
      </c>
      <c r="AN86" s="453">
        <v>0</v>
      </c>
      <c r="AO86" s="453">
        <v>0</v>
      </c>
      <c r="AP86" s="453">
        <v>0</v>
      </c>
      <c r="AQ86" s="453">
        <v>0</v>
      </c>
      <c r="AR86" s="453">
        <v>0</v>
      </c>
      <c r="AS86" s="453">
        <v>0</v>
      </c>
      <c r="AT86" s="453">
        <v>0</v>
      </c>
      <c r="AU86" s="453">
        <v>0</v>
      </c>
      <c r="AV86" s="453">
        <v>0</v>
      </c>
      <c r="AW86" s="453">
        <v>0</v>
      </c>
      <c r="AX86" s="453">
        <v>0</v>
      </c>
      <c r="AY86" s="453">
        <v>0</v>
      </c>
      <c r="AZ86" s="453">
        <v>0</v>
      </c>
      <c r="BA86" s="453">
        <v>0</v>
      </c>
      <c r="BB86" s="453">
        <v>0</v>
      </c>
      <c r="BC86" s="453">
        <v>0</v>
      </c>
      <c r="BD86" s="453">
        <v>0</v>
      </c>
      <c r="BE86" s="105">
        <v>0</v>
      </c>
      <c r="BF86" s="453">
        <v>0</v>
      </c>
      <c r="BG86" s="453">
        <v>0</v>
      </c>
      <c r="BH86" s="105">
        <v>0</v>
      </c>
      <c r="BI86" s="453">
        <v>0</v>
      </c>
      <c r="BJ86" s="453">
        <v>0</v>
      </c>
      <c r="BK86" s="105">
        <v>0</v>
      </c>
      <c r="BL86" s="453">
        <v>0</v>
      </c>
      <c r="BM86" s="453">
        <v>0</v>
      </c>
      <c r="BN86" s="453">
        <v>0</v>
      </c>
      <c r="BO86" s="453">
        <v>0</v>
      </c>
      <c r="BP86" s="453">
        <v>0</v>
      </c>
      <c r="BQ86" s="453">
        <v>0</v>
      </c>
      <c r="BR86" s="14">
        <v>0</v>
      </c>
      <c r="BS86" s="14">
        <v>0</v>
      </c>
      <c r="BT86" s="377" t="str">
        <v/>
      </c>
      <c r="BU86" s="105" t="str">
        <v/>
      </c>
      <c r="BV86" s="453" t="str">
        <v/>
      </c>
      <c r="BW86" s="105" t="str">
        <f ca="1"/>
        <v/>
      </c>
    </row>
    <row r="87" spans="1:75" x14ac:dyDescent="0.3">
      <c r="A87" s="1">
        <v>0</v>
      </c>
      <c r="B87" s="106">
        <v>0</v>
      </c>
      <c r="C87" s="14">
        <v>0</v>
      </c>
      <c r="D87" s="14">
        <v>0</v>
      </c>
      <c r="E87" s="14">
        <v>0</v>
      </c>
      <c r="F87" s="453">
        <v>0</v>
      </c>
      <c r="G87" s="377">
        <v>0</v>
      </c>
      <c r="H87" s="453">
        <v>0</v>
      </c>
      <c r="I87" s="453">
        <v>0</v>
      </c>
      <c r="J87" s="453">
        <v>0</v>
      </c>
      <c r="K87" s="453">
        <v>0</v>
      </c>
      <c r="L87" s="453">
        <v>0</v>
      </c>
      <c r="M87" s="453">
        <v>0</v>
      </c>
      <c r="N87" s="453">
        <v>0</v>
      </c>
      <c r="O87" s="453">
        <v>0</v>
      </c>
      <c r="P87" s="14">
        <v>0</v>
      </c>
      <c r="Q87" s="14">
        <v>0</v>
      </c>
      <c r="R87" s="453">
        <v>0</v>
      </c>
      <c r="S87" s="453">
        <v>0</v>
      </c>
      <c r="T87" s="453">
        <v>0</v>
      </c>
      <c r="U87" s="453">
        <v>0</v>
      </c>
      <c r="V87" s="453">
        <v>0</v>
      </c>
      <c r="W87" s="453">
        <v>0</v>
      </c>
      <c r="X87" s="453">
        <v>0</v>
      </c>
      <c r="Y87" s="453">
        <v>0</v>
      </c>
      <c r="Z87" s="453">
        <v>0</v>
      </c>
      <c r="AA87" s="14">
        <v>0</v>
      </c>
      <c r="AB87" s="14">
        <v>0</v>
      </c>
      <c r="AC87" s="453">
        <v>0</v>
      </c>
      <c r="AD87" s="14">
        <v>0</v>
      </c>
      <c r="AE87" s="14">
        <v>0</v>
      </c>
      <c r="AF87" s="14">
        <v>0</v>
      </c>
      <c r="AG87" s="14">
        <v>0</v>
      </c>
      <c r="AH87" s="14">
        <v>0</v>
      </c>
      <c r="AI87" s="14">
        <v>0</v>
      </c>
      <c r="AJ87" s="14">
        <v>0</v>
      </c>
      <c r="AK87" s="14">
        <v>0</v>
      </c>
      <c r="AL87" s="14">
        <v>0</v>
      </c>
      <c r="AM87" s="453">
        <v>0</v>
      </c>
      <c r="AN87" s="453">
        <v>0</v>
      </c>
      <c r="AO87" s="453">
        <v>0</v>
      </c>
      <c r="AP87" s="453">
        <v>0</v>
      </c>
      <c r="AQ87" s="453">
        <v>0</v>
      </c>
      <c r="AR87" s="453">
        <v>0</v>
      </c>
      <c r="AS87" s="453">
        <v>0</v>
      </c>
      <c r="AT87" s="453">
        <v>0</v>
      </c>
      <c r="AU87" s="453">
        <v>0</v>
      </c>
      <c r="AV87" s="453">
        <v>0</v>
      </c>
      <c r="AW87" s="453">
        <v>0</v>
      </c>
      <c r="AX87" s="453">
        <v>0</v>
      </c>
      <c r="AY87" s="453">
        <v>0</v>
      </c>
      <c r="AZ87" s="453">
        <v>0</v>
      </c>
      <c r="BA87" s="453">
        <v>0</v>
      </c>
      <c r="BB87" s="453">
        <v>0</v>
      </c>
      <c r="BC87" s="453">
        <v>0</v>
      </c>
      <c r="BD87" s="453">
        <v>0</v>
      </c>
      <c r="BE87" s="105">
        <v>0</v>
      </c>
      <c r="BF87" s="453">
        <v>0</v>
      </c>
      <c r="BG87" s="453">
        <v>0</v>
      </c>
      <c r="BH87" s="105">
        <v>0</v>
      </c>
      <c r="BI87" s="453">
        <v>0</v>
      </c>
      <c r="BJ87" s="453">
        <v>0</v>
      </c>
      <c r="BK87" s="105">
        <v>0</v>
      </c>
      <c r="BL87" s="453">
        <v>0</v>
      </c>
      <c r="BM87" s="453">
        <v>0</v>
      </c>
      <c r="BN87" s="453">
        <v>0</v>
      </c>
      <c r="BO87" s="453">
        <v>0</v>
      </c>
      <c r="BP87" s="453">
        <v>0</v>
      </c>
      <c r="BQ87" s="453">
        <v>0</v>
      </c>
      <c r="BR87" s="14">
        <v>0</v>
      </c>
      <c r="BS87" s="14">
        <v>0</v>
      </c>
      <c r="BT87" s="377" t="str">
        <v/>
      </c>
      <c r="BU87" s="105" t="str">
        <v/>
      </c>
      <c r="BV87" s="453" t="str">
        <v/>
      </c>
      <c r="BW87" s="105" t="str">
        <f ca="1"/>
        <v/>
      </c>
    </row>
    <row r="88" spans="1:75" x14ac:dyDescent="0.3">
      <c r="A88" s="1">
        <v>0</v>
      </c>
      <c r="B88" s="106">
        <v>0</v>
      </c>
      <c r="C88" s="14">
        <v>0</v>
      </c>
      <c r="D88" s="14">
        <v>0</v>
      </c>
      <c r="E88" s="14">
        <v>0</v>
      </c>
      <c r="F88" s="453">
        <v>0</v>
      </c>
      <c r="G88" s="377">
        <v>0</v>
      </c>
      <c r="H88" s="453">
        <v>0</v>
      </c>
      <c r="I88" s="453">
        <v>0</v>
      </c>
      <c r="J88" s="453">
        <v>0</v>
      </c>
      <c r="K88" s="453">
        <v>0</v>
      </c>
      <c r="L88" s="453">
        <v>0</v>
      </c>
      <c r="M88" s="453">
        <v>0</v>
      </c>
      <c r="N88" s="453">
        <v>0</v>
      </c>
      <c r="O88" s="453">
        <v>0</v>
      </c>
      <c r="P88" s="14">
        <v>0</v>
      </c>
      <c r="Q88" s="14">
        <v>0</v>
      </c>
      <c r="R88" s="453">
        <v>0</v>
      </c>
      <c r="S88" s="453">
        <v>0</v>
      </c>
      <c r="T88" s="453">
        <v>0</v>
      </c>
      <c r="U88" s="453">
        <v>0</v>
      </c>
      <c r="V88" s="453">
        <v>0</v>
      </c>
      <c r="W88" s="453">
        <v>0</v>
      </c>
      <c r="X88" s="453">
        <v>0</v>
      </c>
      <c r="Y88" s="453">
        <v>0</v>
      </c>
      <c r="Z88" s="453">
        <v>0</v>
      </c>
      <c r="AA88" s="14">
        <v>0</v>
      </c>
      <c r="AB88" s="14">
        <v>0</v>
      </c>
      <c r="AC88" s="453">
        <v>0</v>
      </c>
      <c r="AD88" s="14">
        <v>0</v>
      </c>
      <c r="AE88" s="14">
        <v>0</v>
      </c>
      <c r="AF88" s="14">
        <v>0</v>
      </c>
      <c r="AG88" s="14">
        <v>0</v>
      </c>
      <c r="AH88" s="14">
        <v>0</v>
      </c>
      <c r="AI88" s="14">
        <v>0</v>
      </c>
      <c r="AJ88" s="14">
        <v>0</v>
      </c>
      <c r="AK88" s="14">
        <v>0</v>
      </c>
      <c r="AL88" s="14">
        <v>0</v>
      </c>
      <c r="AM88" s="453">
        <v>0</v>
      </c>
      <c r="AN88" s="453">
        <v>0</v>
      </c>
      <c r="AO88" s="453">
        <v>0</v>
      </c>
      <c r="AP88" s="453">
        <v>0</v>
      </c>
      <c r="AQ88" s="453">
        <v>0</v>
      </c>
      <c r="AR88" s="453">
        <v>0</v>
      </c>
      <c r="AS88" s="453">
        <v>0</v>
      </c>
      <c r="AT88" s="453">
        <v>0</v>
      </c>
      <c r="AU88" s="453">
        <v>0</v>
      </c>
      <c r="AV88" s="453">
        <v>0</v>
      </c>
      <c r="AW88" s="453">
        <v>0</v>
      </c>
      <c r="AX88" s="453">
        <v>0</v>
      </c>
      <c r="AY88" s="453">
        <v>0</v>
      </c>
      <c r="AZ88" s="453">
        <v>0</v>
      </c>
      <c r="BA88" s="453">
        <v>0</v>
      </c>
      <c r="BB88" s="453">
        <v>0</v>
      </c>
      <c r="BC88" s="453">
        <v>0</v>
      </c>
      <c r="BD88" s="453">
        <v>0</v>
      </c>
      <c r="BE88" s="105">
        <v>0</v>
      </c>
      <c r="BF88" s="453">
        <v>0</v>
      </c>
      <c r="BG88" s="453">
        <v>0</v>
      </c>
      <c r="BH88" s="105">
        <v>0</v>
      </c>
      <c r="BI88" s="453">
        <v>0</v>
      </c>
      <c r="BJ88" s="453">
        <v>0</v>
      </c>
      <c r="BK88" s="105">
        <v>0</v>
      </c>
      <c r="BL88" s="453">
        <v>0</v>
      </c>
      <c r="BM88" s="453">
        <v>0</v>
      </c>
      <c r="BN88" s="453">
        <v>0</v>
      </c>
      <c r="BO88" s="453">
        <v>0</v>
      </c>
      <c r="BP88" s="453">
        <v>0</v>
      </c>
      <c r="BQ88" s="453">
        <v>0</v>
      </c>
      <c r="BR88" s="14">
        <v>0</v>
      </c>
      <c r="BS88" s="14">
        <v>0</v>
      </c>
      <c r="BT88" s="377" t="str">
        <v/>
      </c>
      <c r="BU88" s="105" t="str">
        <v/>
      </c>
      <c r="BV88" s="453" t="str">
        <v/>
      </c>
      <c r="BW88" s="105" t="str">
        <f ca="1"/>
        <v/>
      </c>
    </row>
    <row r="89" spans="1:75" x14ac:dyDescent="0.3">
      <c r="A89" s="1">
        <v>0</v>
      </c>
      <c r="B89" s="106">
        <v>0</v>
      </c>
      <c r="C89" s="14">
        <v>0</v>
      </c>
      <c r="D89" s="14">
        <v>0</v>
      </c>
      <c r="E89" s="14">
        <v>0</v>
      </c>
      <c r="F89" s="453">
        <v>0</v>
      </c>
      <c r="G89" s="377">
        <v>0</v>
      </c>
      <c r="H89" s="453">
        <v>0</v>
      </c>
      <c r="I89" s="453">
        <v>0</v>
      </c>
      <c r="J89" s="453">
        <v>0</v>
      </c>
      <c r="K89" s="453">
        <v>0</v>
      </c>
      <c r="L89" s="453">
        <v>0</v>
      </c>
      <c r="M89" s="453">
        <v>0</v>
      </c>
      <c r="N89" s="453">
        <v>0</v>
      </c>
      <c r="O89" s="453">
        <v>0</v>
      </c>
      <c r="P89" s="14">
        <v>0</v>
      </c>
      <c r="Q89" s="14">
        <v>0</v>
      </c>
      <c r="R89" s="453">
        <v>0</v>
      </c>
      <c r="S89" s="453">
        <v>0</v>
      </c>
      <c r="T89" s="453">
        <v>0</v>
      </c>
      <c r="U89" s="453">
        <v>0</v>
      </c>
      <c r="V89" s="453">
        <v>0</v>
      </c>
      <c r="W89" s="453">
        <v>0</v>
      </c>
      <c r="X89" s="453">
        <v>0</v>
      </c>
      <c r="Y89" s="453">
        <v>0</v>
      </c>
      <c r="Z89" s="453">
        <v>0</v>
      </c>
      <c r="AA89" s="14">
        <v>0</v>
      </c>
      <c r="AB89" s="14">
        <v>0</v>
      </c>
      <c r="AC89" s="453">
        <v>0</v>
      </c>
      <c r="AD89" s="14">
        <v>0</v>
      </c>
      <c r="AE89" s="14">
        <v>0</v>
      </c>
      <c r="AF89" s="14">
        <v>0</v>
      </c>
      <c r="AG89" s="14">
        <v>0</v>
      </c>
      <c r="AH89" s="14">
        <v>0</v>
      </c>
      <c r="AI89" s="14">
        <v>0</v>
      </c>
      <c r="AJ89" s="14">
        <v>0</v>
      </c>
      <c r="AK89" s="14">
        <v>0</v>
      </c>
      <c r="AL89" s="14">
        <v>0</v>
      </c>
      <c r="AM89" s="453">
        <v>0</v>
      </c>
      <c r="AN89" s="453">
        <v>0</v>
      </c>
      <c r="AO89" s="453">
        <v>0</v>
      </c>
      <c r="AP89" s="453">
        <v>0</v>
      </c>
      <c r="AQ89" s="453">
        <v>0</v>
      </c>
      <c r="AR89" s="453">
        <v>0</v>
      </c>
      <c r="AS89" s="453">
        <v>0</v>
      </c>
      <c r="AT89" s="453">
        <v>0</v>
      </c>
      <c r="AU89" s="453">
        <v>0</v>
      </c>
      <c r="AV89" s="453">
        <v>0</v>
      </c>
      <c r="AW89" s="453">
        <v>0</v>
      </c>
      <c r="AX89" s="453">
        <v>0</v>
      </c>
      <c r="AY89" s="453">
        <v>0</v>
      </c>
      <c r="AZ89" s="453">
        <v>0</v>
      </c>
      <c r="BA89" s="453">
        <v>0</v>
      </c>
      <c r="BB89" s="453">
        <v>0</v>
      </c>
      <c r="BC89" s="453">
        <v>0</v>
      </c>
      <c r="BD89" s="453">
        <v>0</v>
      </c>
      <c r="BE89" s="105">
        <v>0</v>
      </c>
      <c r="BF89" s="453">
        <v>0</v>
      </c>
      <c r="BG89" s="453">
        <v>0</v>
      </c>
      <c r="BH89" s="105">
        <v>0</v>
      </c>
      <c r="BI89" s="453">
        <v>0</v>
      </c>
      <c r="BJ89" s="453">
        <v>0</v>
      </c>
      <c r="BK89" s="105">
        <v>0</v>
      </c>
      <c r="BL89" s="453">
        <v>0</v>
      </c>
      <c r="BM89" s="453">
        <v>0</v>
      </c>
      <c r="BN89" s="453">
        <v>0</v>
      </c>
      <c r="BO89" s="453">
        <v>0</v>
      </c>
      <c r="BP89" s="453">
        <v>0</v>
      </c>
      <c r="BQ89" s="453">
        <v>0</v>
      </c>
      <c r="BR89" s="14">
        <v>0</v>
      </c>
      <c r="BS89" s="14">
        <v>0</v>
      </c>
      <c r="BT89" s="377" t="str">
        <v/>
      </c>
      <c r="BU89" s="105" t="str">
        <v/>
      </c>
      <c r="BV89" s="453" t="str">
        <v/>
      </c>
      <c r="BW89" s="105" t="str">
        <f ca="1"/>
        <v/>
      </c>
    </row>
    <row r="90" spans="1:75" x14ac:dyDescent="0.3">
      <c r="A90" s="1">
        <v>0</v>
      </c>
      <c r="B90" s="106">
        <v>0</v>
      </c>
      <c r="C90" s="14">
        <v>0</v>
      </c>
      <c r="D90" s="14">
        <v>0</v>
      </c>
      <c r="E90" s="14">
        <v>0</v>
      </c>
      <c r="F90" s="453">
        <v>0</v>
      </c>
      <c r="G90" s="377">
        <v>0</v>
      </c>
      <c r="H90" s="453">
        <v>0</v>
      </c>
      <c r="I90" s="453">
        <v>0</v>
      </c>
      <c r="J90" s="453">
        <v>0</v>
      </c>
      <c r="K90" s="453">
        <v>0</v>
      </c>
      <c r="L90" s="453">
        <v>0</v>
      </c>
      <c r="M90" s="453">
        <v>0</v>
      </c>
      <c r="N90" s="453">
        <v>0</v>
      </c>
      <c r="O90" s="453">
        <v>0</v>
      </c>
      <c r="P90" s="14">
        <v>0</v>
      </c>
      <c r="Q90" s="14">
        <v>0</v>
      </c>
      <c r="R90" s="453">
        <v>0</v>
      </c>
      <c r="S90" s="453">
        <v>0</v>
      </c>
      <c r="T90" s="453">
        <v>0</v>
      </c>
      <c r="U90" s="453">
        <v>0</v>
      </c>
      <c r="V90" s="453">
        <v>0</v>
      </c>
      <c r="W90" s="453">
        <v>0</v>
      </c>
      <c r="X90" s="453">
        <v>0</v>
      </c>
      <c r="Y90" s="453">
        <v>0</v>
      </c>
      <c r="Z90" s="453">
        <v>0</v>
      </c>
      <c r="AA90" s="14">
        <v>0</v>
      </c>
      <c r="AB90" s="14">
        <v>0</v>
      </c>
      <c r="AC90" s="453">
        <v>0</v>
      </c>
      <c r="AD90" s="14">
        <v>0</v>
      </c>
      <c r="AE90" s="14">
        <v>0</v>
      </c>
      <c r="AF90" s="14">
        <v>0</v>
      </c>
      <c r="AG90" s="14">
        <v>0</v>
      </c>
      <c r="AH90" s="14">
        <v>0</v>
      </c>
      <c r="AI90" s="14">
        <v>0</v>
      </c>
      <c r="AJ90" s="14">
        <v>0</v>
      </c>
      <c r="AK90" s="14">
        <v>0</v>
      </c>
      <c r="AL90" s="14">
        <v>0</v>
      </c>
      <c r="AM90" s="453">
        <v>0</v>
      </c>
      <c r="AN90" s="453">
        <v>0</v>
      </c>
      <c r="AO90" s="453">
        <v>0</v>
      </c>
      <c r="AP90" s="453">
        <v>0</v>
      </c>
      <c r="AQ90" s="453">
        <v>0</v>
      </c>
      <c r="AR90" s="453">
        <v>0</v>
      </c>
      <c r="AS90" s="453">
        <v>0</v>
      </c>
      <c r="AT90" s="453">
        <v>0</v>
      </c>
      <c r="AU90" s="453">
        <v>0</v>
      </c>
      <c r="AV90" s="453">
        <v>0</v>
      </c>
      <c r="AW90" s="453">
        <v>0</v>
      </c>
      <c r="AX90" s="453">
        <v>0</v>
      </c>
      <c r="AY90" s="453">
        <v>0</v>
      </c>
      <c r="AZ90" s="453">
        <v>0</v>
      </c>
      <c r="BA90" s="453">
        <v>0</v>
      </c>
      <c r="BB90" s="453">
        <v>0</v>
      </c>
      <c r="BC90" s="453">
        <v>0</v>
      </c>
      <c r="BD90" s="453">
        <v>0</v>
      </c>
      <c r="BE90" s="105">
        <v>0</v>
      </c>
      <c r="BF90" s="453">
        <v>0</v>
      </c>
      <c r="BG90" s="453">
        <v>0</v>
      </c>
      <c r="BH90" s="105">
        <v>0</v>
      </c>
      <c r="BI90" s="453">
        <v>0</v>
      </c>
      <c r="BJ90" s="453">
        <v>0</v>
      </c>
      <c r="BK90" s="105">
        <v>0</v>
      </c>
      <c r="BL90" s="453">
        <v>0</v>
      </c>
      <c r="BM90" s="453">
        <v>0</v>
      </c>
      <c r="BN90" s="453">
        <v>0</v>
      </c>
      <c r="BO90" s="453">
        <v>0</v>
      </c>
      <c r="BP90" s="453">
        <v>0</v>
      </c>
      <c r="BQ90" s="453">
        <v>0</v>
      </c>
      <c r="BR90" s="14">
        <v>0</v>
      </c>
      <c r="BS90" s="14">
        <v>0</v>
      </c>
      <c r="BT90" s="377" t="str">
        <v/>
      </c>
      <c r="BU90" s="105" t="str">
        <v/>
      </c>
      <c r="BV90" s="453" t="str">
        <v/>
      </c>
      <c r="BW90" s="105" t="str">
        <f ca="1"/>
        <v/>
      </c>
    </row>
    <row r="91" spans="1:75" x14ac:dyDescent="0.3">
      <c r="A91" s="1">
        <v>0</v>
      </c>
      <c r="B91" s="106">
        <v>0</v>
      </c>
      <c r="C91" s="14">
        <v>0</v>
      </c>
      <c r="D91" s="14">
        <v>0</v>
      </c>
      <c r="E91" s="14">
        <v>0</v>
      </c>
      <c r="F91" s="453">
        <v>0</v>
      </c>
      <c r="G91" s="377">
        <v>0</v>
      </c>
      <c r="H91" s="453">
        <v>0</v>
      </c>
      <c r="I91" s="453">
        <v>0</v>
      </c>
      <c r="J91" s="453">
        <v>0</v>
      </c>
      <c r="K91" s="453">
        <v>0</v>
      </c>
      <c r="L91" s="453">
        <v>0</v>
      </c>
      <c r="M91" s="453">
        <v>0</v>
      </c>
      <c r="N91" s="453">
        <v>0</v>
      </c>
      <c r="O91" s="453">
        <v>0</v>
      </c>
      <c r="P91" s="14">
        <v>0</v>
      </c>
      <c r="Q91" s="14">
        <v>0</v>
      </c>
      <c r="R91" s="453">
        <v>0</v>
      </c>
      <c r="S91" s="453">
        <v>0</v>
      </c>
      <c r="T91" s="453">
        <v>0</v>
      </c>
      <c r="U91" s="453">
        <v>0</v>
      </c>
      <c r="V91" s="453">
        <v>0</v>
      </c>
      <c r="W91" s="453">
        <v>0</v>
      </c>
      <c r="X91" s="453">
        <v>0</v>
      </c>
      <c r="Y91" s="453">
        <v>0</v>
      </c>
      <c r="Z91" s="453">
        <v>0</v>
      </c>
      <c r="AA91" s="14">
        <v>0</v>
      </c>
      <c r="AB91" s="14">
        <v>0</v>
      </c>
      <c r="AC91" s="453">
        <v>0</v>
      </c>
      <c r="AD91" s="14">
        <v>0</v>
      </c>
      <c r="AE91" s="14">
        <v>0</v>
      </c>
      <c r="AF91" s="14">
        <v>0</v>
      </c>
      <c r="AG91" s="14">
        <v>0</v>
      </c>
      <c r="AH91" s="14">
        <v>0</v>
      </c>
      <c r="AI91" s="14">
        <v>0</v>
      </c>
      <c r="AJ91" s="14">
        <v>0</v>
      </c>
      <c r="AK91" s="14">
        <v>0</v>
      </c>
      <c r="AL91" s="14">
        <v>0</v>
      </c>
      <c r="AM91" s="453">
        <v>0</v>
      </c>
      <c r="AN91" s="453">
        <v>0</v>
      </c>
      <c r="AO91" s="453">
        <v>0</v>
      </c>
      <c r="AP91" s="453">
        <v>0</v>
      </c>
      <c r="AQ91" s="453">
        <v>0</v>
      </c>
      <c r="AR91" s="453">
        <v>0</v>
      </c>
      <c r="AS91" s="453">
        <v>0</v>
      </c>
      <c r="AT91" s="453">
        <v>0</v>
      </c>
      <c r="AU91" s="453">
        <v>0</v>
      </c>
      <c r="AV91" s="453">
        <v>0</v>
      </c>
      <c r="AW91" s="453">
        <v>0</v>
      </c>
      <c r="AX91" s="453">
        <v>0</v>
      </c>
      <c r="AY91" s="453">
        <v>0</v>
      </c>
      <c r="AZ91" s="453">
        <v>0</v>
      </c>
      <c r="BA91" s="453">
        <v>0</v>
      </c>
      <c r="BB91" s="453">
        <v>0</v>
      </c>
      <c r="BC91" s="453">
        <v>0</v>
      </c>
      <c r="BD91" s="453">
        <v>0</v>
      </c>
      <c r="BE91" s="105">
        <v>0</v>
      </c>
      <c r="BF91" s="453">
        <v>0</v>
      </c>
      <c r="BG91" s="453">
        <v>0</v>
      </c>
      <c r="BH91" s="105">
        <v>0</v>
      </c>
      <c r="BI91" s="453">
        <v>0</v>
      </c>
      <c r="BJ91" s="453">
        <v>0</v>
      </c>
      <c r="BK91" s="105">
        <v>0</v>
      </c>
      <c r="BL91" s="453">
        <v>0</v>
      </c>
      <c r="BM91" s="453">
        <v>0</v>
      </c>
      <c r="BN91" s="453">
        <v>0</v>
      </c>
      <c r="BO91" s="453">
        <v>0</v>
      </c>
      <c r="BP91" s="453">
        <v>0</v>
      </c>
      <c r="BQ91" s="453">
        <v>0</v>
      </c>
      <c r="BR91" s="14">
        <v>0</v>
      </c>
      <c r="BS91" s="14">
        <v>0</v>
      </c>
      <c r="BT91" s="377" t="str">
        <v/>
      </c>
      <c r="BU91" s="105" t="str">
        <v/>
      </c>
      <c r="BV91" s="453" t="str">
        <v/>
      </c>
      <c r="BW91" s="105" t="str">
        <f ca="1"/>
        <v/>
      </c>
    </row>
    <row r="92" spans="1:75" x14ac:dyDescent="0.3">
      <c r="A92" s="1">
        <v>0</v>
      </c>
      <c r="B92" s="106">
        <v>0</v>
      </c>
      <c r="C92" s="14">
        <v>0</v>
      </c>
      <c r="D92" s="14">
        <v>0</v>
      </c>
      <c r="E92" s="14">
        <v>0</v>
      </c>
      <c r="F92" s="453">
        <v>0</v>
      </c>
      <c r="G92" s="377">
        <v>0</v>
      </c>
      <c r="H92" s="453">
        <v>0</v>
      </c>
      <c r="I92" s="453">
        <v>0</v>
      </c>
      <c r="J92" s="453">
        <v>0</v>
      </c>
      <c r="K92" s="453">
        <v>0</v>
      </c>
      <c r="L92" s="453">
        <v>0</v>
      </c>
      <c r="M92" s="453">
        <v>0</v>
      </c>
      <c r="N92" s="453">
        <v>0</v>
      </c>
      <c r="O92" s="453">
        <v>0</v>
      </c>
      <c r="P92" s="14">
        <v>0</v>
      </c>
      <c r="Q92" s="14">
        <v>0</v>
      </c>
      <c r="R92" s="453">
        <v>0</v>
      </c>
      <c r="S92" s="453">
        <v>0</v>
      </c>
      <c r="T92" s="453">
        <v>0</v>
      </c>
      <c r="U92" s="453">
        <v>0</v>
      </c>
      <c r="V92" s="453">
        <v>0</v>
      </c>
      <c r="W92" s="453">
        <v>0</v>
      </c>
      <c r="X92" s="453">
        <v>0</v>
      </c>
      <c r="Y92" s="453">
        <v>0</v>
      </c>
      <c r="Z92" s="453">
        <v>0</v>
      </c>
      <c r="AA92" s="14">
        <v>0</v>
      </c>
      <c r="AB92" s="14">
        <v>0</v>
      </c>
      <c r="AC92" s="453">
        <v>0</v>
      </c>
      <c r="AD92" s="14">
        <v>0</v>
      </c>
      <c r="AE92" s="14">
        <v>0</v>
      </c>
      <c r="AF92" s="14">
        <v>0</v>
      </c>
      <c r="AG92" s="14">
        <v>0</v>
      </c>
      <c r="AH92" s="14">
        <v>0</v>
      </c>
      <c r="AI92" s="14">
        <v>0</v>
      </c>
      <c r="AJ92" s="14">
        <v>0</v>
      </c>
      <c r="AK92" s="14">
        <v>0</v>
      </c>
      <c r="AL92" s="14">
        <v>0</v>
      </c>
      <c r="AM92" s="453">
        <v>0</v>
      </c>
      <c r="AN92" s="453">
        <v>0</v>
      </c>
      <c r="AO92" s="453">
        <v>0</v>
      </c>
      <c r="AP92" s="453">
        <v>0</v>
      </c>
      <c r="AQ92" s="453">
        <v>0</v>
      </c>
      <c r="AR92" s="453">
        <v>0</v>
      </c>
      <c r="AS92" s="453">
        <v>0</v>
      </c>
      <c r="AT92" s="453">
        <v>0</v>
      </c>
      <c r="AU92" s="453">
        <v>0</v>
      </c>
      <c r="AV92" s="453">
        <v>0</v>
      </c>
      <c r="AW92" s="453">
        <v>0</v>
      </c>
      <c r="AX92" s="453">
        <v>0</v>
      </c>
      <c r="AY92" s="453">
        <v>0</v>
      </c>
      <c r="AZ92" s="453">
        <v>0</v>
      </c>
      <c r="BA92" s="453">
        <v>0</v>
      </c>
      <c r="BB92" s="453">
        <v>0</v>
      </c>
      <c r="BC92" s="453">
        <v>0</v>
      </c>
      <c r="BD92" s="453">
        <v>0</v>
      </c>
      <c r="BE92" s="105">
        <v>0</v>
      </c>
      <c r="BF92" s="453">
        <v>0</v>
      </c>
      <c r="BG92" s="453">
        <v>0</v>
      </c>
      <c r="BH92" s="105">
        <v>0</v>
      </c>
      <c r="BI92" s="453">
        <v>0</v>
      </c>
      <c r="BJ92" s="453">
        <v>0</v>
      </c>
      <c r="BK92" s="105">
        <v>0</v>
      </c>
      <c r="BL92" s="453">
        <v>0</v>
      </c>
      <c r="BM92" s="453">
        <v>0</v>
      </c>
      <c r="BN92" s="453">
        <v>0</v>
      </c>
      <c r="BO92" s="453">
        <v>0</v>
      </c>
      <c r="BP92" s="453">
        <v>0</v>
      </c>
      <c r="BQ92" s="453">
        <v>0</v>
      </c>
      <c r="BR92" s="14">
        <v>0</v>
      </c>
      <c r="BS92" s="14">
        <v>0</v>
      </c>
      <c r="BT92" s="377" t="str">
        <v/>
      </c>
      <c r="BU92" s="105" t="str">
        <v/>
      </c>
      <c r="BV92" s="453" t="str">
        <v/>
      </c>
      <c r="BW92" s="105" t="str">
        <f ca="1"/>
        <v/>
      </c>
    </row>
    <row r="93" spans="1:75" x14ac:dyDescent="0.3">
      <c r="A93" s="1">
        <v>0</v>
      </c>
      <c r="B93" s="106">
        <v>0</v>
      </c>
      <c r="C93" s="14">
        <v>0</v>
      </c>
      <c r="D93" s="14">
        <v>0</v>
      </c>
      <c r="E93" s="14">
        <v>0</v>
      </c>
      <c r="F93" s="453">
        <v>0</v>
      </c>
      <c r="G93" s="377">
        <v>0</v>
      </c>
      <c r="H93" s="453">
        <v>0</v>
      </c>
      <c r="I93" s="453">
        <v>0</v>
      </c>
      <c r="J93" s="453">
        <v>0</v>
      </c>
      <c r="K93" s="453">
        <v>0</v>
      </c>
      <c r="L93" s="453">
        <v>0</v>
      </c>
      <c r="M93" s="453">
        <v>0</v>
      </c>
      <c r="N93" s="453">
        <v>0</v>
      </c>
      <c r="O93" s="453">
        <v>0</v>
      </c>
      <c r="P93" s="14">
        <v>0</v>
      </c>
      <c r="Q93" s="14">
        <v>0</v>
      </c>
      <c r="R93" s="453">
        <v>0</v>
      </c>
      <c r="S93" s="453">
        <v>0</v>
      </c>
      <c r="T93" s="453">
        <v>0</v>
      </c>
      <c r="U93" s="453">
        <v>0</v>
      </c>
      <c r="V93" s="453">
        <v>0</v>
      </c>
      <c r="W93" s="453">
        <v>0</v>
      </c>
      <c r="X93" s="453">
        <v>0</v>
      </c>
      <c r="Y93" s="453">
        <v>0</v>
      </c>
      <c r="Z93" s="453">
        <v>0</v>
      </c>
      <c r="AA93" s="14">
        <v>0</v>
      </c>
      <c r="AB93" s="14">
        <v>0</v>
      </c>
      <c r="AC93" s="453">
        <v>0</v>
      </c>
      <c r="AD93" s="14">
        <v>0</v>
      </c>
      <c r="AE93" s="14">
        <v>0</v>
      </c>
      <c r="AF93" s="14">
        <v>0</v>
      </c>
      <c r="AG93" s="14">
        <v>0</v>
      </c>
      <c r="AH93" s="14">
        <v>0</v>
      </c>
      <c r="AI93" s="14">
        <v>0</v>
      </c>
      <c r="AJ93" s="14">
        <v>0</v>
      </c>
      <c r="AK93" s="14">
        <v>0</v>
      </c>
      <c r="AL93" s="14">
        <v>0</v>
      </c>
      <c r="AM93" s="453">
        <v>0</v>
      </c>
      <c r="AN93" s="453">
        <v>0</v>
      </c>
      <c r="AO93" s="453">
        <v>0</v>
      </c>
      <c r="AP93" s="453">
        <v>0</v>
      </c>
      <c r="AQ93" s="453">
        <v>0</v>
      </c>
      <c r="AR93" s="453">
        <v>0</v>
      </c>
      <c r="AS93" s="453">
        <v>0</v>
      </c>
      <c r="AT93" s="453">
        <v>0</v>
      </c>
      <c r="AU93" s="453">
        <v>0</v>
      </c>
      <c r="AV93" s="453">
        <v>0</v>
      </c>
      <c r="AW93" s="453">
        <v>0</v>
      </c>
      <c r="AX93" s="453">
        <v>0</v>
      </c>
      <c r="AY93" s="453">
        <v>0</v>
      </c>
      <c r="AZ93" s="453">
        <v>0</v>
      </c>
      <c r="BA93" s="453">
        <v>0</v>
      </c>
      <c r="BB93" s="453">
        <v>0</v>
      </c>
      <c r="BC93" s="453">
        <v>0</v>
      </c>
      <c r="BD93" s="453">
        <v>0</v>
      </c>
      <c r="BE93" s="105">
        <v>0</v>
      </c>
      <c r="BF93" s="453">
        <v>0</v>
      </c>
      <c r="BG93" s="453">
        <v>0</v>
      </c>
      <c r="BH93" s="105">
        <v>0</v>
      </c>
      <c r="BI93" s="453">
        <v>0</v>
      </c>
      <c r="BJ93" s="453">
        <v>0</v>
      </c>
      <c r="BK93" s="105">
        <v>0</v>
      </c>
      <c r="BL93" s="453">
        <v>0</v>
      </c>
      <c r="BM93" s="453">
        <v>0</v>
      </c>
      <c r="BN93" s="453">
        <v>0</v>
      </c>
      <c r="BO93" s="453">
        <v>0</v>
      </c>
      <c r="BP93" s="453">
        <v>0</v>
      </c>
      <c r="BQ93" s="453">
        <v>0</v>
      </c>
      <c r="BR93" s="14">
        <v>0</v>
      </c>
      <c r="BS93" s="14">
        <v>0</v>
      </c>
      <c r="BT93" s="377" t="str">
        <v/>
      </c>
      <c r="BU93" s="105" t="str">
        <v/>
      </c>
      <c r="BV93" s="453" t="str">
        <v/>
      </c>
      <c r="BW93" s="105" t="str">
        <f ca="1"/>
        <v/>
      </c>
    </row>
    <row r="94" spans="1:75" x14ac:dyDescent="0.3">
      <c r="A94" s="1">
        <v>0</v>
      </c>
      <c r="B94" s="106">
        <v>0</v>
      </c>
      <c r="C94" s="14">
        <v>0</v>
      </c>
      <c r="D94" s="14">
        <v>0</v>
      </c>
      <c r="E94" s="14">
        <v>0</v>
      </c>
      <c r="F94" s="453">
        <v>0</v>
      </c>
      <c r="G94" s="377">
        <v>0</v>
      </c>
      <c r="H94" s="453">
        <v>0</v>
      </c>
      <c r="I94" s="453">
        <v>0</v>
      </c>
      <c r="J94" s="453">
        <v>0</v>
      </c>
      <c r="K94" s="453">
        <v>0</v>
      </c>
      <c r="L94" s="453">
        <v>0</v>
      </c>
      <c r="M94" s="453">
        <v>0</v>
      </c>
      <c r="N94" s="453">
        <v>0</v>
      </c>
      <c r="O94" s="453">
        <v>0</v>
      </c>
      <c r="P94" s="14">
        <v>0</v>
      </c>
      <c r="Q94" s="14">
        <v>0</v>
      </c>
      <c r="R94" s="453">
        <v>0</v>
      </c>
      <c r="S94" s="453">
        <v>0</v>
      </c>
      <c r="T94" s="453">
        <v>0</v>
      </c>
      <c r="U94" s="453">
        <v>0</v>
      </c>
      <c r="V94" s="453">
        <v>0</v>
      </c>
      <c r="W94" s="453">
        <v>0</v>
      </c>
      <c r="X94" s="453">
        <v>0</v>
      </c>
      <c r="Y94" s="453">
        <v>0</v>
      </c>
      <c r="Z94" s="453">
        <v>0</v>
      </c>
      <c r="AA94" s="14">
        <v>0</v>
      </c>
      <c r="AB94" s="14">
        <v>0</v>
      </c>
      <c r="AC94" s="453">
        <v>0</v>
      </c>
      <c r="AD94" s="14">
        <v>0</v>
      </c>
      <c r="AE94" s="14">
        <v>0</v>
      </c>
      <c r="AF94" s="14">
        <v>0</v>
      </c>
      <c r="AG94" s="14">
        <v>0</v>
      </c>
      <c r="AH94" s="14">
        <v>0</v>
      </c>
      <c r="AI94" s="14">
        <v>0</v>
      </c>
      <c r="AJ94" s="14">
        <v>0</v>
      </c>
      <c r="AK94" s="14">
        <v>0</v>
      </c>
      <c r="AL94" s="14">
        <v>0</v>
      </c>
      <c r="AM94" s="453">
        <v>0</v>
      </c>
      <c r="AN94" s="453">
        <v>0</v>
      </c>
      <c r="AO94" s="453">
        <v>0</v>
      </c>
      <c r="AP94" s="453">
        <v>0</v>
      </c>
      <c r="AQ94" s="453">
        <v>0</v>
      </c>
      <c r="AR94" s="453">
        <v>0</v>
      </c>
      <c r="AS94" s="453">
        <v>0</v>
      </c>
      <c r="AT94" s="453">
        <v>0</v>
      </c>
      <c r="AU94" s="453">
        <v>0</v>
      </c>
      <c r="AV94" s="453">
        <v>0</v>
      </c>
      <c r="AW94" s="453">
        <v>0</v>
      </c>
      <c r="AX94" s="453">
        <v>0</v>
      </c>
      <c r="AY94" s="453">
        <v>0</v>
      </c>
      <c r="AZ94" s="453">
        <v>0</v>
      </c>
      <c r="BA94" s="453">
        <v>0</v>
      </c>
      <c r="BB94" s="453">
        <v>0</v>
      </c>
      <c r="BC94" s="453">
        <v>0</v>
      </c>
      <c r="BD94" s="453">
        <v>0</v>
      </c>
      <c r="BE94" s="105">
        <v>0</v>
      </c>
      <c r="BF94" s="453">
        <v>0</v>
      </c>
      <c r="BG94" s="453">
        <v>0</v>
      </c>
      <c r="BH94" s="105">
        <v>0</v>
      </c>
      <c r="BI94" s="453">
        <v>0</v>
      </c>
      <c r="BJ94" s="453">
        <v>0</v>
      </c>
      <c r="BK94" s="105">
        <v>0</v>
      </c>
      <c r="BL94" s="453">
        <v>0</v>
      </c>
      <c r="BM94" s="453">
        <v>0</v>
      </c>
      <c r="BN94" s="453">
        <v>0</v>
      </c>
      <c r="BO94" s="453">
        <v>0</v>
      </c>
      <c r="BP94" s="453">
        <v>0</v>
      </c>
      <c r="BQ94" s="453">
        <v>0</v>
      </c>
      <c r="BR94" s="14">
        <v>0</v>
      </c>
      <c r="BS94" s="14">
        <v>0</v>
      </c>
      <c r="BT94" s="377" t="str">
        <v/>
      </c>
      <c r="BU94" s="105" t="str">
        <v/>
      </c>
      <c r="BV94" s="453" t="str">
        <v/>
      </c>
      <c r="BW94" s="105" t="str">
        <f ca="1"/>
        <v/>
      </c>
    </row>
    <row r="95" spans="1:75" x14ac:dyDescent="0.3">
      <c r="A95" s="1">
        <v>0</v>
      </c>
      <c r="B95" s="106">
        <v>0</v>
      </c>
      <c r="C95" s="14">
        <v>0</v>
      </c>
      <c r="D95" s="14">
        <v>0</v>
      </c>
      <c r="E95" s="14">
        <v>0</v>
      </c>
      <c r="F95" s="453">
        <v>0</v>
      </c>
      <c r="G95" s="377">
        <v>0</v>
      </c>
      <c r="H95" s="453">
        <v>0</v>
      </c>
      <c r="I95" s="453">
        <v>0</v>
      </c>
      <c r="J95" s="453">
        <v>0</v>
      </c>
      <c r="K95" s="453">
        <v>0</v>
      </c>
      <c r="L95" s="453">
        <v>0</v>
      </c>
      <c r="M95" s="453">
        <v>0</v>
      </c>
      <c r="N95" s="453">
        <v>0</v>
      </c>
      <c r="O95" s="453">
        <v>0</v>
      </c>
      <c r="P95" s="14">
        <v>0</v>
      </c>
      <c r="Q95" s="14">
        <v>0</v>
      </c>
      <c r="R95" s="453">
        <v>0</v>
      </c>
      <c r="S95" s="453">
        <v>0</v>
      </c>
      <c r="T95" s="453">
        <v>0</v>
      </c>
      <c r="U95" s="453">
        <v>0</v>
      </c>
      <c r="V95" s="453">
        <v>0</v>
      </c>
      <c r="W95" s="453">
        <v>0</v>
      </c>
      <c r="X95" s="453">
        <v>0</v>
      </c>
      <c r="Y95" s="453">
        <v>0</v>
      </c>
      <c r="Z95" s="453">
        <v>0</v>
      </c>
      <c r="AA95" s="14">
        <v>0</v>
      </c>
      <c r="AB95" s="14">
        <v>0</v>
      </c>
      <c r="AC95" s="453">
        <v>0</v>
      </c>
      <c r="AD95" s="14">
        <v>0</v>
      </c>
      <c r="AE95" s="14">
        <v>0</v>
      </c>
      <c r="AF95" s="14">
        <v>0</v>
      </c>
      <c r="AG95" s="14">
        <v>0</v>
      </c>
      <c r="AH95" s="14">
        <v>0</v>
      </c>
      <c r="AI95" s="14">
        <v>0</v>
      </c>
      <c r="AJ95" s="14">
        <v>0</v>
      </c>
      <c r="AK95" s="14">
        <v>0</v>
      </c>
      <c r="AL95" s="14">
        <v>0</v>
      </c>
      <c r="AM95" s="453">
        <v>0</v>
      </c>
      <c r="AN95" s="453">
        <v>0</v>
      </c>
      <c r="AO95" s="453">
        <v>0</v>
      </c>
      <c r="AP95" s="453">
        <v>0</v>
      </c>
      <c r="AQ95" s="453">
        <v>0</v>
      </c>
      <c r="AR95" s="453">
        <v>0</v>
      </c>
      <c r="AS95" s="453">
        <v>0</v>
      </c>
      <c r="AT95" s="453">
        <v>0</v>
      </c>
      <c r="AU95" s="453">
        <v>0</v>
      </c>
      <c r="AV95" s="453">
        <v>0</v>
      </c>
      <c r="AW95" s="453">
        <v>0</v>
      </c>
      <c r="AX95" s="453">
        <v>0</v>
      </c>
      <c r="AY95" s="453">
        <v>0</v>
      </c>
      <c r="AZ95" s="453">
        <v>0</v>
      </c>
      <c r="BA95" s="453">
        <v>0</v>
      </c>
      <c r="BB95" s="453">
        <v>0</v>
      </c>
      <c r="BC95" s="453">
        <v>0</v>
      </c>
      <c r="BD95" s="453">
        <v>0</v>
      </c>
      <c r="BE95" s="105">
        <v>0</v>
      </c>
      <c r="BF95" s="453">
        <v>0</v>
      </c>
      <c r="BG95" s="453">
        <v>0</v>
      </c>
      <c r="BH95" s="105">
        <v>0</v>
      </c>
      <c r="BI95" s="453">
        <v>0</v>
      </c>
      <c r="BJ95" s="453">
        <v>0</v>
      </c>
      <c r="BK95" s="105">
        <v>0</v>
      </c>
      <c r="BL95" s="453">
        <v>0</v>
      </c>
      <c r="BM95" s="453">
        <v>0</v>
      </c>
      <c r="BN95" s="453">
        <v>0</v>
      </c>
      <c r="BO95" s="453">
        <v>0</v>
      </c>
      <c r="BP95" s="453">
        <v>0</v>
      </c>
      <c r="BQ95" s="453">
        <v>0</v>
      </c>
      <c r="BR95" s="14">
        <v>0</v>
      </c>
      <c r="BS95" s="14">
        <v>0</v>
      </c>
      <c r="BT95" s="377" t="str">
        <v/>
      </c>
      <c r="BU95" s="105" t="str">
        <v/>
      </c>
      <c r="BV95" s="453" t="str">
        <v/>
      </c>
      <c r="BW95" s="105" t="str">
        <f ca="1"/>
        <v/>
      </c>
    </row>
    <row r="96" spans="1:75" x14ac:dyDescent="0.3">
      <c r="A96" s="1">
        <v>0</v>
      </c>
      <c r="B96" s="106">
        <v>0</v>
      </c>
      <c r="C96" s="14">
        <v>0</v>
      </c>
      <c r="D96" s="14">
        <v>0</v>
      </c>
      <c r="E96" s="14">
        <v>0</v>
      </c>
      <c r="F96" s="453">
        <v>0</v>
      </c>
      <c r="G96" s="377">
        <v>0</v>
      </c>
      <c r="H96" s="453">
        <v>0</v>
      </c>
      <c r="I96" s="453">
        <v>0</v>
      </c>
      <c r="J96" s="453">
        <v>0</v>
      </c>
      <c r="K96" s="453">
        <v>0</v>
      </c>
      <c r="L96" s="453">
        <v>0</v>
      </c>
      <c r="M96" s="453">
        <v>0</v>
      </c>
      <c r="N96" s="453">
        <v>0</v>
      </c>
      <c r="O96" s="453">
        <v>0</v>
      </c>
      <c r="P96" s="14">
        <v>0</v>
      </c>
      <c r="Q96" s="14">
        <v>0</v>
      </c>
      <c r="R96" s="453">
        <v>0</v>
      </c>
      <c r="S96" s="453">
        <v>0</v>
      </c>
      <c r="T96" s="453">
        <v>0</v>
      </c>
      <c r="U96" s="453">
        <v>0</v>
      </c>
      <c r="V96" s="453">
        <v>0</v>
      </c>
      <c r="W96" s="453">
        <v>0</v>
      </c>
      <c r="X96" s="453">
        <v>0</v>
      </c>
      <c r="Y96" s="453">
        <v>0</v>
      </c>
      <c r="Z96" s="453">
        <v>0</v>
      </c>
      <c r="AA96" s="14">
        <v>0</v>
      </c>
      <c r="AB96" s="14">
        <v>0</v>
      </c>
      <c r="AC96" s="453">
        <v>0</v>
      </c>
      <c r="AD96" s="14">
        <v>0</v>
      </c>
      <c r="AE96" s="14">
        <v>0</v>
      </c>
      <c r="AF96" s="14">
        <v>0</v>
      </c>
      <c r="AG96" s="14">
        <v>0</v>
      </c>
      <c r="AH96" s="14">
        <v>0</v>
      </c>
      <c r="AI96" s="14">
        <v>0</v>
      </c>
      <c r="AJ96" s="14">
        <v>0</v>
      </c>
      <c r="AK96" s="14">
        <v>0</v>
      </c>
      <c r="AL96" s="14">
        <v>0</v>
      </c>
      <c r="AM96" s="453">
        <v>0</v>
      </c>
      <c r="AN96" s="453">
        <v>0</v>
      </c>
      <c r="AO96" s="453">
        <v>0</v>
      </c>
      <c r="AP96" s="453">
        <v>0</v>
      </c>
      <c r="AQ96" s="453">
        <v>0</v>
      </c>
      <c r="AR96" s="453">
        <v>0</v>
      </c>
      <c r="AS96" s="453">
        <v>0</v>
      </c>
      <c r="AT96" s="453">
        <v>0</v>
      </c>
      <c r="AU96" s="453">
        <v>0</v>
      </c>
      <c r="AV96" s="453">
        <v>0</v>
      </c>
      <c r="AW96" s="453">
        <v>0</v>
      </c>
      <c r="AX96" s="453">
        <v>0</v>
      </c>
      <c r="AY96" s="453">
        <v>0</v>
      </c>
      <c r="AZ96" s="453">
        <v>0</v>
      </c>
      <c r="BA96" s="453">
        <v>0</v>
      </c>
      <c r="BB96" s="453">
        <v>0</v>
      </c>
      <c r="BC96" s="453">
        <v>0</v>
      </c>
      <c r="BD96" s="453">
        <v>0</v>
      </c>
      <c r="BE96" s="105">
        <v>0</v>
      </c>
      <c r="BF96" s="453">
        <v>0</v>
      </c>
      <c r="BG96" s="453">
        <v>0</v>
      </c>
      <c r="BH96" s="105">
        <v>0</v>
      </c>
      <c r="BI96" s="453">
        <v>0</v>
      </c>
      <c r="BJ96" s="453">
        <v>0</v>
      </c>
      <c r="BK96" s="105">
        <v>0</v>
      </c>
      <c r="BL96" s="453">
        <v>0</v>
      </c>
      <c r="BM96" s="453">
        <v>0</v>
      </c>
      <c r="BN96" s="453">
        <v>0</v>
      </c>
      <c r="BO96" s="453">
        <v>0</v>
      </c>
      <c r="BP96" s="453">
        <v>0</v>
      </c>
      <c r="BQ96" s="453">
        <v>0</v>
      </c>
      <c r="BR96" s="14">
        <v>0</v>
      </c>
      <c r="BS96" s="14">
        <v>0</v>
      </c>
      <c r="BT96" s="377" t="str">
        <v/>
      </c>
      <c r="BU96" s="105" t="str">
        <v/>
      </c>
      <c r="BV96" s="453" t="str">
        <v/>
      </c>
      <c r="BW96" s="105" t="str">
        <f ca="1"/>
        <v/>
      </c>
    </row>
    <row r="97" spans="1:75" x14ac:dyDescent="0.3">
      <c r="A97" s="1">
        <v>0</v>
      </c>
      <c r="B97" s="106">
        <v>0</v>
      </c>
      <c r="C97" s="14">
        <v>0</v>
      </c>
      <c r="D97" s="14">
        <v>0</v>
      </c>
      <c r="E97" s="14">
        <v>0</v>
      </c>
      <c r="F97" s="453">
        <v>0</v>
      </c>
      <c r="G97" s="377">
        <v>0</v>
      </c>
      <c r="H97" s="453">
        <v>0</v>
      </c>
      <c r="I97" s="453">
        <v>0</v>
      </c>
      <c r="J97" s="453">
        <v>0</v>
      </c>
      <c r="K97" s="453">
        <v>0</v>
      </c>
      <c r="L97" s="453">
        <v>0</v>
      </c>
      <c r="M97" s="453">
        <v>0</v>
      </c>
      <c r="N97" s="453">
        <v>0</v>
      </c>
      <c r="O97" s="453">
        <v>0</v>
      </c>
      <c r="P97" s="14">
        <v>0</v>
      </c>
      <c r="Q97" s="14">
        <v>0</v>
      </c>
      <c r="R97" s="453">
        <v>0</v>
      </c>
      <c r="S97" s="453">
        <v>0</v>
      </c>
      <c r="T97" s="453">
        <v>0</v>
      </c>
      <c r="U97" s="453">
        <v>0</v>
      </c>
      <c r="V97" s="453">
        <v>0</v>
      </c>
      <c r="W97" s="453">
        <v>0</v>
      </c>
      <c r="X97" s="453">
        <v>0</v>
      </c>
      <c r="Y97" s="453">
        <v>0</v>
      </c>
      <c r="Z97" s="453">
        <v>0</v>
      </c>
      <c r="AA97" s="14">
        <v>0</v>
      </c>
      <c r="AB97" s="14">
        <v>0</v>
      </c>
      <c r="AC97" s="453">
        <v>0</v>
      </c>
      <c r="AD97" s="14">
        <v>0</v>
      </c>
      <c r="AE97" s="14">
        <v>0</v>
      </c>
      <c r="AF97" s="14">
        <v>0</v>
      </c>
      <c r="AG97" s="14">
        <v>0</v>
      </c>
      <c r="AH97" s="14">
        <v>0</v>
      </c>
      <c r="AI97" s="14">
        <v>0</v>
      </c>
      <c r="AJ97" s="14">
        <v>0</v>
      </c>
      <c r="AK97" s="14">
        <v>0</v>
      </c>
      <c r="AL97" s="14">
        <v>0</v>
      </c>
      <c r="AM97" s="453">
        <v>0</v>
      </c>
      <c r="AN97" s="453">
        <v>0</v>
      </c>
      <c r="AO97" s="453">
        <v>0</v>
      </c>
      <c r="AP97" s="453">
        <v>0</v>
      </c>
      <c r="AQ97" s="453">
        <v>0</v>
      </c>
      <c r="AR97" s="453">
        <v>0</v>
      </c>
      <c r="AS97" s="453">
        <v>0</v>
      </c>
      <c r="AT97" s="453">
        <v>0</v>
      </c>
      <c r="AU97" s="453">
        <v>0</v>
      </c>
      <c r="AV97" s="453">
        <v>0</v>
      </c>
      <c r="AW97" s="453">
        <v>0</v>
      </c>
      <c r="AX97" s="453">
        <v>0</v>
      </c>
      <c r="AY97" s="453">
        <v>0</v>
      </c>
      <c r="AZ97" s="453">
        <v>0</v>
      </c>
      <c r="BA97" s="453">
        <v>0</v>
      </c>
      <c r="BB97" s="453">
        <v>0</v>
      </c>
      <c r="BC97" s="453">
        <v>0</v>
      </c>
      <c r="BD97" s="453">
        <v>0</v>
      </c>
      <c r="BE97" s="105">
        <v>0</v>
      </c>
      <c r="BF97" s="453">
        <v>0</v>
      </c>
      <c r="BG97" s="453">
        <v>0</v>
      </c>
      <c r="BH97" s="105">
        <v>0</v>
      </c>
      <c r="BI97" s="453">
        <v>0</v>
      </c>
      <c r="BJ97" s="453">
        <v>0</v>
      </c>
      <c r="BK97" s="105">
        <v>0</v>
      </c>
      <c r="BL97" s="453">
        <v>0</v>
      </c>
      <c r="BM97" s="453">
        <v>0</v>
      </c>
      <c r="BN97" s="453">
        <v>0</v>
      </c>
      <c r="BO97" s="453">
        <v>0</v>
      </c>
      <c r="BP97" s="453">
        <v>0</v>
      </c>
      <c r="BQ97" s="453">
        <v>0</v>
      </c>
      <c r="BR97" s="14">
        <v>0</v>
      </c>
      <c r="BS97" s="14">
        <v>0</v>
      </c>
      <c r="BT97" s="377" t="str">
        <v/>
      </c>
      <c r="BU97" s="105" t="str">
        <v/>
      </c>
      <c r="BV97" s="453" t="str">
        <v/>
      </c>
      <c r="BW97" s="105" t="str">
        <f ca="1"/>
        <v/>
      </c>
    </row>
    <row r="98" spans="1:75" x14ac:dyDescent="0.3">
      <c r="A98" s="1">
        <v>0</v>
      </c>
      <c r="B98" s="106">
        <v>0</v>
      </c>
      <c r="C98" s="14">
        <v>0</v>
      </c>
      <c r="D98" s="14">
        <v>0</v>
      </c>
      <c r="E98" s="14">
        <v>0</v>
      </c>
      <c r="F98" s="453">
        <v>0</v>
      </c>
      <c r="G98" s="377">
        <v>0</v>
      </c>
      <c r="H98" s="453">
        <v>0</v>
      </c>
      <c r="I98" s="453">
        <v>0</v>
      </c>
      <c r="J98" s="453">
        <v>0</v>
      </c>
      <c r="K98" s="453">
        <v>0</v>
      </c>
      <c r="L98" s="453">
        <v>0</v>
      </c>
      <c r="M98" s="453">
        <v>0</v>
      </c>
      <c r="N98" s="453">
        <v>0</v>
      </c>
      <c r="O98" s="453">
        <v>0</v>
      </c>
      <c r="P98" s="14">
        <v>0</v>
      </c>
      <c r="Q98" s="14">
        <v>0</v>
      </c>
      <c r="R98" s="453">
        <v>0</v>
      </c>
      <c r="S98" s="453">
        <v>0</v>
      </c>
      <c r="T98" s="453">
        <v>0</v>
      </c>
      <c r="U98" s="453">
        <v>0</v>
      </c>
      <c r="V98" s="453">
        <v>0</v>
      </c>
      <c r="W98" s="453">
        <v>0</v>
      </c>
      <c r="X98" s="453">
        <v>0</v>
      </c>
      <c r="Y98" s="453">
        <v>0</v>
      </c>
      <c r="Z98" s="453">
        <v>0</v>
      </c>
      <c r="AA98" s="14">
        <v>0</v>
      </c>
      <c r="AB98" s="14">
        <v>0</v>
      </c>
      <c r="AC98" s="453">
        <v>0</v>
      </c>
      <c r="AD98" s="14">
        <v>0</v>
      </c>
      <c r="AE98" s="14">
        <v>0</v>
      </c>
      <c r="AF98" s="14">
        <v>0</v>
      </c>
      <c r="AG98" s="14">
        <v>0</v>
      </c>
      <c r="AH98" s="14">
        <v>0</v>
      </c>
      <c r="AI98" s="14">
        <v>0</v>
      </c>
      <c r="AJ98" s="14">
        <v>0</v>
      </c>
      <c r="AK98" s="14">
        <v>0</v>
      </c>
      <c r="AL98" s="14">
        <v>0</v>
      </c>
      <c r="AM98" s="453">
        <v>0</v>
      </c>
      <c r="AN98" s="453">
        <v>0</v>
      </c>
      <c r="AO98" s="453">
        <v>0</v>
      </c>
      <c r="AP98" s="453">
        <v>0</v>
      </c>
      <c r="AQ98" s="453">
        <v>0</v>
      </c>
      <c r="AR98" s="453">
        <v>0</v>
      </c>
      <c r="AS98" s="453">
        <v>0</v>
      </c>
      <c r="AT98" s="453">
        <v>0</v>
      </c>
      <c r="AU98" s="453">
        <v>0</v>
      </c>
      <c r="AV98" s="453">
        <v>0</v>
      </c>
      <c r="AW98" s="453">
        <v>0</v>
      </c>
      <c r="AX98" s="453">
        <v>0</v>
      </c>
      <c r="AY98" s="453">
        <v>0</v>
      </c>
      <c r="AZ98" s="453">
        <v>0</v>
      </c>
      <c r="BA98" s="453">
        <v>0</v>
      </c>
      <c r="BB98" s="453">
        <v>0</v>
      </c>
      <c r="BC98" s="453">
        <v>0</v>
      </c>
      <c r="BD98" s="453">
        <v>0</v>
      </c>
      <c r="BE98" s="105">
        <v>0</v>
      </c>
      <c r="BF98" s="453">
        <v>0</v>
      </c>
      <c r="BG98" s="453">
        <v>0</v>
      </c>
      <c r="BH98" s="105">
        <v>0</v>
      </c>
      <c r="BI98" s="453">
        <v>0</v>
      </c>
      <c r="BJ98" s="453">
        <v>0</v>
      </c>
      <c r="BK98" s="105">
        <v>0</v>
      </c>
      <c r="BL98" s="453">
        <v>0</v>
      </c>
      <c r="BM98" s="453">
        <v>0</v>
      </c>
      <c r="BN98" s="453">
        <v>0</v>
      </c>
      <c r="BO98" s="453">
        <v>0</v>
      </c>
      <c r="BP98" s="453">
        <v>0</v>
      </c>
      <c r="BQ98" s="453">
        <v>0</v>
      </c>
      <c r="BR98" s="14">
        <v>0</v>
      </c>
      <c r="BS98" s="14">
        <v>0</v>
      </c>
      <c r="BT98" s="377" t="str">
        <v/>
      </c>
      <c r="BU98" s="105" t="str">
        <v/>
      </c>
      <c r="BV98" s="453" t="str">
        <v/>
      </c>
      <c r="BW98" s="105" t="str">
        <f ca="1"/>
        <v/>
      </c>
    </row>
    <row r="99" spans="1:75" x14ac:dyDescent="0.3">
      <c r="A99" s="1">
        <v>0</v>
      </c>
      <c r="B99" s="106">
        <v>0</v>
      </c>
      <c r="C99" s="14">
        <v>0</v>
      </c>
      <c r="D99" s="14">
        <v>0</v>
      </c>
      <c r="E99" s="14">
        <v>0</v>
      </c>
      <c r="F99" s="453">
        <v>0</v>
      </c>
      <c r="G99" s="377">
        <v>0</v>
      </c>
      <c r="H99" s="453">
        <v>0</v>
      </c>
      <c r="I99" s="453">
        <v>0</v>
      </c>
      <c r="J99" s="453">
        <v>0</v>
      </c>
      <c r="K99" s="453">
        <v>0</v>
      </c>
      <c r="L99" s="453">
        <v>0</v>
      </c>
      <c r="M99" s="453">
        <v>0</v>
      </c>
      <c r="N99" s="453">
        <v>0</v>
      </c>
      <c r="O99" s="453">
        <v>0</v>
      </c>
      <c r="P99" s="14">
        <v>0</v>
      </c>
      <c r="Q99" s="14">
        <v>0</v>
      </c>
      <c r="R99" s="453">
        <v>0</v>
      </c>
      <c r="S99" s="453">
        <v>0</v>
      </c>
      <c r="T99" s="453">
        <v>0</v>
      </c>
      <c r="U99" s="453">
        <v>0</v>
      </c>
      <c r="V99" s="453">
        <v>0</v>
      </c>
      <c r="W99" s="453">
        <v>0</v>
      </c>
      <c r="X99" s="453">
        <v>0</v>
      </c>
      <c r="Y99" s="453">
        <v>0</v>
      </c>
      <c r="Z99" s="453">
        <v>0</v>
      </c>
      <c r="AA99" s="14">
        <v>0</v>
      </c>
      <c r="AB99" s="14">
        <v>0</v>
      </c>
      <c r="AC99" s="453">
        <v>0</v>
      </c>
      <c r="AD99" s="14">
        <v>0</v>
      </c>
      <c r="AE99" s="14">
        <v>0</v>
      </c>
      <c r="AF99" s="14">
        <v>0</v>
      </c>
      <c r="AG99" s="14">
        <v>0</v>
      </c>
      <c r="AH99" s="14">
        <v>0</v>
      </c>
      <c r="AI99" s="14">
        <v>0</v>
      </c>
      <c r="AJ99" s="14">
        <v>0</v>
      </c>
      <c r="AK99" s="14">
        <v>0</v>
      </c>
      <c r="AL99" s="14">
        <v>0</v>
      </c>
      <c r="AM99" s="453">
        <v>0</v>
      </c>
      <c r="AN99" s="453">
        <v>0</v>
      </c>
      <c r="AO99" s="453">
        <v>0</v>
      </c>
      <c r="AP99" s="453">
        <v>0</v>
      </c>
      <c r="AQ99" s="453">
        <v>0</v>
      </c>
      <c r="AR99" s="453">
        <v>0</v>
      </c>
      <c r="AS99" s="453">
        <v>0</v>
      </c>
      <c r="AT99" s="453">
        <v>0</v>
      </c>
      <c r="AU99" s="453">
        <v>0</v>
      </c>
      <c r="AV99" s="453">
        <v>0</v>
      </c>
      <c r="AW99" s="453">
        <v>0</v>
      </c>
      <c r="AX99" s="453">
        <v>0</v>
      </c>
      <c r="AY99" s="453">
        <v>0</v>
      </c>
      <c r="AZ99" s="453">
        <v>0</v>
      </c>
      <c r="BA99" s="453">
        <v>0</v>
      </c>
      <c r="BB99" s="453">
        <v>0</v>
      </c>
      <c r="BC99" s="453">
        <v>0</v>
      </c>
      <c r="BD99" s="453">
        <v>0</v>
      </c>
      <c r="BE99" s="105">
        <v>0</v>
      </c>
      <c r="BF99" s="453">
        <v>0</v>
      </c>
      <c r="BG99" s="453">
        <v>0</v>
      </c>
      <c r="BH99" s="105">
        <v>0</v>
      </c>
      <c r="BI99" s="453">
        <v>0</v>
      </c>
      <c r="BJ99" s="453">
        <v>0</v>
      </c>
      <c r="BK99" s="105">
        <v>0</v>
      </c>
      <c r="BL99" s="453">
        <v>0</v>
      </c>
      <c r="BM99" s="453">
        <v>0</v>
      </c>
      <c r="BN99" s="453">
        <v>0</v>
      </c>
      <c r="BO99" s="453">
        <v>0</v>
      </c>
      <c r="BP99" s="453">
        <v>0</v>
      </c>
      <c r="BQ99" s="453">
        <v>0</v>
      </c>
      <c r="BR99" s="14">
        <v>0</v>
      </c>
      <c r="BS99" s="14">
        <v>0</v>
      </c>
      <c r="BT99" s="377" t="str">
        <v/>
      </c>
      <c r="BU99" s="105" t="str">
        <v/>
      </c>
      <c r="BV99" s="453" t="str">
        <v/>
      </c>
      <c r="BW99" s="105" t="str">
        <f ca="1"/>
        <v/>
      </c>
    </row>
    <row r="100" spans="1:75" x14ac:dyDescent="0.3">
      <c r="A100" s="1">
        <v>0</v>
      </c>
      <c r="B100" s="106">
        <v>0</v>
      </c>
      <c r="C100" s="14">
        <v>0</v>
      </c>
      <c r="D100" s="14">
        <v>0</v>
      </c>
      <c r="E100" s="14">
        <v>0</v>
      </c>
      <c r="F100" s="453">
        <v>0</v>
      </c>
      <c r="G100" s="377">
        <v>0</v>
      </c>
      <c r="H100" s="453">
        <v>0</v>
      </c>
      <c r="I100" s="453">
        <v>0</v>
      </c>
      <c r="J100" s="453">
        <v>0</v>
      </c>
      <c r="K100" s="453">
        <v>0</v>
      </c>
      <c r="L100" s="453">
        <v>0</v>
      </c>
      <c r="M100" s="453">
        <v>0</v>
      </c>
      <c r="N100" s="453">
        <v>0</v>
      </c>
      <c r="O100" s="453">
        <v>0</v>
      </c>
      <c r="P100" s="14">
        <v>0</v>
      </c>
      <c r="Q100" s="14">
        <v>0</v>
      </c>
      <c r="R100" s="453">
        <v>0</v>
      </c>
      <c r="S100" s="453">
        <v>0</v>
      </c>
      <c r="T100" s="453">
        <v>0</v>
      </c>
      <c r="U100" s="453">
        <v>0</v>
      </c>
      <c r="V100" s="453">
        <v>0</v>
      </c>
      <c r="W100" s="453">
        <v>0</v>
      </c>
      <c r="X100" s="453">
        <v>0</v>
      </c>
      <c r="Y100" s="453">
        <v>0</v>
      </c>
      <c r="Z100" s="453">
        <v>0</v>
      </c>
      <c r="AA100" s="14">
        <v>0</v>
      </c>
      <c r="AB100" s="14">
        <v>0</v>
      </c>
      <c r="AC100" s="453">
        <v>0</v>
      </c>
      <c r="AD100" s="14">
        <v>0</v>
      </c>
      <c r="AE100" s="14">
        <v>0</v>
      </c>
      <c r="AF100" s="14">
        <v>0</v>
      </c>
      <c r="AG100" s="14">
        <v>0</v>
      </c>
      <c r="AH100" s="14">
        <v>0</v>
      </c>
      <c r="AI100" s="14">
        <v>0</v>
      </c>
      <c r="AJ100" s="14">
        <v>0</v>
      </c>
      <c r="AK100" s="14">
        <v>0</v>
      </c>
      <c r="AL100" s="14">
        <v>0</v>
      </c>
      <c r="AM100" s="453">
        <v>0</v>
      </c>
      <c r="AN100" s="453">
        <v>0</v>
      </c>
      <c r="AO100" s="453">
        <v>0</v>
      </c>
      <c r="AP100" s="453">
        <v>0</v>
      </c>
      <c r="AQ100" s="453">
        <v>0</v>
      </c>
      <c r="AR100" s="453">
        <v>0</v>
      </c>
      <c r="AS100" s="453">
        <v>0</v>
      </c>
      <c r="AT100" s="453">
        <v>0</v>
      </c>
      <c r="AU100" s="453">
        <v>0</v>
      </c>
      <c r="AV100" s="453">
        <v>0</v>
      </c>
      <c r="AW100" s="453">
        <v>0</v>
      </c>
      <c r="AX100" s="453">
        <v>0</v>
      </c>
      <c r="AY100" s="453">
        <v>0</v>
      </c>
      <c r="AZ100" s="453">
        <v>0</v>
      </c>
      <c r="BA100" s="453">
        <v>0</v>
      </c>
      <c r="BB100" s="453">
        <v>0</v>
      </c>
      <c r="BC100" s="453">
        <v>0</v>
      </c>
      <c r="BD100" s="453">
        <v>0</v>
      </c>
      <c r="BE100" s="105">
        <v>0</v>
      </c>
      <c r="BF100" s="453">
        <v>0</v>
      </c>
      <c r="BG100" s="453">
        <v>0</v>
      </c>
      <c r="BH100" s="105">
        <v>0</v>
      </c>
      <c r="BI100" s="453">
        <v>0</v>
      </c>
      <c r="BJ100" s="453">
        <v>0</v>
      </c>
      <c r="BK100" s="105">
        <v>0</v>
      </c>
      <c r="BL100" s="453">
        <v>0</v>
      </c>
      <c r="BM100" s="453">
        <v>0</v>
      </c>
      <c r="BN100" s="453">
        <v>0</v>
      </c>
      <c r="BO100" s="453">
        <v>0</v>
      </c>
      <c r="BP100" s="453">
        <v>0</v>
      </c>
      <c r="BQ100" s="453">
        <v>0</v>
      </c>
      <c r="BR100" s="14">
        <v>0</v>
      </c>
      <c r="BS100" s="14">
        <v>0</v>
      </c>
      <c r="BT100" s="377" t="str">
        <v/>
      </c>
      <c r="BU100" s="105" t="str">
        <v/>
      </c>
      <c r="BV100" s="453" t="str">
        <v/>
      </c>
      <c r="BW100" s="105" t="str">
        <f ca="1"/>
        <v/>
      </c>
    </row>
    <row r="101" spans="1:75" x14ac:dyDescent="0.3">
      <c r="A101" s="1">
        <v>0</v>
      </c>
      <c r="B101" s="106">
        <v>0</v>
      </c>
      <c r="C101" s="14">
        <v>0</v>
      </c>
      <c r="D101" s="14">
        <v>0</v>
      </c>
      <c r="E101" s="14">
        <v>0</v>
      </c>
      <c r="F101" s="453">
        <v>0</v>
      </c>
      <c r="G101" s="377">
        <v>0</v>
      </c>
      <c r="H101" s="453">
        <v>0</v>
      </c>
      <c r="I101" s="453">
        <v>0</v>
      </c>
      <c r="J101" s="453">
        <v>0</v>
      </c>
      <c r="K101" s="453">
        <v>0</v>
      </c>
      <c r="L101" s="453">
        <v>0</v>
      </c>
      <c r="M101" s="453">
        <v>0</v>
      </c>
      <c r="N101" s="453">
        <v>0</v>
      </c>
      <c r="O101" s="453">
        <v>0</v>
      </c>
      <c r="P101" s="14">
        <v>0</v>
      </c>
      <c r="Q101" s="14">
        <v>0</v>
      </c>
      <c r="R101" s="453">
        <v>0</v>
      </c>
      <c r="S101" s="453">
        <v>0</v>
      </c>
      <c r="T101" s="453">
        <v>0</v>
      </c>
      <c r="U101" s="453">
        <v>0</v>
      </c>
      <c r="V101" s="453">
        <v>0</v>
      </c>
      <c r="W101" s="453">
        <v>0</v>
      </c>
      <c r="X101" s="453">
        <v>0</v>
      </c>
      <c r="Y101" s="453">
        <v>0</v>
      </c>
      <c r="Z101" s="453">
        <v>0</v>
      </c>
      <c r="AA101" s="14">
        <v>0</v>
      </c>
      <c r="AB101" s="14">
        <v>0</v>
      </c>
      <c r="AC101" s="453">
        <v>0</v>
      </c>
      <c r="AD101" s="14">
        <v>0</v>
      </c>
      <c r="AE101" s="14">
        <v>0</v>
      </c>
      <c r="AF101" s="14">
        <v>0</v>
      </c>
      <c r="AG101" s="14">
        <v>0</v>
      </c>
      <c r="AH101" s="14">
        <v>0</v>
      </c>
      <c r="AI101" s="14">
        <v>0</v>
      </c>
      <c r="AJ101" s="14">
        <v>0</v>
      </c>
      <c r="AK101" s="14">
        <v>0</v>
      </c>
      <c r="AL101" s="14">
        <v>0</v>
      </c>
      <c r="AM101" s="453">
        <v>0</v>
      </c>
      <c r="AN101" s="453">
        <v>0</v>
      </c>
      <c r="AO101" s="453">
        <v>0</v>
      </c>
      <c r="AP101" s="453">
        <v>0</v>
      </c>
      <c r="AQ101" s="453">
        <v>0</v>
      </c>
      <c r="AR101" s="453">
        <v>0</v>
      </c>
      <c r="AS101" s="453">
        <v>0</v>
      </c>
      <c r="AT101" s="453">
        <v>0</v>
      </c>
      <c r="AU101" s="453">
        <v>0</v>
      </c>
      <c r="AV101" s="453">
        <v>0</v>
      </c>
      <c r="AW101" s="453">
        <v>0</v>
      </c>
      <c r="AX101" s="453">
        <v>0</v>
      </c>
      <c r="AY101" s="453">
        <v>0</v>
      </c>
      <c r="AZ101" s="453">
        <v>0</v>
      </c>
      <c r="BA101" s="453">
        <v>0</v>
      </c>
      <c r="BB101" s="453">
        <v>0</v>
      </c>
      <c r="BC101" s="453">
        <v>0</v>
      </c>
      <c r="BD101" s="453">
        <v>0</v>
      </c>
      <c r="BE101" s="105">
        <v>0</v>
      </c>
      <c r="BF101" s="453">
        <v>0</v>
      </c>
      <c r="BG101" s="453">
        <v>0</v>
      </c>
      <c r="BH101" s="105">
        <v>0</v>
      </c>
      <c r="BI101" s="453">
        <v>0</v>
      </c>
      <c r="BJ101" s="453">
        <v>0</v>
      </c>
      <c r="BK101" s="105">
        <v>0</v>
      </c>
      <c r="BL101" s="453">
        <v>0</v>
      </c>
      <c r="BM101" s="453">
        <v>0</v>
      </c>
      <c r="BN101" s="453">
        <v>0</v>
      </c>
      <c r="BO101" s="453">
        <v>0</v>
      </c>
      <c r="BP101" s="453">
        <v>0</v>
      </c>
      <c r="BQ101" s="453">
        <v>0</v>
      </c>
      <c r="BR101" s="14">
        <v>0</v>
      </c>
      <c r="BS101" s="14">
        <v>0</v>
      </c>
      <c r="BT101" s="377" t="str">
        <v/>
      </c>
      <c r="BU101" s="105" t="str">
        <v/>
      </c>
      <c r="BV101" s="453" t="str">
        <v/>
      </c>
      <c r="BW101" s="105" t="str">
        <f ca="1"/>
        <v/>
      </c>
    </row>
    <row r="102" spans="1:75" x14ac:dyDescent="0.3">
      <c r="A102" s="1">
        <v>0</v>
      </c>
      <c r="B102" s="106">
        <v>0</v>
      </c>
      <c r="C102" s="14">
        <v>0</v>
      </c>
      <c r="D102" s="14">
        <v>0</v>
      </c>
      <c r="E102" s="14">
        <v>0</v>
      </c>
      <c r="F102" s="453">
        <v>0</v>
      </c>
      <c r="G102" s="377">
        <v>0</v>
      </c>
      <c r="H102" s="453">
        <v>0</v>
      </c>
      <c r="I102" s="453">
        <v>0</v>
      </c>
      <c r="J102" s="453">
        <v>0</v>
      </c>
      <c r="K102" s="453">
        <v>0</v>
      </c>
      <c r="L102" s="453">
        <v>0</v>
      </c>
      <c r="M102" s="453">
        <v>0</v>
      </c>
      <c r="N102" s="453">
        <v>0</v>
      </c>
      <c r="O102" s="453">
        <v>0</v>
      </c>
      <c r="P102" s="14">
        <v>0</v>
      </c>
      <c r="Q102" s="14">
        <v>0</v>
      </c>
      <c r="R102" s="453">
        <v>0</v>
      </c>
      <c r="S102" s="453">
        <v>0</v>
      </c>
      <c r="T102" s="453">
        <v>0</v>
      </c>
      <c r="U102" s="453">
        <v>0</v>
      </c>
      <c r="V102" s="453">
        <v>0</v>
      </c>
      <c r="W102" s="453">
        <v>0</v>
      </c>
      <c r="X102" s="453">
        <v>0</v>
      </c>
      <c r="Y102" s="453">
        <v>0</v>
      </c>
      <c r="Z102" s="453">
        <v>0</v>
      </c>
      <c r="AA102" s="14">
        <v>0</v>
      </c>
      <c r="AB102" s="14">
        <v>0</v>
      </c>
      <c r="AC102" s="453">
        <v>0</v>
      </c>
      <c r="AD102" s="14">
        <v>0</v>
      </c>
      <c r="AE102" s="14">
        <v>0</v>
      </c>
      <c r="AF102" s="14">
        <v>0</v>
      </c>
      <c r="AG102" s="14">
        <v>0</v>
      </c>
      <c r="AH102" s="14">
        <v>0</v>
      </c>
      <c r="AI102" s="14">
        <v>0</v>
      </c>
      <c r="AJ102" s="14">
        <v>0</v>
      </c>
      <c r="AK102" s="14">
        <v>0</v>
      </c>
      <c r="AL102" s="14">
        <v>0</v>
      </c>
      <c r="AM102" s="453">
        <v>0</v>
      </c>
      <c r="AN102" s="453">
        <v>0</v>
      </c>
      <c r="AO102" s="453">
        <v>0</v>
      </c>
      <c r="AP102" s="453">
        <v>0</v>
      </c>
      <c r="AQ102" s="453">
        <v>0</v>
      </c>
      <c r="AR102" s="453">
        <v>0</v>
      </c>
      <c r="AS102" s="453">
        <v>0</v>
      </c>
      <c r="AT102" s="453">
        <v>0</v>
      </c>
      <c r="AU102" s="453">
        <v>0</v>
      </c>
      <c r="AV102" s="453">
        <v>0</v>
      </c>
      <c r="AW102" s="453">
        <v>0</v>
      </c>
      <c r="AX102" s="453">
        <v>0</v>
      </c>
      <c r="AY102" s="453">
        <v>0</v>
      </c>
      <c r="AZ102" s="453">
        <v>0</v>
      </c>
      <c r="BA102" s="453">
        <v>0</v>
      </c>
      <c r="BB102" s="453">
        <v>0</v>
      </c>
      <c r="BC102" s="453">
        <v>0</v>
      </c>
      <c r="BD102" s="453">
        <v>0</v>
      </c>
      <c r="BE102" s="105">
        <v>0</v>
      </c>
      <c r="BF102" s="453">
        <v>0</v>
      </c>
      <c r="BG102" s="453">
        <v>0</v>
      </c>
      <c r="BH102" s="105">
        <v>0</v>
      </c>
      <c r="BI102" s="453">
        <v>0</v>
      </c>
      <c r="BJ102" s="453">
        <v>0</v>
      </c>
      <c r="BK102" s="105">
        <v>0</v>
      </c>
      <c r="BL102" s="453">
        <v>0</v>
      </c>
      <c r="BM102" s="453">
        <v>0</v>
      </c>
      <c r="BN102" s="453">
        <v>0</v>
      </c>
      <c r="BO102" s="453">
        <v>0</v>
      </c>
      <c r="BP102" s="453">
        <v>0</v>
      </c>
      <c r="BQ102" s="453">
        <v>0</v>
      </c>
      <c r="BR102" s="14">
        <v>0</v>
      </c>
      <c r="BS102" s="14">
        <v>0</v>
      </c>
      <c r="BT102" s="377" t="str">
        <v/>
      </c>
      <c r="BU102" s="105" t="str">
        <v/>
      </c>
      <c r="BV102" s="453" t="str">
        <v/>
      </c>
      <c r="BW102" s="105" t="str">
        <f ca="1"/>
        <v/>
      </c>
    </row>
    <row r="103" spans="1:75" x14ac:dyDescent="0.3">
      <c r="A103" s="1">
        <v>0</v>
      </c>
      <c r="B103" s="106">
        <v>0</v>
      </c>
      <c r="C103" s="14">
        <v>0</v>
      </c>
      <c r="D103" s="14">
        <v>0</v>
      </c>
      <c r="E103" s="14">
        <v>0</v>
      </c>
      <c r="F103" s="453">
        <v>0</v>
      </c>
      <c r="G103" s="377">
        <v>0</v>
      </c>
      <c r="H103" s="453">
        <v>0</v>
      </c>
      <c r="I103" s="453">
        <v>0</v>
      </c>
      <c r="J103" s="453">
        <v>0</v>
      </c>
      <c r="K103" s="453">
        <v>0</v>
      </c>
      <c r="L103" s="453">
        <v>0</v>
      </c>
      <c r="M103" s="453">
        <v>0</v>
      </c>
      <c r="N103" s="453">
        <v>0</v>
      </c>
      <c r="O103" s="453">
        <v>0</v>
      </c>
      <c r="P103" s="14">
        <v>0</v>
      </c>
      <c r="Q103" s="14">
        <v>0</v>
      </c>
      <c r="R103" s="453">
        <v>0</v>
      </c>
      <c r="S103" s="453">
        <v>0</v>
      </c>
      <c r="T103" s="453">
        <v>0</v>
      </c>
      <c r="U103" s="453">
        <v>0</v>
      </c>
      <c r="V103" s="453">
        <v>0</v>
      </c>
      <c r="W103" s="453">
        <v>0</v>
      </c>
      <c r="X103" s="453">
        <v>0</v>
      </c>
      <c r="Y103" s="453">
        <v>0</v>
      </c>
      <c r="Z103" s="453">
        <v>0</v>
      </c>
      <c r="AA103" s="14">
        <v>0</v>
      </c>
      <c r="AB103" s="14">
        <v>0</v>
      </c>
      <c r="AC103" s="453">
        <v>0</v>
      </c>
      <c r="AD103" s="14">
        <v>0</v>
      </c>
      <c r="AE103" s="14">
        <v>0</v>
      </c>
      <c r="AF103" s="14">
        <v>0</v>
      </c>
      <c r="AG103" s="14">
        <v>0</v>
      </c>
      <c r="AH103" s="14">
        <v>0</v>
      </c>
      <c r="AI103" s="14">
        <v>0</v>
      </c>
      <c r="AJ103" s="14">
        <v>0</v>
      </c>
      <c r="AK103" s="14">
        <v>0</v>
      </c>
      <c r="AL103" s="14">
        <v>0</v>
      </c>
      <c r="AM103" s="453">
        <v>0</v>
      </c>
      <c r="AN103" s="453">
        <v>0</v>
      </c>
      <c r="AO103" s="453">
        <v>0</v>
      </c>
      <c r="AP103" s="453">
        <v>0</v>
      </c>
      <c r="AQ103" s="453">
        <v>0</v>
      </c>
      <c r="AR103" s="453">
        <v>0</v>
      </c>
      <c r="AS103" s="453">
        <v>0</v>
      </c>
      <c r="AT103" s="453">
        <v>0</v>
      </c>
      <c r="AU103" s="453">
        <v>0</v>
      </c>
      <c r="AV103" s="453">
        <v>0</v>
      </c>
      <c r="AW103" s="453">
        <v>0</v>
      </c>
      <c r="AX103" s="453">
        <v>0</v>
      </c>
      <c r="AY103" s="453">
        <v>0</v>
      </c>
      <c r="AZ103" s="453">
        <v>0</v>
      </c>
      <c r="BA103" s="453">
        <v>0</v>
      </c>
      <c r="BB103" s="453">
        <v>0</v>
      </c>
      <c r="BC103" s="453">
        <v>0</v>
      </c>
      <c r="BD103" s="453">
        <v>0</v>
      </c>
      <c r="BE103" s="105">
        <v>0</v>
      </c>
      <c r="BF103" s="453">
        <v>0</v>
      </c>
      <c r="BG103" s="453">
        <v>0</v>
      </c>
      <c r="BH103" s="105">
        <v>0</v>
      </c>
      <c r="BI103" s="453">
        <v>0</v>
      </c>
      <c r="BJ103" s="453">
        <v>0</v>
      </c>
      <c r="BK103" s="105">
        <v>0</v>
      </c>
      <c r="BL103" s="453">
        <v>0</v>
      </c>
      <c r="BM103" s="453">
        <v>0</v>
      </c>
      <c r="BN103" s="453">
        <v>0</v>
      </c>
      <c r="BO103" s="453">
        <v>0</v>
      </c>
      <c r="BP103" s="453">
        <v>0</v>
      </c>
      <c r="BQ103" s="453">
        <v>0</v>
      </c>
      <c r="BR103" s="14">
        <v>0</v>
      </c>
      <c r="BS103" s="14">
        <v>0</v>
      </c>
      <c r="BT103" s="377" t="str">
        <v/>
      </c>
      <c r="BU103" s="105" t="str">
        <v/>
      </c>
      <c r="BV103" s="453" t="str">
        <v/>
      </c>
      <c r="BW103" s="105" t="str">
        <f ca="1"/>
        <v/>
      </c>
    </row>
    <row r="104" spans="1:75" x14ac:dyDescent="0.3">
      <c r="A104" s="1">
        <v>0</v>
      </c>
      <c r="B104" s="106">
        <v>0</v>
      </c>
      <c r="C104" s="14">
        <v>0</v>
      </c>
      <c r="D104" s="14">
        <v>0</v>
      </c>
      <c r="E104" s="14">
        <v>0</v>
      </c>
      <c r="F104" s="453">
        <v>0</v>
      </c>
      <c r="G104" s="377">
        <v>0</v>
      </c>
      <c r="H104" s="453">
        <v>0</v>
      </c>
      <c r="I104" s="453">
        <v>0</v>
      </c>
      <c r="J104" s="453">
        <v>0</v>
      </c>
      <c r="K104" s="453">
        <v>0</v>
      </c>
      <c r="L104" s="453">
        <v>0</v>
      </c>
      <c r="M104" s="453">
        <v>0</v>
      </c>
      <c r="N104" s="453">
        <v>0</v>
      </c>
      <c r="O104" s="453">
        <v>0</v>
      </c>
      <c r="P104" s="14">
        <v>0</v>
      </c>
      <c r="Q104" s="14">
        <v>0</v>
      </c>
      <c r="R104" s="453">
        <v>0</v>
      </c>
      <c r="S104" s="453">
        <v>0</v>
      </c>
      <c r="T104" s="453">
        <v>0</v>
      </c>
      <c r="U104" s="453">
        <v>0</v>
      </c>
      <c r="V104" s="453">
        <v>0</v>
      </c>
      <c r="W104" s="453">
        <v>0</v>
      </c>
      <c r="X104" s="453">
        <v>0</v>
      </c>
      <c r="Y104" s="453">
        <v>0</v>
      </c>
      <c r="Z104" s="453">
        <v>0</v>
      </c>
      <c r="AA104" s="14">
        <v>0</v>
      </c>
      <c r="AB104" s="14">
        <v>0</v>
      </c>
      <c r="AC104" s="453">
        <v>0</v>
      </c>
      <c r="AD104" s="14">
        <v>0</v>
      </c>
      <c r="AE104" s="14">
        <v>0</v>
      </c>
      <c r="AF104" s="14">
        <v>0</v>
      </c>
      <c r="AG104" s="14">
        <v>0</v>
      </c>
      <c r="AH104" s="14">
        <v>0</v>
      </c>
      <c r="AI104" s="14">
        <v>0</v>
      </c>
      <c r="AJ104" s="14">
        <v>0</v>
      </c>
      <c r="AK104" s="14">
        <v>0</v>
      </c>
      <c r="AL104" s="14">
        <v>0</v>
      </c>
      <c r="AM104" s="453">
        <v>0</v>
      </c>
      <c r="AN104" s="453">
        <v>0</v>
      </c>
      <c r="AO104" s="453">
        <v>0</v>
      </c>
      <c r="AP104" s="453">
        <v>0</v>
      </c>
      <c r="AQ104" s="453">
        <v>0</v>
      </c>
      <c r="AR104" s="453">
        <v>0</v>
      </c>
      <c r="AS104" s="453">
        <v>0</v>
      </c>
      <c r="AT104" s="453">
        <v>0</v>
      </c>
      <c r="AU104" s="453">
        <v>0</v>
      </c>
      <c r="AV104" s="453">
        <v>0</v>
      </c>
      <c r="AW104" s="453">
        <v>0</v>
      </c>
      <c r="AX104" s="453">
        <v>0</v>
      </c>
      <c r="AY104" s="453">
        <v>0</v>
      </c>
      <c r="AZ104" s="453">
        <v>0</v>
      </c>
      <c r="BA104" s="453">
        <v>0</v>
      </c>
      <c r="BB104" s="453">
        <v>0</v>
      </c>
      <c r="BC104" s="453">
        <v>0</v>
      </c>
      <c r="BD104" s="453">
        <v>0</v>
      </c>
      <c r="BE104" s="105">
        <v>0</v>
      </c>
      <c r="BF104" s="453">
        <v>0</v>
      </c>
      <c r="BG104" s="453">
        <v>0</v>
      </c>
      <c r="BH104" s="105">
        <v>0</v>
      </c>
      <c r="BI104" s="453">
        <v>0</v>
      </c>
      <c r="BJ104" s="453">
        <v>0</v>
      </c>
      <c r="BK104" s="105">
        <v>0</v>
      </c>
      <c r="BL104" s="453">
        <v>0</v>
      </c>
      <c r="BM104" s="453">
        <v>0</v>
      </c>
      <c r="BN104" s="453">
        <v>0</v>
      </c>
      <c r="BO104" s="453">
        <v>0</v>
      </c>
      <c r="BP104" s="453">
        <v>0</v>
      </c>
      <c r="BQ104" s="453">
        <v>0</v>
      </c>
      <c r="BR104" s="14">
        <v>0</v>
      </c>
      <c r="BS104" s="14">
        <v>0</v>
      </c>
      <c r="BT104" s="377" t="str">
        <v/>
      </c>
      <c r="BU104" s="105" t="str">
        <v/>
      </c>
      <c r="BV104" s="453" t="str">
        <v/>
      </c>
      <c r="BW104" s="105" t="str">
        <f ca="1"/>
        <v/>
      </c>
    </row>
    <row r="105" spans="1:75" x14ac:dyDescent="0.3">
      <c r="A105" s="1">
        <v>0</v>
      </c>
      <c r="B105" s="106">
        <v>0</v>
      </c>
      <c r="C105" s="14">
        <v>0</v>
      </c>
      <c r="D105" s="14">
        <v>0</v>
      </c>
      <c r="E105" s="14">
        <v>0</v>
      </c>
      <c r="F105" s="453">
        <v>0</v>
      </c>
      <c r="G105" s="377">
        <v>0</v>
      </c>
      <c r="H105" s="453">
        <v>0</v>
      </c>
      <c r="I105" s="453">
        <v>0</v>
      </c>
      <c r="J105" s="453">
        <v>0</v>
      </c>
      <c r="K105" s="453">
        <v>0</v>
      </c>
      <c r="L105" s="453">
        <v>0</v>
      </c>
      <c r="M105" s="453">
        <v>0</v>
      </c>
      <c r="N105" s="453">
        <v>0</v>
      </c>
      <c r="O105" s="453">
        <v>0</v>
      </c>
      <c r="P105" s="14">
        <v>0</v>
      </c>
      <c r="Q105" s="14">
        <v>0</v>
      </c>
      <c r="R105" s="453">
        <v>0</v>
      </c>
      <c r="S105" s="453">
        <v>0</v>
      </c>
      <c r="T105" s="453">
        <v>0</v>
      </c>
      <c r="U105" s="453">
        <v>0</v>
      </c>
      <c r="V105" s="453">
        <v>0</v>
      </c>
      <c r="W105" s="453">
        <v>0</v>
      </c>
      <c r="X105" s="453">
        <v>0</v>
      </c>
      <c r="Y105" s="453">
        <v>0</v>
      </c>
      <c r="Z105" s="453">
        <v>0</v>
      </c>
      <c r="AA105" s="14">
        <v>0</v>
      </c>
      <c r="AB105" s="14">
        <v>0</v>
      </c>
      <c r="AC105" s="453">
        <v>0</v>
      </c>
      <c r="AD105" s="14">
        <v>0</v>
      </c>
      <c r="AE105" s="14">
        <v>0</v>
      </c>
      <c r="AF105" s="14">
        <v>0</v>
      </c>
      <c r="AG105" s="14">
        <v>0</v>
      </c>
      <c r="AH105" s="14">
        <v>0</v>
      </c>
      <c r="AI105" s="14">
        <v>0</v>
      </c>
      <c r="AJ105" s="14">
        <v>0</v>
      </c>
      <c r="AK105" s="14">
        <v>0</v>
      </c>
      <c r="AL105" s="14">
        <v>0</v>
      </c>
      <c r="AM105" s="453">
        <v>0</v>
      </c>
      <c r="AN105" s="453">
        <v>0</v>
      </c>
      <c r="AO105" s="453">
        <v>0</v>
      </c>
      <c r="AP105" s="453">
        <v>0</v>
      </c>
      <c r="AQ105" s="453">
        <v>0</v>
      </c>
      <c r="AR105" s="453">
        <v>0</v>
      </c>
      <c r="AS105" s="453">
        <v>0</v>
      </c>
      <c r="AT105" s="453">
        <v>0</v>
      </c>
      <c r="AU105" s="453">
        <v>0</v>
      </c>
      <c r="AV105" s="453">
        <v>0</v>
      </c>
      <c r="AW105" s="453">
        <v>0</v>
      </c>
      <c r="AX105" s="453">
        <v>0</v>
      </c>
      <c r="AY105" s="453">
        <v>0</v>
      </c>
      <c r="AZ105" s="453">
        <v>0</v>
      </c>
      <c r="BA105" s="453">
        <v>0</v>
      </c>
      <c r="BB105" s="453">
        <v>0</v>
      </c>
      <c r="BC105" s="453">
        <v>0</v>
      </c>
      <c r="BD105" s="453">
        <v>0</v>
      </c>
      <c r="BE105" s="105">
        <v>0</v>
      </c>
      <c r="BF105" s="453">
        <v>0</v>
      </c>
      <c r="BG105" s="453">
        <v>0</v>
      </c>
      <c r="BH105" s="105">
        <v>0</v>
      </c>
      <c r="BI105" s="453">
        <v>0</v>
      </c>
      <c r="BJ105" s="453">
        <v>0</v>
      </c>
      <c r="BK105" s="105">
        <v>0</v>
      </c>
      <c r="BL105" s="453">
        <v>0</v>
      </c>
      <c r="BM105" s="453">
        <v>0</v>
      </c>
      <c r="BN105" s="453">
        <v>0</v>
      </c>
      <c r="BO105" s="453">
        <v>0</v>
      </c>
      <c r="BP105" s="453">
        <v>0</v>
      </c>
      <c r="BQ105" s="453">
        <v>0</v>
      </c>
      <c r="BR105" s="14">
        <v>0</v>
      </c>
      <c r="BS105" s="14">
        <v>0</v>
      </c>
      <c r="BT105" s="377" t="str">
        <v/>
      </c>
      <c r="BU105" s="105" t="str">
        <v/>
      </c>
      <c r="BV105" s="453" t="str">
        <v/>
      </c>
      <c r="BW105" s="105" t="str">
        <f ca="1"/>
        <v/>
      </c>
    </row>
    <row r="106" spans="1:75" x14ac:dyDescent="0.3">
      <c r="A106" s="1">
        <v>0</v>
      </c>
      <c r="B106" s="106">
        <v>0</v>
      </c>
      <c r="C106" s="14">
        <v>0</v>
      </c>
      <c r="D106" s="14">
        <v>0</v>
      </c>
      <c r="E106" s="14">
        <v>0</v>
      </c>
      <c r="F106" s="453">
        <v>0</v>
      </c>
      <c r="G106" s="377">
        <v>0</v>
      </c>
      <c r="H106" s="453">
        <v>0</v>
      </c>
      <c r="I106" s="453">
        <v>0</v>
      </c>
      <c r="J106" s="453">
        <v>0</v>
      </c>
      <c r="K106" s="453">
        <v>0</v>
      </c>
      <c r="L106" s="453">
        <v>0</v>
      </c>
      <c r="M106" s="453">
        <v>0</v>
      </c>
      <c r="N106" s="453">
        <v>0</v>
      </c>
      <c r="O106" s="453">
        <v>0</v>
      </c>
      <c r="P106" s="14">
        <v>0</v>
      </c>
      <c r="Q106" s="14">
        <v>0</v>
      </c>
      <c r="R106" s="453">
        <v>0</v>
      </c>
      <c r="S106" s="453">
        <v>0</v>
      </c>
      <c r="T106" s="453">
        <v>0</v>
      </c>
      <c r="U106" s="453">
        <v>0</v>
      </c>
      <c r="V106" s="453">
        <v>0</v>
      </c>
      <c r="W106" s="453">
        <v>0</v>
      </c>
      <c r="X106" s="453">
        <v>0</v>
      </c>
      <c r="Y106" s="453">
        <v>0</v>
      </c>
      <c r="Z106" s="453">
        <v>0</v>
      </c>
      <c r="AA106" s="14">
        <v>0</v>
      </c>
      <c r="AB106" s="14">
        <v>0</v>
      </c>
      <c r="AC106" s="453">
        <v>0</v>
      </c>
      <c r="AD106" s="14">
        <v>0</v>
      </c>
      <c r="AE106" s="14">
        <v>0</v>
      </c>
      <c r="AF106" s="14">
        <v>0</v>
      </c>
      <c r="AG106" s="14">
        <v>0</v>
      </c>
      <c r="AH106" s="14">
        <v>0</v>
      </c>
      <c r="AI106" s="14">
        <v>0</v>
      </c>
      <c r="AJ106" s="14">
        <v>0</v>
      </c>
      <c r="AK106" s="14">
        <v>0</v>
      </c>
      <c r="AL106" s="14">
        <v>0</v>
      </c>
      <c r="AM106" s="453">
        <v>0</v>
      </c>
      <c r="AN106" s="453">
        <v>0</v>
      </c>
      <c r="AO106" s="453">
        <v>0</v>
      </c>
      <c r="AP106" s="453">
        <v>0</v>
      </c>
      <c r="AQ106" s="453">
        <v>0</v>
      </c>
      <c r="AR106" s="453">
        <v>0</v>
      </c>
      <c r="AS106" s="453">
        <v>0</v>
      </c>
      <c r="AT106" s="453">
        <v>0</v>
      </c>
      <c r="AU106" s="453">
        <v>0</v>
      </c>
      <c r="AV106" s="453">
        <v>0</v>
      </c>
      <c r="AW106" s="453">
        <v>0</v>
      </c>
      <c r="AX106" s="453">
        <v>0</v>
      </c>
      <c r="AY106" s="453">
        <v>0</v>
      </c>
      <c r="AZ106" s="453">
        <v>0</v>
      </c>
      <c r="BA106" s="453">
        <v>0</v>
      </c>
      <c r="BB106" s="453">
        <v>0</v>
      </c>
      <c r="BC106" s="453">
        <v>0</v>
      </c>
      <c r="BD106" s="453">
        <v>0</v>
      </c>
      <c r="BE106" s="105">
        <v>0</v>
      </c>
      <c r="BF106" s="453">
        <v>0</v>
      </c>
      <c r="BG106" s="453">
        <v>0</v>
      </c>
      <c r="BH106" s="105">
        <v>0</v>
      </c>
      <c r="BI106" s="453">
        <v>0</v>
      </c>
      <c r="BJ106" s="453">
        <v>0</v>
      </c>
      <c r="BK106" s="105">
        <v>0</v>
      </c>
      <c r="BL106" s="453">
        <v>0</v>
      </c>
      <c r="BM106" s="453">
        <v>0</v>
      </c>
      <c r="BN106" s="453">
        <v>0</v>
      </c>
      <c r="BO106" s="453">
        <v>0</v>
      </c>
      <c r="BP106" s="453">
        <v>0</v>
      </c>
      <c r="BQ106" s="453">
        <v>0</v>
      </c>
      <c r="BR106" s="14">
        <v>0</v>
      </c>
      <c r="BS106" s="14">
        <v>0</v>
      </c>
      <c r="BT106" s="377" t="str">
        <v/>
      </c>
      <c r="BU106" s="105" t="str">
        <v/>
      </c>
      <c r="BV106" s="453" t="str">
        <v/>
      </c>
      <c r="BW106" s="105" t="str">
        <f ca="1"/>
        <v/>
      </c>
    </row>
    <row r="107" spans="1:75" x14ac:dyDescent="0.3">
      <c r="A107" s="1">
        <v>0</v>
      </c>
      <c r="B107" s="106">
        <v>0</v>
      </c>
      <c r="C107" s="14">
        <v>0</v>
      </c>
      <c r="D107" s="14">
        <v>0</v>
      </c>
      <c r="E107" s="14">
        <v>0</v>
      </c>
      <c r="F107" s="453">
        <v>0</v>
      </c>
      <c r="G107" s="377">
        <v>0</v>
      </c>
      <c r="H107" s="453">
        <v>0</v>
      </c>
      <c r="I107" s="453">
        <v>0</v>
      </c>
      <c r="J107" s="453">
        <v>0</v>
      </c>
      <c r="K107" s="453">
        <v>0</v>
      </c>
      <c r="L107" s="453">
        <v>0</v>
      </c>
      <c r="M107" s="453">
        <v>0</v>
      </c>
      <c r="N107" s="453">
        <v>0</v>
      </c>
      <c r="O107" s="453">
        <v>0</v>
      </c>
      <c r="P107" s="14">
        <v>0</v>
      </c>
      <c r="Q107" s="14">
        <v>0</v>
      </c>
      <c r="R107" s="453">
        <v>0</v>
      </c>
      <c r="S107" s="453">
        <v>0</v>
      </c>
      <c r="T107" s="453">
        <v>0</v>
      </c>
      <c r="U107" s="453">
        <v>0</v>
      </c>
      <c r="V107" s="453">
        <v>0</v>
      </c>
      <c r="W107" s="453">
        <v>0</v>
      </c>
      <c r="X107" s="453">
        <v>0</v>
      </c>
      <c r="Y107" s="453">
        <v>0</v>
      </c>
      <c r="Z107" s="453">
        <v>0</v>
      </c>
      <c r="AA107" s="14">
        <v>0</v>
      </c>
      <c r="AB107" s="14">
        <v>0</v>
      </c>
      <c r="AC107" s="453">
        <v>0</v>
      </c>
      <c r="AD107" s="14">
        <v>0</v>
      </c>
      <c r="AE107" s="14">
        <v>0</v>
      </c>
      <c r="AF107" s="14">
        <v>0</v>
      </c>
      <c r="AG107" s="14">
        <v>0</v>
      </c>
      <c r="AH107" s="14">
        <v>0</v>
      </c>
      <c r="AI107" s="14">
        <v>0</v>
      </c>
      <c r="AJ107" s="14">
        <v>0</v>
      </c>
      <c r="AK107" s="14">
        <v>0</v>
      </c>
      <c r="AL107" s="14">
        <v>0</v>
      </c>
      <c r="AM107" s="453">
        <v>0</v>
      </c>
      <c r="AN107" s="453">
        <v>0</v>
      </c>
      <c r="AO107" s="453">
        <v>0</v>
      </c>
      <c r="AP107" s="453">
        <v>0</v>
      </c>
      <c r="AQ107" s="453">
        <v>0</v>
      </c>
      <c r="AR107" s="453">
        <v>0</v>
      </c>
      <c r="AS107" s="453">
        <v>0</v>
      </c>
      <c r="AT107" s="453">
        <v>0</v>
      </c>
      <c r="AU107" s="453">
        <v>0</v>
      </c>
      <c r="AV107" s="453">
        <v>0</v>
      </c>
      <c r="AW107" s="453">
        <v>0</v>
      </c>
      <c r="AX107" s="453">
        <v>0</v>
      </c>
      <c r="AY107" s="453">
        <v>0</v>
      </c>
      <c r="AZ107" s="453">
        <v>0</v>
      </c>
      <c r="BA107" s="453">
        <v>0</v>
      </c>
      <c r="BB107" s="453">
        <v>0</v>
      </c>
      <c r="BC107" s="453">
        <v>0</v>
      </c>
      <c r="BD107" s="453">
        <v>0</v>
      </c>
      <c r="BE107" s="105">
        <v>0</v>
      </c>
      <c r="BF107" s="453">
        <v>0</v>
      </c>
      <c r="BG107" s="453">
        <v>0</v>
      </c>
      <c r="BH107" s="105">
        <v>0</v>
      </c>
      <c r="BI107" s="453">
        <v>0</v>
      </c>
      <c r="BJ107" s="453">
        <v>0</v>
      </c>
      <c r="BK107" s="105">
        <v>0</v>
      </c>
      <c r="BL107" s="453">
        <v>0</v>
      </c>
      <c r="BM107" s="453">
        <v>0</v>
      </c>
      <c r="BN107" s="453">
        <v>0</v>
      </c>
      <c r="BO107" s="453">
        <v>0</v>
      </c>
      <c r="BP107" s="453">
        <v>0</v>
      </c>
      <c r="BQ107" s="453">
        <v>0</v>
      </c>
      <c r="BR107" s="14">
        <v>0</v>
      </c>
      <c r="BS107" s="14">
        <v>0</v>
      </c>
      <c r="BT107" s="377" t="str">
        <v/>
      </c>
      <c r="BU107" s="105" t="str">
        <v/>
      </c>
      <c r="BV107" s="453" t="str">
        <v/>
      </c>
      <c r="BW107" s="105" t="str">
        <f ca="1"/>
        <v/>
      </c>
    </row>
    <row r="108" spans="1:75" x14ac:dyDescent="0.3">
      <c r="A108" s="1">
        <v>0</v>
      </c>
      <c r="B108" s="106">
        <v>0</v>
      </c>
      <c r="C108" s="14">
        <v>0</v>
      </c>
      <c r="D108" s="14">
        <v>0</v>
      </c>
      <c r="E108" s="14">
        <v>0</v>
      </c>
      <c r="F108" s="453">
        <v>0</v>
      </c>
      <c r="G108" s="377">
        <v>0</v>
      </c>
      <c r="H108" s="453">
        <v>0</v>
      </c>
      <c r="I108" s="453">
        <v>0</v>
      </c>
      <c r="J108" s="453">
        <v>0</v>
      </c>
      <c r="K108" s="453">
        <v>0</v>
      </c>
      <c r="L108" s="453">
        <v>0</v>
      </c>
      <c r="M108" s="453">
        <v>0</v>
      </c>
      <c r="N108" s="453">
        <v>0</v>
      </c>
      <c r="O108" s="453">
        <v>0</v>
      </c>
      <c r="P108" s="14">
        <v>0</v>
      </c>
      <c r="Q108" s="14">
        <v>0</v>
      </c>
      <c r="R108" s="453">
        <v>0</v>
      </c>
      <c r="S108" s="453">
        <v>0</v>
      </c>
      <c r="T108" s="453">
        <v>0</v>
      </c>
      <c r="U108" s="453">
        <v>0</v>
      </c>
      <c r="V108" s="453">
        <v>0</v>
      </c>
      <c r="W108" s="453">
        <v>0</v>
      </c>
      <c r="X108" s="453">
        <v>0</v>
      </c>
      <c r="Y108" s="453">
        <v>0</v>
      </c>
      <c r="Z108" s="453">
        <v>0</v>
      </c>
      <c r="AA108" s="14">
        <v>0</v>
      </c>
      <c r="AB108" s="14">
        <v>0</v>
      </c>
      <c r="AC108" s="453">
        <v>0</v>
      </c>
      <c r="AD108" s="14">
        <v>0</v>
      </c>
      <c r="AE108" s="14">
        <v>0</v>
      </c>
      <c r="AF108" s="14">
        <v>0</v>
      </c>
      <c r="AG108" s="14">
        <v>0</v>
      </c>
      <c r="AH108" s="14">
        <v>0</v>
      </c>
      <c r="AI108" s="14">
        <v>0</v>
      </c>
      <c r="AJ108" s="14">
        <v>0</v>
      </c>
      <c r="AK108" s="14">
        <v>0</v>
      </c>
      <c r="AL108" s="14">
        <v>0</v>
      </c>
      <c r="AM108" s="453">
        <v>0</v>
      </c>
      <c r="AN108" s="453">
        <v>0</v>
      </c>
      <c r="AO108" s="453">
        <v>0</v>
      </c>
      <c r="AP108" s="453">
        <v>0</v>
      </c>
      <c r="AQ108" s="453">
        <v>0</v>
      </c>
      <c r="AR108" s="453">
        <v>0</v>
      </c>
      <c r="AS108" s="453">
        <v>0</v>
      </c>
      <c r="AT108" s="453">
        <v>0</v>
      </c>
      <c r="AU108" s="453">
        <v>0</v>
      </c>
      <c r="AV108" s="453">
        <v>0</v>
      </c>
      <c r="AW108" s="453">
        <v>0</v>
      </c>
      <c r="AX108" s="453">
        <v>0</v>
      </c>
      <c r="AY108" s="453">
        <v>0</v>
      </c>
      <c r="AZ108" s="453">
        <v>0</v>
      </c>
      <c r="BA108" s="453">
        <v>0</v>
      </c>
      <c r="BB108" s="453">
        <v>0</v>
      </c>
      <c r="BC108" s="453">
        <v>0</v>
      </c>
      <c r="BD108" s="453">
        <v>0</v>
      </c>
      <c r="BE108" s="105">
        <v>0</v>
      </c>
      <c r="BF108" s="453">
        <v>0</v>
      </c>
      <c r="BG108" s="453">
        <v>0</v>
      </c>
      <c r="BH108" s="105">
        <v>0</v>
      </c>
      <c r="BI108" s="453">
        <v>0</v>
      </c>
      <c r="BJ108" s="453">
        <v>0</v>
      </c>
      <c r="BK108" s="105">
        <v>0</v>
      </c>
      <c r="BL108" s="453">
        <v>0</v>
      </c>
      <c r="BM108" s="453">
        <v>0</v>
      </c>
      <c r="BN108" s="453">
        <v>0</v>
      </c>
      <c r="BO108" s="453">
        <v>0</v>
      </c>
      <c r="BP108" s="453">
        <v>0</v>
      </c>
      <c r="BQ108" s="453">
        <v>0</v>
      </c>
      <c r="BR108" s="14">
        <v>0</v>
      </c>
      <c r="BS108" s="14">
        <v>0</v>
      </c>
      <c r="BT108" s="377" t="str">
        <v/>
      </c>
      <c r="BU108" s="105" t="str">
        <v/>
      </c>
      <c r="BV108" s="453" t="str">
        <v/>
      </c>
      <c r="BW108" s="105" t="str">
        <f ca="1"/>
        <v/>
      </c>
    </row>
    <row r="109" spans="1:75" x14ac:dyDescent="0.3">
      <c r="A109" s="1">
        <v>0</v>
      </c>
      <c r="B109" s="106">
        <v>0</v>
      </c>
      <c r="C109" s="14">
        <v>0</v>
      </c>
      <c r="D109" s="14">
        <v>0</v>
      </c>
      <c r="E109" s="14">
        <v>0</v>
      </c>
      <c r="F109" s="453">
        <v>0</v>
      </c>
      <c r="G109" s="377">
        <v>0</v>
      </c>
      <c r="H109" s="453">
        <v>0</v>
      </c>
      <c r="I109" s="453">
        <v>0</v>
      </c>
      <c r="J109" s="453">
        <v>0</v>
      </c>
      <c r="K109" s="453">
        <v>0</v>
      </c>
      <c r="L109" s="453">
        <v>0</v>
      </c>
      <c r="M109" s="453">
        <v>0</v>
      </c>
      <c r="N109" s="453">
        <v>0</v>
      </c>
      <c r="O109" s="453">
        <v>0</v>
      </c>
      <c r="P109" s="14">
        <v>0</v>
      </c>
      <c r="Q109" s="14">
        <v>0</v>
      </c>
      <c r="R109" s="453">
        <v>0</v>
      </c>
      <c r="S109" s="453">
        <v>0</v>
      </c>
      <c r="T109" s="453">
        <v>0</v>
      </c>
      <c r="U109" s="453">
        <v>0</v>
      </c>
      <c r="V109" s="453">
        <v>0</v>
      </c>
      <c r="W109" s="453">
        <v>0</v>
      </c>
      <c r="X109" s="453">
        <v>0</v>
      </c>
      <c r="Y109" s="453">
        <v>0</v>
      </c>
      <c r="Z109" s="453">
        <v>0</v>
      </c>
      <c r="AA109" s="14">
        <v>0</v>
      </c>
      <c r="AB109" s="14">
        <v>0</v>
      </c>
      <c r="AC109" s="453">
        <v>0</v>
      </c>
      <c r="AD109" s="14">
        <v>0</v>
      </c>
      <c r="AE109" s="14">
        <v>0</v>
      </c>
      <c r="AF109" s="14">
        <v>0</v>
      </c>
      <c r="AG109" s="14">
        <v>0</v>
      </c>
      <c r="AH109" s="14">
        <v>0</v>
      </c>
      <c r="AI109" s="14">
        <v>0</v>
      </c>
      <c r="AJ109" s="14">
        <v>0</v>
      </c>
      <c r="AK109" s="14">
        <v>0</v>
      </c>
      <c r="AL109" s="14">
        <v>0</v>
      </c>
      <c r="AM109" s="453">
        <v>0</v>
      </c>
      <c r="AN109" s="453">
        <v>0</v>
      </c>
      <c r="AO109" s="453">
        <v>0</v>
      </c>
      <c r="AP109" s="453">
        <v>0</v>
      </c>
      <c r="AQ109" s="453">
        <v>0</v>
      </c>
      <c r="AR109" s="453">
        <v>0</v>
      </c>
      <c r="AS109" s="453">
        <v>0</v>
      </c>
      <c r="AT109" s="453">
        <v>0</v>
      </c>
      <c r="AU109" s="453">
        <v>0</v>
      </c>
      <c r="AV109" s="453">
        <v>0</v>
      </c>
      <c r="AW109" s="453">
        <v>0</v>
      </c>
      <c r="AX109" s="453">
        <v>0</v>
      </c>
      <c r="AY109" s="453">
        <v>0</v>
      </c>
      <c r="AZ109" s="453">
        <v>0</v>
      </c>
      <c r="BA109" s="453">
        <v>0</v>
      </c>
      <c r="BB109" s="453">
        <v>0</v>
      </c>
      <c r="BC109" s="453">
        <v>0</v>
      </c>
      <c r="BD109" s="453">
        <v>0</v>
      </c>
      <c r="BE109" s="105">
        <v>0</v>
      </c>
      <c r="BF109" s="453">
        <v>0</v>
      </c>
      <c r="BG109" s="453">
        <v>0</v>
      </c>
      <c r="BH109" s="105">
        <v>0</v>
      </c>
      <c r="BI109" s="453">
        <v>0</v>
      </c>
      <c r="BJ109" s="453">
        <v>0</v>
      </c>
      <c r="BK109" s="105">
        <v>0</v>
      </c>
      <c r="BL109" s="453">
        <v>0</v>
      </c>
      <c r="BM109" s="453">
        <v>0</v>
      </c>
      <c r="BN109" s="453">
        <v>0</v>
      </c>
      <c r="BO109" s="453">
        <v>0</v>
      </c>
      <c r="BP109" s="453">
        <v>0</v>
      </c>
      <c r="BQ109" s="453">
        <v>0</v>
      </c>
      <c r="BR109" s="14">
        <v>0</v>
      </c>
      <c r="BS109" s="14">
        <v>0</v>
      </c>
      <c r="BT109" s="377" t="str">
        <v/>
      </c>
      <c r="BU109" s="105" t="str">
        <v/>
      </c>
      <c r="BV109" s="453" t="str">
        <v/>
      </c>
      <c r="BW109" s="105" t="str">
        <f ca="1"/>
        <v/>
      </c>
    </row>
    <row r="110" spans="1:75" x14ac:dyDescent="0.3">
      <c r="A110" s="1">
        <v>0</v>
      </c>
      <c r="B110" s="106">
        <v>0</v>
      </c>
      <c r="C110" s="14">
        <v>0</v>
      </c>
      <c r="D110" s="14">
        <v>0</v>
      </c>
      <c r="E110" s="14">
        <v>0</v>
      </c>
      <c r="F110" s="453">
        <v>0</v>
      </c>
      <c r="G110" s="377">
        <v>0</v>
      </c>
      <c r="H110" s="453">
        <v>0</v>
      </c>
      <c r="I110" s="453">
        <v>0</v>
      </c>
      <c r="J110" s="453">
        <v>0</v>
      </c>
      <c r="K110" s="453">
        <v>0</v>
      </c>
      <c r="L110" s="453">
        <v>0</v>
      </c>
      <c r="M110" s="453">
        <v>0</v>
      </c>
      <c r="N110" s="453">
        <v>0</v>
      </c>
      <c r="O110" s="453">
        <v>0</v>
      </c>
      <c r="P110" s="14">
        <v>0</v>
      </c>
      <c r="Q110" s="14">
        <v>0</v>
      </c>
      <c r="R110" s="453">
        <v>0</v>
      </c>
      <c r="S110" s="453">
        <v>0</v>
      </c>
      <c r="T110" s="453">
        <v>0</v>
      </c>
      <c r="U110" s="453">
        <v>0</v>
      </c>
      <c r="V110" s="453">
        <v>0</v>
      </c>
      <c r="W110" s="453">
        <v>0</v>
      </c>
      <c r="X110" s="453">
        <v>0</v>
      </c>
      <c r="Y110" s="453">
        <v>0</v>
      </c>
      <c r="Z110" s="453">
        <v>0</v>
      </c>
      <c r="AA110" s="14">
        <v>0</v>
      </c>
      <c r="AB110" s="14">
        <v>0</v>
      </c>
      <c r="AC110" s="453">
        <v>0</v>
      </c>
      <c r="AD110" s="14">
        <v>0</v>
      </c>
      <c r="AE110" s="14">
        <v>0</v>
      </c>
      <c r="AF110" s="14">
        <v>0</v>
      </c>
      <c r="AG110" s="14">
        <v>0</v>
      </c>
      <c r="AH110" s="14">
        <v>0</v>
      </c>
      <c r="AI110" s="14">
        <v>0</v>
      </c>
      <c r="AJ110" s="14">
        <v>0</v>
      </c>
      <c r="AK110" s="14">
        <v>0</v>
      </c>
      <c r="AL110" s="14">
        <v>0</v>
      </c>
      <c r="AM110" s="453">
        <v>0</v>
      </c>
      <c r="AN110" s="453">
        <v>0</v>
      </c>
      <c r="AO110" s="453">
        <v>0</v>
      </c>
      <c r="AP110" s="453">
        <v>0</v>
      </c>
      <c r="AQ110" s="453">
        <v>0</v>
      </c>
      <c r="AR110" s="453">
        <v>0</v>
      </c>
      <c r="AS110" s="453">
        <v>0</v>
      </c>
      <c r="AT110" s="453">
        <v>0</v>
      </c>
      <c r="AU110" s="453">
        <v>0</v>
      </c>
      <c r="AV110" s="453">
        <v>0</v>
      </c>
      <c r="AW110" s="453">
        <v>0</v>
      </c>
      <c r="AX110" s="453">
        <v>0</v>
      </c>
      <c r="AY110" s="453">
        <v>0</v>
      </c>
      <c r="AZ110" s="453">
        <v>0</v>
      </c>
      <c r="BA110" s="453">
        <v>0</v>
      </c>
      <c r="BB110" s="453">
        <v>0</v>
      </c>
      <c r="BC110" s="453">
        <v>0</v>
      </c>
      <c r="BD110" s="453">
        <v>0</v>
      </c>
      <c r="BE110" s="105">
        <v>0</v>
      </c>
      <c r="BF110" s="453">
        <v>0</v>
      </c>
      <c r="BG110" s="453">
        <v>0</v>
      </c>
      <c r="BH110" s="105">
        <v>0</v>
      </c>
      <c r="BI110" s="453">
        <v>0</v>
      </c>
      <c r="BJ110" s="453">
        <v>0</v>
      </c>
      <c r="BK110" s="105">
        <v>0</v>
      </c>
      <c r="BL110" s="453">
        <v>0</v>
      </c>
      <c r="BM110" s="453">
        <v>0</v>
      </c>
      <c r="BN110" s="453">
        <v>0</v>
      </c>
      <c r="BO110" s="453">
        <v>0</v>
      </c>
      <c r="BP110" s="453">
        <v>0</v>
      </c>
      <c r="BQ110" s="453">
        <v>0</v>
      </c>
      <c r="BR110" s="14">
        <v>0</v>
      </c>
      <c r="BS110" s="14">
        <v>0</v>
      </c>
      <c r="BT110" s="377" t="str">
        <v/>
      </c>
      <c r="BU110" s="105" t="str">
        <v/>
      </c>
      <c r="BV110" s="453" t="str">
        <v/>
      </c>
      <c r="BW110" s="105" t="str">
        <f ca="1"/>
        <v/>
      </c>
    </row>
    <row r="111" spans="1:75" x14ac:dyDescent="0.3">
      <c r="A111" s="1">
        <v>0</v>
      </c>
      <c r="B111" s="106">
        <v>0</v>
      </c>
      <c r="C111" s="14">
        <v>0</v>
      </c>
      <c r="D111" s="14">
        <v>0</v>
      </c>
      <c r="E111" s="14">
        <v>0</v>
      </c>
      <c r="F111" s="453">
        <v>0</v>
      </c>
      <c r="G111" s="377">
        <v>0</v>
      </c>
      <c r="H111" s="453">
        <v>0</v>
      </c>
      <c r="I111" s="453">
        <v>0</v>
      </c>
      <c r="J111" s="453">
        <v>0</v>
      </c>
      <c r="K111" s="453">
        <v>0</v>
      </c>
      <c r="L111" s="453">
        <v>0</v>
      </c>
      <c r="M111" s="453">
        <v>0</v>
      </c>
      <c r="N111" s="453">
        <v>0</v>
      </c>
      <c r="O111" s="453">
        <v>0</v>
      </c>
      <c r="P111" s="14">
        <v>0</v>
      </c>
      <c r="Q111" s="14">
        <v>0</v>
      </c>
      <c r="R111" s="453">
        <v>0</v>
      </c>
      <c r="S111" s="453">
        <v>0</v>
      </c>
      <c r="T111" s="453">
        <v>0</v>
      </c>
      <c r="U111" s="453">
        <v>0</v>
      </c>
      <c r="V111" s="453">
        <v>0</v>
      </c>
      <c r="W111" s="453">
        <v>0</v>
      </c>
      <c r="X111" s="453">
        <v>0</v>
      </c>
      <c r="Y111" s="453">
        <v>0</v>
      </c>
      <c r="Z111" s="453">
        <v>0</v>
      </c>
      <c r="AA111" s="14">
        <v>0</v>
      </c>
      <c r="AB111" s="14">
        <v>0</v>
      </c>
      <c r="AC111" s="453">
        <v>0</v>
      </c>
      <c r="AD111" s="14">
        <v>0</v>
      </c>
      <c r="AE111" s="14">
        <v>0</v>
      </c>
      <c r="AF111" s="14">
        <v>0</v>
      </c>
      <c r="AG111" s="14">
        <v>0</v>
      </c>
      <c r="AH111" s="14">
        <v>0</v>
      </c>
      <c r="AI111" s="14">
        <v>0</v>
      </c>
      <c r="AJ111" s="14">
        <v>0</v>
      </c>
      <c r="AK111" s="14">
        <v>0</v>
      </c>
      <c r="AL111" s="14">
        <v>0</v>
      </c>
      <c r="AM111" s="453">
        <v>0</v>
      </c>
      <c r="AN111" s="453">
        <v>0</v>
      </c>
      <c r="AO111" s="453">
        <v>0</v>
      </c>
      <c r="AP111" s="453">
        <v>0</v>
      </c>
      <c r="AQ111" s="453">
        <v>0</v>
      </c>
      <c r="AR111" s="453">
        <v>0</v>
      </c>
      <c r="AS111" s="453">
        <v>0</v>
      </c>
      <c r="AT111" s="453">
        <v>0</v>
      </c>
      <c r="AU111" s="453">
        <v>0</v>
      </c>
      <c r="AV111" s="453">
        <v>0</v>
      </c>
      <c r="AW111" s="453">
        <v>0</v>
      </c>
      <c r="AX111" s="453">
        <v>0</v>
      </c>
      <c r="AY111" s="453">
        <v>0</v>
      </c>
      <c r="AZ111" s="453">
        <v>0</v>
      </c>
      <c r="BA111" s="453">
        <v>0</v>
      </c>
      <c r="BB111" s="453">
        <v>0</v>
      </c>
      <c r="BC111" s="453">
        <v>0</v>
      </c>
      <c r="BD111" s="453">
        <v>0</v>
      </c>
      <c r="BE111" s="105">
        <v>0</v>
      </c>
      <c r="BF111" s="453">
        <v>0</v>
      </c>
      <c r="BG111" s="453">
        <v>0</v>
      </c>
      <c r="BH111" s="105">
        <v>0</v>
      </c>
      <c r="BI111" s="453">
        <v>0</v>
      </c>
      <c r="BJ111" s="453">
        <v>0</v>
      </c>
      <c r="BK111" s="105">
        <v>0</v>
      </c>
      <c r="BL111" s="453">
        <v>0</v>
      </c>
      <c r="BM111" s="453">
        <v>0</v>
      </c>
      <c r="BN111" s="453">
        <v>0</v>
      </c>
      <c r="BO111" s="453">
        <v>0</v>
      </c>
      <c r="BP111" s="453">
        <v>0</v>
      </c>
      <c r="BQ111" s="453">
        <v>0</v>
      </c>
      <c r="BR111" s="14">
        <v>0</v>
      </c>
      <c r="BS111" s="14">
        <v>0</v>
      </c>
      <c r="BT111" s="377" t="str">
        <v/>
      </c>
      <c r="BU111" s="105" t="str">
        <v/>
      </c>
      <c r="BV111" s="453" t="str">
        <v/>
      </c>
      <c r="BW111" s="105" t="str">
        <f ca="1"/>
        <v/>
      </c>
    </row>
    <row r="112" spans="1:75" x14ac:dyDescent="0.3">
      <c r="A112" s="1">
        <v>0</v>
      </c>
      <c r="B112" s="106">
        <v>0</v>
      </c>
      <c r="C112" s="14">
        <v>0</v>
      </c>
      <c r="D112" s="14">
        <v>0</v>
      </c>
      <c r="E112" s="14">
        <v>0</v>
      </c>
      <c r="F112" s="453">
        <v>0</v>
      </c>
      <c r="G112" s="377">
        <v>0</v>
      </c>
      <c r="H112" s="453">
        <v>0</v>
      </c>
      <c r="I112" s="453">
        <v>0</v>
      </c>
      <c r="J112" s="453">
        <v>0</v>
      </c>
      <c r="K112" s="453">
        <v>0</v>
      </c>
      <c r="L112" s="453">
        <v>0</v>
      </c>
      <c r="M112" s="453">
        <v>0</v>
      </c>
      <c r="N112" s="453">
        <v>0</v>
      </c>
      <c r="O112" s="453">
        <v>0</v>
      </c>
      <c r="P112" s="14">
        <v>0</v>
      </c>
      <c r="Q112" s="14">
        <v>0</v>
      </c>
      <c r="R112" s="453">
        <v>0</v>
      </c>
      <c r="S112" s="453">
        <v>0</v>
      </c>
      <c r="T112" s="453">
        <v>0</v>
      </c>
      <c r="U112" s="453">
        <v>0</v>
      </c>
      <c r="V112" s="453">
        <v>0</v>
      </c>
      <c r="W112" s="453">
        <v>0</v>
      </c>
      <c r="X112" s="453">
        <v>0</v>
      </c>
      <c r="Y112" s="453">
        <v>0</v>
      </c>
      <c r="Z112" s="453">
        <v>0</v>
      </c>
      <c r="AA112" s="14">
        <v>0</v>
      </c>
      <c r="AB112" s="14">
        <v>0</v>
      </c>
      <c r="AC112" s="453">
        <v>0</v>
      </c>
      <c r="AD112" s="14">
        <v>0</v>
      </c>
      <c r="AE112" s="14">
        <v>0</v>
      </c>
      <c r="AF112" s="14">
        <v>0</v>
      </c>
      <c r="AG112" s="14">
        <v>0</v>
      </c>
      <c r="AH112" s="14">
        <v>0</v>
      </c>
      <c r="AI112" s="14">
        <v>0</v>
      </c>
      <c r="AJ112" s="14">
        <v>0</v>
      </c>
      <c r="AK112" s="14">
        <v>0</v>
      </c>
      <c r="AL112" s="14">
        <v>0</v>
      </c>
      <c r="AM112" s="453">
        <v>0</v>
      </c>
      <c r="AN112" s="453">
        <v>0</v>
      </c>
      <c r="AO112" s="453">
        <v>0</v>
      </c>
      <c r="AP112" s="453">
        <v>0</v>
      </c>
      <c r="AQ112" s="453">
        <v>0</v>
      </c>
      <c r="AR112" s="453">
        <v>0</v>
      </c>
      <c r="AS112" s="453">
        <v>0</v>
      </c>
      <c r="AT112" s="453">
        <v>0</v>
      </c>
      <c r="AU112" s="453">
        <v>0</v>
      </c>
      <c r="AV112" s="453">
        <v>0</v>
      </c>
      <c r="AW112" s="453">
        <v>0</v>
      </c>
      <c r="AX112" s="453">
        <v>0</v>
      </c>
      <c r="AY112" s="453">
        <v>0</v>
      </c>
      <c r="AZ112" s="453">
        <v>0</v>
      </c>
      <c r="BA112" s="453">
        <v>0</v>
      </c>
      <c r="BB112" s="453">
        <v>0</v>
      </c>
      <c r="BC112" s="453">
        <v>0</v>
      </c>
      <c r="BD112" s="453">
        <v>0</v>
      </c>
      <c r="BE112" s="105">
        <v>0</v>
      </c>
      <c r="BF112" s="453">
        <v>0</v>
      </c>
      <c r="BG112" s="453">
        <v>0</v>
      </c>
      <c r="BH112" s="105">
        <v>0</v>
      </c>
      <c r="BI112" s="453">
        <v>0</v>
      </c>
      <c r="BJ112" s="453">
        <v>0</v>
      </c>
      <c r="BK112" s="105">
        <v>0</v>
      </c>
      <c r="BL112" s="453">
        <v>0</v>
      </c>
      <c r="BM112" s="453">
        <v>0</v>
      </c>
      <c r="BN112" s="453">
        <v>0</v>
      </c>
      <c r="BO112" s="453">
        <v>0</v>
      </c>
      <c r="BP112" s="453">
        <v>0</v>
      </c>
      <c r="BQ112" s="453">
        <v>0</v>
      </c>
      <c r="BR112" s="14">
        <v>0</v>
      </c>
      <c r="BS112" s="14">
        <v>0</v>
      </c>
      <c r="BT112" s="377" t="str">
        <v/>
      </c>
      <c r="BU112" s="105" t="str">
        <v/>
      </c>
      <c r="BV112" s="453" t="str">
        <v/>
      </c>
      <c r="BW112" s="105" t="str">
        <f ca="1"/>
        <v/>
      </c>
    </row>
    <row r="113" spans="1:75" x14ac:dyDescent="0.3">
      <c r="A113" s="1">
        <v>0</v>
      </c>
      <c r="B113" s="106">
        <v>0</v>
      </c>
      <c r="C113" s="14">
        <v>0</v>
      </c>
      <c r="D113" s="14">
        <v>0</v>
      </c>
      <c r="E113" s="14">
        <v>0</v>
      </c>
      <c r="F113" s="453">
        <v>0</v>
      </c>
      <c r="G113" s="377">
        <v>0</v>
      </c>
      <c r="H113" s="453">
        <v>0</v>
      </c>
      <c r="I113" s="453">
        <v>0</v>
      </c>
      <c r="J113" s="453">
        <v>0</v>
      </c>
      <c r="K113" s="453">
        <v>0</v>
      </c>
      <c r="L113" s="453">
        <v>0</v>
      </c>
      <c r="M113" s="453">
        <v>0</v>
      </c>
      <c r="N113" s="453">
        <v>0</v>
      </c>
      <c r="O113" s="453">
        <v>0</v>
      </c>
      <c r="P113" s="14">
        <v>0</v>
      </c>
      <c r="Q113" s="14">
        <v>0</v>
      </c>
      <c r="R113" s="453">
        <v>0</v>
      </c>
      <c r="S113" s="453">
        <v>0</v>
      </c>
      <c r="T113" s="453">
        <v>0</v>
      </c>
      <c r="U113" s="453">
        <v>0</v>
      </c>
      <c r="V113" s="453">
        <v>0</v>
      </c>
      <c r="W113" s="453">
        <v>0</v>
      </c>
      <c r="X113" s="453">
        <v>0</v>
      </c>
      <c r="Y113" s="453">
        <v>0</v>
      </c>
      <c r="Z113" s="453">
        <v>0</v>
      </c>
      <c r="AA113" s="14">
        <v>0</v>
      </c>
      <c r="AB113" s="14">
        <v>0</v>
      </c>
      <c r="AC113" s="453">
        <v>0</v>
      </c>
      <c r="AD113" s="14">
        <v>0</v>
      </c>
      <c r="AE113" s="14">
        <v>0</v>
      </c>
      <c r="AF113" s="14">
        <v>0</v>
      </c>
      <c r="AG113" s="14">
        <v>0</v>
      </c>
      <c r="AH113" s="14">
        <v>0</v>
      </c>
      <c r="AI113" s="14">
        <v>0</v>
      </c>
      <c r="AJ113" s="14">
        <v>0</v>
      </c>
      <c r="AK113" s="14">
        <v>0</v>
      </c>
      <c r="AL113" s="14">
        <v>0</v>
      </c>
      <c r="AM113" s="453">
        <v>0</v>
      </c>
      <c r="AN113" s="453">
        <v>0</v>
      </c>
      <c r="AO113" s="453">
        <v>0</v>
      </c>
      <c r="AP113" s="453">
        <v>0</v>
      </c>
      <c r="AQ113" s="453">
        <v>0</v>
      </c>
      <c r="AR113" s="453">
        <v>0</v>
      </c>
      <c r="AS113" s="453">
        <v>0</v>
      </c>
      <c r="AT113" s="453">
        <v>0</v>
      </c>
      <c r="AU113" s="453">
        <v>0</v>
      </c>
      <c r="AV113" s="453">
        <v>0</v>
      </c>
      <c r="AW113" s="453">
        <v>0</v>
      </c>
      <c r="AX113" s="453">
        <v>0</v>
      </c>
      <c r="AY113" s="453">
        <v>0</v>
      </c>
      <c r="AZ113" s="453">
        <v>0</v>
      </c>
      <c r="BA113" s="453">
        <v>0</v>
      </c>
      <c r="BB113" s="453">
        <v>0</v>
      </c>
      <c r="BC113" s="453">
        <v>0</v>
      </c>
      <c r="BD113" s="453">
        <v>0</v>
      </c>
      <c r="BE113" s="105">
        <v>0</v>
      </c>
      <c r="BF113" s="453">
        <v>0</v>
      </c>
      <c r="BG113" s="453">
        <v>0</v>
      </c>
      <c r="BH113" s="105">
        <v>0</v>
      </c>
      <c r="BI113" s="453">
        <v>0</v>
      </c>
      <c r="BJ113" s="453">
        <v>0</v>
      </c>
      <c r="BK113" s="105">
        <v>0</v>
      </c>
      <c r="BL113" s="453">
        <v>0</v>
      </c>
      <c r="BM113" s="453">
        <v>0</v>
      </c>
      <c r="BN113" s="453">
        <v>0</v>
      </c>
      <c r="BO113" s="453">
        <v>0</v>
      </c>
      <c r="BP113" s="453">
        <v>0</v>
      </c>
      <c r="BQ113" s="453">
        <v>0</v>
      </c>
      <c r="BR113" s="14">
        <v>0</v>
      </c>
      <c r="BS113" s="14">
        <v>0</v>
      </c>
      <c r="BT113" s="377" t="str">
        <v/>
      </c>
      <c r="BU113" s="105" t="str">
        <v/>
      </c>
      <c r="BV113" s="453" t="str">
        <v/>
      </c>
      <c r="BW113" s="105" t="str">
        <f ca="1"/>
        <v/>
      </c>
    </row>
    <row r="114" spans="1:75" x14ac:dyDescent="0.3">
      <c r="A114" s="1">
        <v>0</v>
      </c>
      <c r="B114" s="106">
        <v>0</v>
      </c>
      <c r="C114" s="14">
        <v>0</v>
      </c>
      <c r="D114" s="14">
        <v>0</v>
      </c>
      <c r="E114" s="14">
        <v>0</v>
      </c>
      <c r="F114" s="453">
        <v>0</v>
      </c>
      <c r="G114" s="377">
        <v>0</v>
      </c>
      <c r="H114" s="453">
        <v>0</v>
      </c>
      <c r="I114" s="453">
        <v>0</v>
      </c>
      <c r="J114" s="453">
        <v>0</v>
      </c>
      <c r="K114" s="453">
        <v>0</v>
      </c>
      <c r="L114" s="453">
        <v>0</v>
      </c>
      <c r="M114" s="453">
        <v>0</v>
      </c>
      <c r="N114" s="453">
        <v>0</v>
      </c>
      <c r="O114" s="453">
        <v>0</v>
      </c>
      <c r="P114" s="14">
        <v>0</v>
      </c>
      <c r="Q114" s="14">
        <v>0</v>
      </c>
      <c r="R114" s="453">
        <v>0</v>
      </c>
      <c r="S114" s="453">
        <v>0</v>
      </c>
      <c r="T114" s="453">
        <v>0</v>
      </c>
      <c r="U114" s="453">
        <v>0</v>
      </c>
      <c r="V114" s="453">
        <v>0</v>
      </c>
      <c r="W114" s="453">
        <v>0</v>
      </c>
      <c r="X114" s="453">
        <v>0</v>
      </c>
      <c r="Y114" s="453">
        <v>0</v>
      </c>
      <c r="Z114" s="453">
        <v>0</v>
      </c>
      <c r="AA114" s="14">
        <v>0</v>
      </c>
      <c r="AB114" s="14">
        <v>0</v>
      </c>
      <c r="AC114" s="453">
        <v>0</v>
      </c>
      <c r="AD114" s="14">
        <v>0</v>
      </c>
      <c r="AE114" s="14">
        <v>0</v>
      </c>
      <c r="AF114" s="14">
        <v>0</v>
      </c>
      <c r="AG114" s="14">
        <v>0</v>
      </c>
      <c r="AH114" s="14">
        <v>0</v>
      </c>
      <c r="AI114" s="14">
        <v>0</v>
      </c>
      <c r="AJ114" s="14">
        <v>0</v>
      </c>
      <c r="AK114" s="14">
        <v>0</v>
      </c>
      <c r="AL114" s="14">
        <v>0</v>
      </c>
      <c r="AM114" s="453">
        <v>0</v>
      </c>
      <c r="AN114" s="453">
        <v>0</v>
      </c>
      <c r="AO114" s="453">
        <v>0</v>
      </c>
      <c r="AP114" s="453">
        <v>0</v>
      </c>
      <c r="AQ114" s="453">
        <v>0</v>
      </c>
      <c r="AR114" s="453">
        <v>0</v>
      </c>
      <c r="AS114" s="453">
        <v>0</v>
      </c>
      <c r="AT114" s="453">
        <v>0</v>
      </c>
      <c r="AU114" s="453">
        <v>0</v>
      </c>
      <c r="AV114" s="453">
        <v>0</v>
      </c>
      <c r="AW114" s="453">
        <v>0</v>
      </c>
      <c r="AX114" s="453">
        <v>0</v>
      </c>
      <c r="AY114" s="453">
        <v>0</v>
      </c>
      <c r="AZ114" s="453">
        <v>0</v>
      </c>
      <c r="BA114" s="453">
        <v>0</v>
      </c>
      <c r="BB114" s="453">
        <v>0</v>
      </c>
      <c r="BC114" s="453">
        <v>0</v>
      </c>
      <c r="BD114" s="453">
        <v>0</v>
      </c>
      <c r="BE114" s="105">
        <v>0</v>
      </c>
      <c r="BF114" s="453">
        <v>0</v>
      </c>
      <c r="BG114" s="453">
        <v>0</v>
      </c>
      <c r="BH114" s="105">
        <v>0</v>
      </c>
      <c r="BI114" s="453">
        <v>0</v>
      </c>
      <c r="BJ114" s="453">
        <v>0</v>
      </c>
      <c r="BK114" s="105">
        <v>0</v>
      </c>
      <c r="BL114" s="453">
        <v>0</v>
      </c>
      <c r="BM114" s="453">
        <v>0</v>
      </c>
      <c r="BN114" s="453">
        <v>0</v>
      </c>
      <c r="BO114" s="453">
        <v>0</v>
      </c>
      <c r="BP114" s="453">
        <v>0</v>
      </c>
      <c r="BQ114" s="453">
        <v>0</v>
      </c>
      <c r="BR114" s="14">
        <v>0</v>
      </c>
      <c r="BS114" s="14">
        <v>0</v>
      </c>
      <c r="BT114" s="377" t="str">
        <v/>
      </c>
      <c r="BU114" s="105" t="str">
        <v/>
      </c>
      <c r="BV114" s="453" t="str">
        <v/>
      </c>
      <c r="BW114" s="105" t="str">
        <f ca="1"/>
        <v/>
      </c>
    </row>
    <row r="115" spans="1:75" x14ac:dyDescent="0.3">
      <c r="A115" s="1">
        <v>0</v>
      </c>
      <c r="B115" s="106">
        <v>0</v>
      </c>
      <c r="C115" s="14">
        <v>0</v>
      </c>
      <c r="D115" s="14">
        <v>0</v>
      </c>
      <c r="E115" s="14">
        <v>0</v>
      </c>
      <c r="F115" s="453">
        <v>0</v>
      </c>
      <c r="G115" s="377">
        <v>0</v>
      </c>
      <c r="H115" s="453">
        <v>0</v>
      </c>
      <c r="I115" s="453">
        <v>0</v>
      </c>
      <c r="J115" s="453">
        <v>0</v>
      </c>
      <c r="K115" s="453">
        <v>0</v>
      </c>
      <c r="L115" s="453">
        <v>0</v>
      </c>
      <c r="M115" s="453">
        <v>0</v>
      </c>
      <c r="N115" s="453">
        <v>0</v>
      </c>
      <c r="O115" s="453">
        <v>0</v>
      </c>
      <c r="P115" s="14">
        <v>0</v>
      </c>
      <c r="Q115" s="14">
        <v>0</v>
      </c>
      <c r="R115" s="453">
        <v>0</v>
      </c>
      <c r="S115" s="453">
        <v>0</v>
      </c>
      <c r="T115" s="453">
        <v>0</v>
      </c>
      <c r="U115" s="453">
        <v>0</v>
      </c>
      <c r="V115" s="453">
        <v>0</v>
      </c>
      <c r="W115" s="453">
        <v>0</v>
      </c>
      <c r="X115" s="453">
        <v>0</v>
      </c>
      <c r="Y115" s="453">
        <v>0</v>
      </c>
      <c r="Z115" s="453">
        <v>0</v>
      </c>
      <c r="AA115" s="14">
        <v>0</v>
      </c>
      <c r="AB115" s="14">
        <v>0</v>
      </c>
      <c r="AC115" s="453">
        <v>0</v>
      </c>
      <c r="AD115" s="14">
        <v>0</v>
      </c>
      <c r="AE115" s="14">
        <v>0</v>
      </c>
      <c r="AF115" s="14">
        <v>0</v>
      </c>
      <c r="AG115" s="14">
        <v>0</v>
      </c>
      <c r="AH115" s="14">
        <v>0</v>
      </c>
      <c r="AI115" s="14">
        <v>0</v>
      </c>
      <c r="AJ115" s="14">
        <v>0</v>
      </c>
      <c r="AK115" s="14">
        <v>0</v>
      </c>
      <c r="AL115" s="14">
        <v>0</v>
      </c>
      <c r="AM115" s="453">
        <v>0</v>
      </c>
      <c r="AN115" s="453">
        <v>0</v>
      </c>
      <c r="AO115" s="453">
        <v>0</v>
      </c>
      <c r="AP115" s="453">
        <v>0</v>
      </c>
      <c r="AQ115" s="453">
        <v>0</v>
      </c>
      <c r="AR115" s="453">
        <v>0</v>
      </c>
      <c r="AS115" s="453">
        <v>0</v>
      </c>
      <c r="AT115" s="453">
        <v>0</v>
      </c>
      <c r="AU115" s="453">
        <v>0</v>
      </c>
      <c r="AV115" s="453">
        <v>0</v>
      </c>
      <c r="AW115" s="453">
        <v>0</v>
      </c>
      <c r="AX115" s="453">
        <v>0</v>
      </c>
      <c r="AY115" s="453">
        <v>0</v>
      </c>
      <c r="AZ115" s="453">
        <v>0</v>
      </c>
      <c r="BA115" s="453">
        <v>0</v>
      </c>
      <c r="BB115" s="453">
        <v>0</v>
      </c>
      <c r="BC115" s="453">
        <v>0</v>
      </c>
      <c r="BD115" s="453">
        <v>0</v>
      </c>
      <c r="BE115" s="105">
        <v>0</v>
      </c>
      <c r="BF115" s="453">
        <v>0</v>
      </c>
      <c r="BG115" s="453">
        <v>0</v>
      </c>
      <c r="BH115" s="105">
        <v>0</v>
      </c>
      <c r="BI115" s="453">
        <v>0</v>
      </c>
      <c r="BJ115" s="453">
        <v>0</v>
      </c>
      <c r="BK115" s="105">
        <v>0</v>
      </c>
      <c r="BL115" s="453">
        <v>0</v>
      </c>
      <c r="BM115" s="453">
        <v>0</v>
      </c>
      <c r="BN115" s="453">
        <v>0</v>
      </c>
      <c r="BO115" s="453">
        <v>0</v>
      </c>
      <c r="BP115" s="453">
        <v>0</v>
      </c>
      <c r="BQ115" s="453">
        <v>0</v>
      </c>
      <c r="BR115" s="14">
        <v>0</v>
      </c>
      <c r="BS115" s="14">
        <v>0</v>
      </c>
      <c r="BT115" s="377" t="str">
        <v/>
      </c>
      <c r="BU115" s="105" t="str">
        <v/>
      </c>
      <c r="BV115" s="453" t="str">
        <v/>
      </c>
      <c r="BW115" s="105" t="str">
        <f ca="1"/>
        <v/>
      </c>
    </row>
    <row r="116" spans="1:75" x14ac:dyDescent="0.3">
      <c r="A116" s="1">
        <v>0</v>
      </c>
      <c r="B116" s="106">
        <v>0</v>
      </c>
      <c r="C116" s="14">
        <v>0</v>
      </c>
      <c r="D116" s="14">
        <v>0</v>
      </c>
      <c r="E116" s="14">
        <v>0</v>
      </c>
      <c r="F116" s="453">
        <v>0</v>
      </c>
      <c r="G116" s="377">
        <v>0</v>
      </c>
      <c r="H116" s="453">
        <v>0</v>
      </c>
      <c r="I116" s="453">
        <v>0</v>
      </c>
      <c r="J116" s="453">
        <v>0</v>
      </c>
      <c r="K116" s="453">
        <v>0</v>
      </c>
      <c r="L116" s="453">
        <v>0</v>
      </c>
      <c r="M116" s="453">
        <v>0</v>
      </c>
      <c r="N116" s="453">
        <v>0</v>
      </c>
      <c r="O116" s="453">
        <v>0</v>
      </c>
      <c r="P116" s="14">
        <v>0</v>
      </c>
      <c r="Q116" s="14">
        <v>0</v>
      </c>
      <c r="R116" s="453">
        <v>0</v>
      </c>
      <c r="S116" s="453">
        <v>0</v>
      </c>
      <c r="T116" s="453">
        <v>0</v>
      </c>
      <c r="U116" s="453">
        <v>0</v>
      </c>
      <c r="V116" s="453">
        <v>0</v>
      </c>
      <c r="W116" s="453">
        <v>0</v>
      </c>
      <c r="X116" s="453">
        <v>0</v>
      </c>
      <c r="Y116" s="453">
        <v>0</v>
      </c>
      <c r="Z116" s="453">
        <v>0</v>
      </c>
      <c r="AA116" s="14">
        <v>0</v>
      </c>
      <c r="AB116" s="14">
        <v>0</v>
      </c>
      <c r="AC116" s="453">
        <v>0</v>
      </c>
      <c r="AD116" s="14">
        <v>0</v>
      </c>
      <c r="AE116" s="14">
        <v>0</v>
      </c>
      <c r="AF116" s="14">
        <v>0</v>
      </c>
      <c r="AG116" s="14">
        <v>0</v>
      </c>
      <c r="AH116" s="14">
        <v>0</v>
      </c>
      <c r="AI116" s="14">
        <v>0</v>
      </c>
      <c r="AJ116" s="14">
        <v>0</v>
      </c>
      <c r="AK116" s="14">
        <v>0</v>
      </c>
      <c r="AL116" s="14">
        <v>0</v>
      </c>
      <c r="AM116" s="453">
        <v>0</v>
      </c>
      <c r="AN116" s="453">
        <v>0</v>
      </c>
      <c r="AO116" s="453">
        <v>0</v>
      </c>
      <c r="AP116" s="453">
        <v>0</v>
      </c>
      <c r="AQ116" s="453">
        <v>0</v>
      </c>
      <c r="AR116" s="453">
        <v>0</v>
      </c>
      <c r="AS116" s="453">
        <v>0</v>
      </c>
      <c r="AT116" s="453">
        <v>0</v>
      </c>
      <c r="AU116" s="453">
        <v>0</v>
      </c>
      <c r="AV116" s="453">
        <v>0</v>
      </c>
      <c r="AW116" s="453">
        <v>0</v>
      </c>
      <c r="AX116" s="453">
        <v>0</v>
      </c>
      <c r="AY116" s="453">
        <v>0</v>
      </c>
      <c r="AZ116" s="453">
        <v>0</v>
      </c>
      <c r="BA116" s="453">
        <v>0</v>
      </c>
      <c r="BB116" s="453">
        <v>0</v>
      </c>
      <c r="BC116" s="453">
        <v>0</v>
      </c>
      <c r="BD116" s="453">
        <v>0</v>
      </c>
      <c r="BE116" s="105">
        <v>0</v>
      </c>
      <c r="BF116" s="453">
        <v>0</v>
      </c>
      <c r="BG116" s="453">
        <v>0</v>
      </c>
      <c r="BH116" s="105">
        <v>0</v>
      </c>
      <c r="BI116" s="453">
        <v>0</v>
      </c>
      <c r="BJ116" s="453">
        <v>0</v>
      </c>
      <c r="BK116" s="105">
        <v>0</v>
      </c>
      <c r="BL116" s="453">
        <v>0</v>
      </c>
      <c r="BM116" s="453">
        <v>0</v>
      </c>
      <c r="BN116" s="453">
        <v>0</v>
      </c>
      <c r="BO116" s="453">
        <v>0</v>
      </c>
      <c r="BP116" s="453">
        <v>0</v>
      </c>
      <c r="BQ116" s="453">
        <v>0</v>
      </c>
      <c r="BR116" s="14">
        <v>0</v>
      </c>
      <c r="BS116" s="14">
        <v>0</v>
      </c>
      <c r="BT116" s="377" t="str">
        <v/>
      </c>
      <c r="BU116" s="105" t="str">
        <v/>
      </c>
      <c r="BV116" s="453" t="str">
        <v/>
      </c>
      <c r="BW116" s="105" t="str">
        <f ca="1"/>
        <v/>
      </c>
    </row>
    <row r="117" spans="1:75" x14ac:dyDescent="0.3">
      <c r="A117" s="1">
        <v>0</v>
      </c>
      <c r="B117" s="106">
        <v>0</v>
      </c>
      <c r="C117" s="14">
        <v>0</v>
      </c>
      <c r="D117" s="14">
        <v>0</v>
      </c>
      <c r="E117" s="14">
        <v>0</v>
      </c>
      <c r="F117" s="453">
        <v>0</v>
      </c>
      <c r="G117" s="377">
        <v>0</v>
      </c>
      <c r="H117" s="453">
        <v>0</v>
      </c>
      <c r="I117" s="453">
        <v>0</v>
      </c>
      <c r="J117" s="453">
        <v>0</v>
      </c>
      <c r="K117" s="453">
        <v>0</v>
      </c>
      <c r="L117" s="453">
        <v>0</v>
      </c>
      <c r="M117" s="453">
        <v>0</v>
      </c>
      <c r="N117" s="453">
        <v>0</v>
      </c>
      <c r="O117" s="453">
        <v>0</v>
      </c>
      <c r="P117" s="14">
        <v>0</v>
      </c>
      <c r="Q117" s="14">
        <v>0</v>
      </c>
      <c r="R117" s="453">
        <v>0</v>
      </c>
      <c r="S117" s="453">
        <v>0</v>
      </c>
      <c r="T117" s="453">
        <v>0</v>
      </c>
      <c r="U117" s="453">
        <v>0</v>
      </c>
      <c r="V117" s="453">
        <v>0</v>
      </c>
      <c r="W117" s="453">
        <v>0</v>
      </c>
      <c r="X117" s="453">
        <v>0</v>
      </c>
      <c r="Y117" s="453">
        <v>0</v>
      </c>
      <c r="Z117" s="453">
        <v>0</v>
      </c>
      <c r="AA117" s="14">
        <v>0</v>
      </c>
      <c r="AB117" s="14">
        <v>0</v>
      </c>
      <c r="AC117" s="453">
        <v>0</v>
      </c>
      <c r="AD117" s="14">
        <v>0</v>
      </c>
      <c r="AE117" s="14">
        <v>0</v>
      </c>
      <c r="AF117" s="14">
        <v>0</v>
      </c>
      <c r="AG117" s="14">
        <v>0</v>
      </c>
      <c r="AH117" s="14">
        <v>0</v>
      </c>
      <c r="AI117" s="14">
        <v>0</v>
      </c>
      <c r="AJ117" s="14">
        <v>0</v>
      </c>
      <c r="AK117" s="14">
        <v>0</v>
      </c>
      <c r="AL117" s="14">
        <v>0</v>
      </c>
      <c r="AM117" s="453">
        <v>0</v>
      </c>
      <c r="AN117" s="453">
        <v>0</v>
      </c>
      <c r="AO117" s="453">
        <v>0</v>
      </c>
      <c r="AP117" s="453">
        <v>0</v>
      </c>
      <c r="AQ117" s="453">
        <v>0</v>
      </c>
      <c r="AR117" s="453">
        <v>0</v>
      </c>
      <c r="AS117" s="453">
        <v>0</v>
      </c>
      <c r="AT117" s="453">
        <v>0</v>
      </c>
      <c r="AU117" s="453">
        <v>0</v>
      </c>
      <c r="AV117" s="453">
        <v>0</v>
      </c>
      <c r="AW117" s="453">
        <v>0</v>
      </c>
      <c r="AX117" s="453">
        <v>0</v>
      </c>
      <c r="AY117" s="453">
        <v>0</v>
      </c>
      <c r="AZ117" s="453">
        <v>0</v>
      </c>
      <c r="BA117" s="453">
        <v>0</v>
      </c>
      <c r="BB117" s="453">
        <v>0</v>
      </c>
      <c r="BC117" s="453">
        <v>0</v>
      </c>
      <c r="BD117" s="453">
        <v>0</v>
      </c>
      <c r="BE117" s="105">
        <v>0</v>
      </c>
      <c r="BF117" s="453">
        <v>0</v>
      </c>
      <c r="BG117" s="453">
        <v>0</v>
      </c>
      <c r="BH117" s="105">
        <v>0</v>
      </c>
      <c r="BI117" s="453">
        <v>0</v>
      </c>
      <c r="BJ117" s="453">
        <v>0</v>
      </c>
      <c r="BK117" s="105">
        <v>0</v>
      </c>
      <c r="BL117" s="453">
        <v>0</v>
      </c>
      <c r="BM117" s="453">
        <v>0</v>
      </c>
      <c r="BN117" s="453">
        <v>0</v>
      </c>
      <c r="BO117" s="453">
        <v>0</v>
      </c>
      <c r="BP117" s="453">
        <v>0</v>
      </c>
      <c r="BQ117" s="453">
        <v>0</v>
      </c>
      <c r="BR117" s="14">
        <v>0</v>
      </c>
      <c r="BS117" s="14">
        <v>0</v>
      </c>
      <c r="BT117" s="377" t="str">
        <v/>
      </c>
      <c r="BU117" s="105" t="str">
        <v/>
      </c>
      <c r="BV117" s="453" t="str">
        <v/>
      </c>
      <c r="BW117" s="105" t="str">
        <f ca="1"/>
        <v/>
      </c>
    </row>
    <row r="118" spans="1:75" x14ac:dyDescent="0.3">
      <c r="A118" s="1">
        <v>0</v>
      </c>
      <c r="B118" s="106">
        <v>0</v>
      </c>
      <c r="C118" s="14">
        <v>0</v>
      </c>
      <c r="D118" s="14">
        <v>0</v>
      </c>
      <c r="E118" s="14">
        <v>0</v>
      </c>
      <c r="F118" s="453">
        <v>0</v>
      </c>
      <c r="G118" s="377">
        <v>0</v>
      </c>
      <c r="H118" s="453">
        <v>0</v>
      </c>
      <c r="I118" s="453">
        <v>0</v>
      </c>
      <c r="J118" s="453">
        <v>0</v>
      </c>
      <c r="K118" s="453">
        <v>0</v>
      </c>
      <c r="L118" s="453">
        <v>0</v>
      </c>
      <c r="M118" s="453">
        <v>0</v>
      </c>
      <c r="N118" s="453">
        <v>0</v>
      </c>
      <c r="O118" s="453">
        <v>0</v>
      </c>
      <c r="P118" s="14">
        <v>0</v>
      </c>
      <c r="Q118" s="14">
        <v>0</v>
      </c>
      <c r="R118" s="453">
        <v>0</v>
      </c>
      <c r="S118" s="453">
        <v>0</v>
      </c>
      <c r="T118" s="453">
        <v>0</v>
      </c>
      <c r="U118" s="453">
        <v>0</v>
      </c>
      <c r="V118" s="453">
        <v>0</v>
      </c>
      <c r="W118" s="453">
        <v>0</v>
      </c>
      <c r="X118" s="453">
        <v>0</v>
      </c>
      <c r="Y118" s="453">
        <v>0</v>
      </c>
      <c r="Z118" s="453">
        <v>0</v>
      </c>
      <c r="AA118" s="14">
        <v>0</v>
      </c>
      <c r="AB118" s="14">
        <v>0</v>
      </c>
      <c r="AC118" s="453">
        <v>0</v>
      </c>
      <c r="AD118" s="14">
        <v>0</v>
      </c>
      <c r="AE118" s="14">
        <v>0</v>
      </c>
      <c r="AF118" s="14">
        <v>0</v>
      </c>
      <c r="AG118" s="14">
        <v>0</v>
      </c>
      <c r="AH118" s="14">
        <v>0</v>
      </c>
      <c r="AI118" s="14">
        <v>0</v>
      </c>
      <c r="AJ118" s="14">
        <v>0</v>
      </c>
      <c r="AK118" s="14">
        <v>0</v>
      </c>
      <c r="AL118" s="14">
        <v>0</v>
      </c>
      <c r="AM118" s="453">
        <v>0</v>
      </c>
      <c r="AN118" s="453">
        <v>0</v>
      </c>
      <c r="AO118" s="453">
        <v>0</v>
      </c>
      <c r="AP118" s="453">
        <v>0</v>
      </c>
      <c r="AQ118" s="453">
        <v>0</v>
      </c>
      <c r="AR118" s="453">
        <v>0</v>
      </c>
      <c r="AS118" s="453">
        <v>0</v>
      </c>
      <c r="AT118" s="453">
        <v>0</v>
      </c>
      <c r="AU118" s="453">
        <v>0</v>
      </c>
      <c r="AV118" s="453">
        <v>0</v>
      </c>
      <c r="AW118" s="453">
        <v>0</v>
      </c>
      <c r="AX118" s="453">
        <v>0</v>
      </c>
      <c r="AY118" s="453">
        <v>0</v>
      </c>
      <c r="AZ118" s="453">
        <v>0</v>
      </c>
      <c r="BA118" s="453">
        <v>0</v>
      </c>
      <c r="BB118" s="453">
        <v>0</v>
      </c>
      <c r="BC118" s="453">
        <v>0</v>
      </c>
      <c r="BD118" s="453">
        <v>0</v>
      </c>
      <c r="BE118" s="105">
        <v>0</v>
      </c>
      <c r="BF118" s="453">
        <v>0</v>
      </c>
      <c r="BG118" s="453">
        <v>0</v>
      </c>
      <c r="BH118" s="105">
        <v>0</v>
      </c>
      <c r="BI118" s="453">
        <v>0</v>
      </c>
      <c r="BJ118" s="453">
        <v>0</v>
      </c>
      <c r="BK118" s="105">
        <v>0</v>
      </c>
      <c r="BL118" s="453">
        <v>0</v>
      </c>
      <c r="BM118" s="453">
        <v>0</v>
      </c>
      <c r="BN118" s="453">
        <v>0</v>
      </c>
      <c r="BO118" s="453">
        <v>0</v>
      </c>
      <c r="BP118" s="453">
        <v>0</v>
      </c>
      <c r="BQ118" s="453">
        <v>0</v>
      </c>
      <c r="BR118" s="14">
        <v>0</v>
      </c>
      <c r="BS118" s="14">
        <v>0</v>
      </c>
      <c r="BT118" s="377" t="str">
        <v/>
      </c>
      <c r="BU118" s="105" t="str">
        <v/>
      </c>
      <c r="BV118" s="453" t="str">
        <v/>
      </c>
      <c r="BW118" s="105" t="str">
        <f ca="1"/>
        <v/>
      </c>
    </row>
    <row r="119" spans="1:75" x14ac:dyDescent="0.3">
      <c r="A119" s="1">
        <v>0</v>
      </c>
      <c r="B119" s="106">
        <v>0</v>
      </c>
      <c r="C119" s="14">
        <v>0</v>
      </c>
      <c r="D119" s="14">
        <v>0</v>
      </c>
      <c r="E119" s="14">
        <v>0</v>
      </c>
      <c r="F119" s="453">
        <v>0</v>
      </c>
      <c r="G119" s="377">
        <v>0</v>
      </c>
      <c r="H119" s="453">
        <v>0</v>
      </c>
      <c r="I119" s="453">
        <v>0</v>
      </c>
      <c r="J119" s="453">
        <v>0</v>
      </c>
      <c r="K119" s="453">
        <v>0</v>
      </c>
      <c r="L119" s="453">
        <v>0</v>
      </c>
      <c r="M119" s="453">
        <v>0</v>
      </c>
      <c r="N119" s="453">
        <v>0</v>
      </c>
      <c r="O119" s="453">
        <v>0</v>
      </c>
      <c r="P119" s="14">
        <v>0</v>
      </c>
      <c r="Q119" s="14">
        <v>0</v>
      </c>
      <c r="R119" s="453">
        <v>0</v>
      </c>
      <c r="S119" s="453">
        <v>0</v>
      </c>
      <c r="T119" s="453">
        <v>0</v>
      </c>
      <c r="U119" s="453">
        <v>0</v>
      </c>
      <c r="V119" s="453">
        <v>0</v>
      </c>
      <c r="W119" s="453">
        <v>0</v>
      </c>
      <c r="X119" s="453">
        <v>0</v>
      </c>
      <c r="Y119" s="453">
        <v>0</v>
      </c>
      <c r="Z119" s="453">
        <v>0</v>
      </c>
      <c r="AA119" s="14">
        <v>0</v>
      </c>
      <c r="AB119" s="14">
        <v>0</v>
      </c>
      <c r="AC119" s="453">
        <v>0</v>
      </c>
      <c r="AD119" s="14">
        <v>0</v>
      </c>
      <c r="AE119" s="14">
        <v>0</v>
      </c>
      <c r="AF119" s="14">
        <v>0</v>
      </c>
      <c r="AG119" s="14">
        <v>0</v>
      </c>
      <c r="AH119" s="14">
        <v>0</v>
      </c>
      <c r="AI119" s="14">
        <v>0</v>
      </c>
      <c r="AJ119" s="14">
        <v>0</v>
      </c>
      <c r="AK119" s="14">
        <v>0</v>
      </c>
      <c r="AL119" s="14">
        <v>0</v>
      </c>
      <c r="AM119" s="453">
        <v>0</v>
      </c>
      <c r="AN119" s="453">
        <v>0</v>
      </c>
      <c r="AO119" s="453">
        <v>0</v>
      </c>
      <c r="AP119" s="453">
        <v>0</v>
      </c>
      <c r="AQ119" s="453">
        <v>0</v>
      </c>
      <c r="AR119" s="453">
        <v>0</v>
      </c>
      <c r="AS119" s="453">
        <v>0</v>
      </c>
      <c r="AT119" s="453">
        <v>0</v>
      </c>
      <c r="AU119" s="453">
        <v>0</v>
      </c>
      <c r="AV119" s="453">
        <v>0</v>
      </c>
      <c r="AW119" s="453">
        <v>0</v>
      </c>
      <c r="AX119" s="453">
        <v>0</v>
      </c>
      <c r="AY119" s="453">
        <v>0</v>
      </c>
      <c r="AZ119" s="453">
        <v>0</v>
      </c>
      <c r="BA119" s="453">
        <v>0</v>
      </c>
      <c r="BB119" s="453">
        <v>0</v>
      </c>
      <c r="BC119" s="453">
        <v>0</v>
      </c>
      <c r="BD119" s="453">
        <v>0</v>
      </c>
      <c r="BE119" s="105">
        <v>0</v>
      </c>
      <c r="BF119" s="453">
        <v>0</v>
      </c>
      <c r="BG119" s="453">
        <v>0</v>
      </c>
      <c r="BH119" s="105">
        <v>0</v>
      </c>
      <c r="BI119" s="453">
        <v>0</v>
      </c>
      <c r="BJ119" s="453">
        <v>0</v>
      </c>
      <c r="BK119" s="105">
        <v>0</v>
      </c>
      <c r="BL119" s="453">
        <v>0</v>
      </c>
      <c r="BM119" s="453">
        <v>0</v>
      </c>
      <c r="BN119" s="453">
        <v>0</v>
      </c>
      <c r="BO119" s="453">
        <v>0</v>
      </c>
      <c r="BP119" s="453">
        <v>0</v>
      </c>
      <c r="BQ119" s="453">
        <v>0</v>
      </c>
      <c r="BR119" s="14">
        <v>0</v>
      </c>
      <c r="BS119" s="14">
        <v>0</v>
      </c>
      <c r="BT119" s="377" t="str">
        <v/>
      </c>
      <c r="BU119" s="105" t="str">
        <v/>
      </c>
      <c r="BV119" s="453" t="str">
        <v/>
      </c>
      <c r="BW119" s="105" t="str">
        <f ca="1"/>
        <v/>
      </c>
    </row>
    <row r="120" spans="1:75" x14ac:dyDescent="0.3">
      <c r="A120" s="1">
        <v>0</v>
      </c>
      <c r="B120" s="106">
        <v>0</v>
      </c>
      <c r="C120" s="14">
        <v>0</v>
      </c>
      <c r="D120" s="14">
        <v>0</v>
      </c>
      <c r="E120" s="14">
        <v>0</v>
      </c>
      <c r="F120" s="453">
        <v>0</v>
      </c>
      <c r="G120" s="377">
        <v>0</v>
      </c>
      <c r="H120" s="453">
        <v>0</v>
      </c>
      <c r="I120" s="453">
        <v>0</v>
      </c>
      <c r="J120" s="453">
        <v>0</v>
      </c>
      <c r="K120" s="453">
        <v>0</v>
      </c>
      <c r="L120" s="453">
        <v>0</v>
      </c>
      <c r="M120" s="453">
        <v>0</v>
      </c>
      <c r="N120" s="453">
        <v>0</v>
      </c>
      <c r="O120" s="453">
        <v>0</v>
      </c>
      <c r="P120" s="14">
        <v>0</v>
      </c>
      <c r="Q120" s="14">
        <v>0</v>
      </c>
      <c r="R120" s="453">
        <v>0</v>
      </c>
      <c r="S120" s="453">
        <v>0</v>
      </c>
      <c r="T120" s="453">
        <v>0</v>
      </c>
      <c r="U120" s="453">
        <v>0</v>
      </c>
      <c r="V120" s="453">
        <v>0</v>
      </c>
      <c r="W120" s="453">
        <v>0</v>
      </c>
      <c r="X120" s="453">
        <v>0</v>
      </c>
      <c r="Y120" s="453">
        <v>0</v>
      </c>
      <c r="Z120" s="453">
        <v>0</v>
      </c>
      <c r="AA120" s="14">
        <v>0</v>
      </c>
      <c r="AB120" s="14">
        <v>0</v>
      </c>
      <c r="AC120" s="453">
        <v>0</v>
      </c>
      <c r="AD120" s="14">
        <v>0</v>
      </c>
      <c r="AE120" s="14">
        <v>0</v>
      </c>
      <c r="AF120" s="14">
        <v>0</v>
      </c>
      <c r="AG120" s="14">
        <v>0</v>
      </c>
      <c r="AH120" s="14">
        <v>0</v>
      </c>
      <c r="AI120" s="14">
        <v>0</v>
      </c>
      <c r="AJ120" s="14">
        <v>0</v>
      </c>
      <c r="AK120" s="14">
        <v>0</v>
      </c>
      <c r="AL120" s="14">
        <v>0</v>
      </c>
      <c r="AM120" s="453">
        <v>0</v>
      </c>
      <c r="AN120" s="453">
        <v>0</v>
      </c>
      <c r="AO120" s="453">
        <v>0</v>
      </c>
      <c r="AP120" s="453">
        <v>0</v>
      </c>
      <c r="AQ120" s="453">
        <v>0</v>
      </c>
      <c r="AR120" s="453">
        <v>0</v>
      </c>
      <c r="AS120" s="453">
        <v>0</v>
      </c>
      <c r="AT120" s="453">
        <v>0</v>
      </c>
      <c r="AU120" s="453">
        <v>0</v>
      </c>
      <c r="AV120" s="453">
        <v>0</v>
      </c>
      <c r="AW120" s="453">
        <v>0</v>
      </c>
      <c r="AX120" s="453">
        <v>0</v>
      </c>
      <c r="AY120" s="453">
        <v>0</v>
      </c>
      <c r="AZ120" s="453">
        <v>0</v>
      </c>
      <c r="BA120" s="453">
        <v>0</v>
      </c>
      <c r="BB120" s="453">
        <v>0</v>
      </c>
      <c r="BC120" s="453">
        <v>0</v>
      </c>
      <c r="BD120" s="453">
        <v>0</v>
      </c>
      <c r="BE120" s="105">
        <v>0</v>
      </c>
      <c r="BF120" s="453">
        <v>0</v>
      </c>
      <c r="BG120" s="453">
        <v>0</v>
      </c>
      <c r="BH120" s="105">
        <v>0</v>
      </c>
      <c r="BI120" s="453">
        <v>0</v>
      </c>
      <c r="BJ120" s="453">
        <v>0</v>
      </c>
      <c r="BK120" s="105">
        <v>0</v>
      </c>
      <c r="BL120" s="453">
        <v>0</v>
      </c>
      <c r="BM120" s="453">
        <v>0</v>
      </c>
      <c r="BN120" s="453">
        <v>0</v>
      </c>
      <c r="BO120" s="453">
        <v>0</v>
      </c>
      <c r="BP120" s="453">
        <v>0</v>
      </c>
      <c r="BQ120" s="453">
        <v>0</v>
      </c>
      <c r="BR120" s="14">
        <v>0</v>
      </c>
      <c r="BS120" s="14">
        <v>0</v>
      </c>
      <c r="BT120" s="377" t="str">
        <v/>
      </c>
      <c r="BU120" s="105" t="str">
        <v/>
      </c>
      <c r="BV120" s="453" t="str">
        <v/>
      </c>
      <c r="BW120" s="105" t="str">
        <f ca="1"/>
        <v/>
      </c>
    </row>
    <row r="121" spans="1:75" x14ac:dyDescent="0.3">
      <c r="A121" s="1">
        <v>0</v>
      </c>
      <c r="B121" s="106">
        <v>0</v>
      </c>
      <c r="C121" s="14">
        <v>0</v>
      </c>
      <c r="D121" s="14">
        <v>0</v>
      </c>
      <c r="E121" s="14">
        <v>0</v>
      </c>
      <c r="F121" s="453">
        <v>0</v>
      </c>
      <c r="G121" s="377">
        <v>0</v>
      </c>
      <c r="H121" s="453">
        <v>0</v>
      </c>
      <c r="I121" s="453">
        <v>0</v>
      </c>
      <c r="J121" s="453">
        <v>0</v>
      </c>
      <c r="K121" s="453">
        <v>0</v>
      </c>
      <c r="L121" s="453">
        <v>0</v>
      </c>
      <c r="M121" s="453">
        <v>0</v>
      </c>
      <c r="N121" s="453">
        <v>0</v>
      </c>
      <c r="O121" s="453">
        <v>0</v>
      </c>
      <c r="P121" s="14">
        <v>0</v>
      </c>
      <c r="Q121" s="14">
        <v>0</v>
      </c>
      <c r="R121" s="453">
        <v>0</v>
      </c>
      <c r="S121" s="453">
        <v>0</v>
      </c>
      <c r="T121" s="453">
        <v>0</v>
      </c>
      <c r="U121" s="453">
        <v>0</v>
      </c>
      <c r="V121" s="453">
        <v>0</v>
      </c>
      <c r="W121" s="453">
        <v>0</v>
      </c>
      <c r="X121" s="453">
        <v>0</v>
      </c>
      <c r="Y121" s="453">
        <v>0</v>
      </c>
      <c r="Z121" s="453">
        <v>0</v>
      </c>
      <c r="AA121" s="14">
        <v>0</v>
      </c>
      <c r="AB121" s="14">
        <v>0</v>
      </c>
      <c r="AC121" s="453">
        <v>0</v>
      </c>
      <c r="AD121" s="14">
        <v>0</v>
      </c>
      <c r="AE121" s="14">
        <v>0</v>
      </c>
      <c r="AF121" s="14">
        <v>0</v>
      </c>
      <c r="AG121" s="14">
        <v>0</v>
      </c>
      <c r="AH121" s="14">
        <v>0</v>
      </c>
      <c r="AI121" s="14">
        <v>0</v>
      </c>
      <c r="AJ121" s="14">
        <v>0</v>
      </c>
      <c r="AK121" s="14">
        <v>0</v>
      </c>
      <c r="AL121" s="14">
        <v>0</v>
      </c>
      <c r="AM121" s="453">
        <v>0</v>
      </c>
      <c r="AN121" s="453">
        <v>0</v>
      </c>
      <c r="AO121" s="453">
        <v>0</v>
      </c>
      <c r="AP121" s="453">
        <v>0</v>
      </c>
      <c r="AQ121" s="453">
        <v>0</v>
      </c>
      <c r="AR121" s="453">
        <v>0</v>
      </c>
      <c r="AS121" s="453">
        <v>0</v>
      </c>
      <c r="AT121" s="453">
        <v>0</v>
      </c>
      <c r="AU121" s="453">
        <v>0</v>
      </c>
      <c r="AV121" s="453">
        <v>0</v>
      </c>
      <c r="AW121" s="453">
        <v>0</v>
      </c>
      <c r="AX121" s="453">
        <v>0</v>
      </c>
      <c r="AY121" s="453">
        <v>0</v>
      </c>
      <c r="AZ121" s="453">
        <v>0</v>
      </c>
      <c r="BA121" s="453">
        <v>0</v>
      </c>
      <c r="BB121" s="453">
        <v>0</v>
      </c>
      <c r="BC121" s="453">
        <v>0</v>
      </c>
      <c r="BD121" s="453">
        <v>0</v>
      </c>
      <c r="BE121" s="105">
        <v>0</v>
      </c>
      <c r="BF121" s="453">
        <v>0</v>
      </c>
      <c r="BG121" s="453">
        <v>0</v>
      </c>
      <c r="BH121" s="105">
        <v>0</v>
      </c>
      <c r="BI121" s="453">
        <v>0</v>
      </c>
      <c r="BJ121" s="453">
        <v>0</v>
      </c>
      <c r="BK121" s="105">
        <v>0</v>
      </c>
      <c r="BL121" s="453">
        <v>0</v>
      </c>
      <c r="BM121" s="453">
        <v>0</v>
      </c>
      <c r="BN121" s="453">
        <v>0</v>
      </c>
      <c r="BO121" s="453">
        <v>0</v>
      </c>
      <c r="BP121" s="453">
        <v>0</v>
      </c>
      <c r="BQ121" s="453">
        <v>0</v>
      </c>
      <c r="BR121" s="14">
        <v>0</v>
      </c>
      <c r="BS121" s="14">
        <v>0</v>
      </c>
      <c r="BT121" s="377" t="str">
        <v/>
      </c>
      <c r="BU121" s="105" t="str">
        <v/>
      </c>
      <c r="BV121" s="453" t="str">
        <v/>
      </c>
      <c r="BW121" s="105" t="str">
        <f ca="1"/>
        <v/>
      </c>
    </row>
    <row r="122" spans="1:75" x14ac:dyDescent="0.3">
      <c r="A122" s="1">
        <v>0</v>
      </c>
      <c r="B122" s="106">
        <v>0</v>
      </c>
      <c r="C122" s="14">
        <v>0</v>
      </c>
      <c r="D122" s="14">
        <v>0</v>
      </c>
      <c r="E122" s="14">
        <v>0</v>
      </c>
      <c r="F122" s="453">
        <v>0</v>
      </c>
      <c r="G122" s="377">
        <v>0</v>
      </c>
      <c r="H122" s="453">
        <v>0</v>
      </c>
      <c r="I122" s="453">
        <v>0</v>
      </c>
      <c r="J122" s="453">
        <v>0</v>
      </c>
      <c r="K122" s="453">
        <v>0</v>
      </c>
      <c r="L122" s="453">
        <v>0</v>
      </c>
      <c r="M122" s="453">
        <v>0</v>
      </c>
      <c r="N122" s="453">
        <v>0</v>
      </c>
      <c r="O122" s="453">
        <v>0</v>
      </c>
      <c r="P122" s="14">
        <v>0</v>
      </c>
      <c r="Q122" s="14">
        <v>0</v>
      </c>
      <c r="R122" s="453">
        <v>0</v>
      </c>
      <c r="S122" s="453">
        <v>0</v>
      </c>
      <c r="T122" s="453">
        <v>0</v>
      </c>
      <c r="U122" s="453">
        <v>0</v>
      </c>
      <c r="V122" s="453">
        <v>0</v>
      </c>
      <c r="W122" s="453">
        <v>0</v>
      </c>
      <c r="X122" s="453">
        <v>0</v>
      </c>
      <c r="Y122" s="453">
        <v>0</v>
      </c>
      <c r="Z122" s="453">
        <v>0</v>
      </c>
      <c r="AA122" s="14">
        <v>0</v>
      </c>
      <c r="AB122" s="14">
        <v>0</v>
      </c>
      <c r="AC122" s="453">
        <v>0</v>
      </c>
      <c r="AD122" s="14">
        <v>0</v>
      </c>
      <c r="AE122" s="14">
        <v>0</v>
      </c>
      <c r="AF122" s="14">
        <v>0</v>
      </c>
      <c r="AG122" s="14">
        <v>0</v>
      </c>
      <c r="AH122" s="14">
        <v>0</v>
      </c>
      <c r="AI122" s="14">
        <v>0</v>
      </c>
      <c r="AJ122" s="14">
        <v>0</v>
      </c>
      <c r="AK122" s="14">
        <v>0</v>
      </c>
      <c r="AL122" s="14">
        <v>0</v>
      </c>
      <c r="AM122" s="453">
        <v>0</v>
      </c>
      <c r="AN122" s="453">
        <v>0</v>
      </c>
      <c r="AO122" s="453">
        <v>0</v>
      </c>
      <c r="AP122" s="453">
        <v>0</v>
      </c>
      <c r="AQ122" s="453">
        <v>0</v>
      </c>
      <c r="AR122" s="453">
        <v>0</v>
      </c>
      <c r="AS122" s="453">
        <v>0</v>
      </c>
      <c r="AT122" s="453">
        <v>0</v>
      </c>
      <c r="AU122" s="453">
        <v>0</v>
      </c>
      <c r="AV122" s="453">
        <v>0</v>
      </c>
      <c r="AW122" s="453">
        <v>0</v>
      </c>
      <c r="AX122" s="453">
        <v>0</v>
      </c>
      <c r="AY122" s="453">
        <v>0</v>
      </c>
      <c r="AZ122" s="453">
        <v>0</v>
      </c>
      <c r="BA122" s="453">
        <v>0</v>
      </c>
      <c r="BB122" s="453">
        <v>0</v>
      </c>
      <c r="BC122" s="453">
        <v>0</v>
      </c>
      <c r="BD122" s="453">
        <v>0</v>
      </c>
      <c r="BE122" s="105">
        <v>0</v>
      </c>
      <c r="BF122" s="453">
        <v>0</v>
      </c>
      <c r="BG122" s="453">
        <v>0</v>
      </c>
      <c r="BH122" s="105">
        <v>0</v>
      </c>
      <c r="BI122" s="453">
        <v>0</v>
      </c>
      <c r="BJ122" s="453">
        <v>0</v>
      </c>
      <c r="BK122" s="105">
        <v>0</v>
      </c>
      <c r="BL122" s="453">
        <v>0</v>
      </c>
      <c r="BM122" s="453">
        <v>0</v>
      </c>
      <c r="BN122" s="453">
        <v>0</v>
      </c>
      <c r="BO122" s="453">
        <v>0</v>
      </c>
      <c r="BP122" s="453">
        <v>0</v>
      </c>
      <c r="BQ122" s="453">
        <v>0</v>
      </c>
      <c r="BR122" s="14">
        <v>0</v>
      </c>
      <c r="BS122" s="14">
        <v>0</v>
      </c>
      <c r="BT122" s="377" t="str">
        <v/>
      </c>
      <c r="BU122" s="105" t="str">
        <v/>
      </c>
      <c r="BV122" s="453" t="str">
        <v/>
      </c>
      <c r="BW122" s="105" t="str">
        <f ca="1"/>
        <v/>
      </c>
    </row>
    <row r="123" spans="1:75" x14ac:dyDescent="0.3">
      <c r="A123" s="1">
        <v>0</v>
      </c>
      <c r="B123" s="106">
        <v>0</v>
      </c>
      <c r="C123" s="14">
        <v>0</v>
      </c>
      <c r="D123" s="14">
        <v>0</v>
      </c>
      <c r="E123" s="14">
        <v>0</v>
      </c>
      <c r="F123" s="453">
        <v>0</v>
      </c>
      <c r="G123" s="377">
        <v>0</v>
      </c>
      <c r="H123" s="453">
        <v>0</v>
      </c>
      <c r="I123" s="453">
        <v>0</v>
      </c>
      <c r="J123" s="453">
        <v>0</v>
      </c>
      <c r="K123" s="453">
        <v>0</v>
      </c>
      <c r="L123" s="453">
        <v>0</v>
      </c>
      <c r="M123" s="453">
        <v>0</v>
      </c>
      <c r="N123" s="453">
        <v>0</v>
      </c>
      <c r="O123" s="453">
        <v>0</v>
      </c>
      <c r="P123" s="14">
        <v>0</v>
      </c>
      <c r="Q123" s="14">
        <v>0</v>
      </c>
      <c r="R123" s="453">
        <v>0</v>
      </c>
      <c r="S123" s="453">
        <v>0</v>
      </c>
      <c r="T123" s="453">
        <v>0</v>
      </c>
      <c r="U123" s="453">
        <v>0</v>
      </c>
      <c r="V123" s="453">
        <v>0</v>
      </c>
      <c r="W123" s="453">
        <v>0</v>
      </c>
      <c r="X123" s="453">
        <v>0</v>
      </c>
      <c r="Y123" s="453">
        <v>0</v>
      </c>
      <c r="Z123" s="453">
        <v>0</v>
      </c>
      <c r="AA123" s="14">
        <v>0</v>
      </c>
      <c r="AB123" s="14">
        <v>0</v>
      </c>
      <c r="AC123" s="453">
        <v>0</v>
      </c>
      <c r="AD123" s="14">
        <v>0</v>
      </c>
      <c r="AE123" s="14">
        <v>0</v>
      </c>
      <c r="AF123" s="14">
        <v>0</v>
      </c>
      <c r="AG123" s="14">
        <v>0</v>
      </c>
      <c r="AH123" s="14">
        <v>0</v>
      </c>
      <c r="AI123" s="14">
        <v>0</v>
      </c>
      <c r="AJ123" s="14">
        <v>0</v>
      </c>
      <c r="AK123" s="14">
        <v>0</v>
      </c>
      <c r="AL123" s="14">
        <v>0</v>
      </c>
      <c r="AM123" s="453">
        <v>0</v>
      </c>
      <c r="AN123" s="453">
        <v>0</v>
      </c>
      <c r="AO123" s="453">
        <v>0</v>
      </c>
      <c r="AP123" s="453">
        <v>0</v>
      </c>
      <c r="AQ123" s="453">
        <v>0</v>
      </c>
      <c r="AR123" s="453">
        <v>0</v>
      </c>
      <c r="AS123" s="453">
        <v>0</v>
      </c>
      <c r="AT123" s="453">
        <v>0</v>
      </c>
      <c r="AU123" s="453">
        <v>0</v>
      </c>
      <c r="AV123" s="453">
        <v>0</v>
      </c>
      <c r="AW123" s="453">
        <v>0</v>
      </c>
      <c r="AX123" s="453">
        <v>0</v>
      </c>
      <c r="AY123" s="453">
        <v>0</v>
      </c>
      <c r="AZ123" s="453">
        <v>0</v>
      </c>
      <c r="BA123" s="453">
        <v>0</v>
      </c>
      <c r="BB123" s="453">
        <v>0</v>
      </c>
      <c r="BC123" s="453">
        <v>0</v>
      </c>
      <c r="BD123" s="453">
        <v>0</v>
      </c>
      <c r="BE123" s="105">
        <v>0</v>
      </c>
      <c r="BF123" s="453">
        <v>0</v>
      </c>
      <c r="BG123" s="453">
        <v>0</v>
      </c>
      <c r="BH123" s="105">
        <v>0</v>
      </c>
      <c r="BI123" s="453">
        <v>0</v>
      </c>
      <c r="BJ123" s="453">
        <v>0</v>
      </c>
      <c r="BK123" s="105">
        <v>0</v>
      </c>
      <c r="BL123" s="453">
        <v>0</v>
      </c>
      <c r="BM123" s="453">
        <v>0</v>
      </c>
      <c r="BN123" s="453">
        <v>0</v>
      </c>
      <c r="BO123" s="453">
        <v>0</v>
      </c>
      <c r="BP123" s="453">
        <v>0</v>
      </c>
      <c r="BQ123" s="453">
        <v>0</v>
      </c>
      <c r="BR123" s="14">
        <v>0</v>
      </c>
      <c r="BS123" s="14">
        <v>0</v>
      </c>
      <c r="BT123" s="377" t="str">
        <v/>
      </c>
      <c r="BU123" s="105" t="str">
        <v/>
      </c>
      <c r="BV123" s="453" t="str">
        <v/>
      </c>
      <c r="BW123" s="105" t="str">
        <f ca="1"/>
        <v/>
      </c>
    </row>
    <row r="124" spans="1:75" x14ac:dyDescent="0.3">
      <c r="A124" s="1">
        <v>0</v>
      </c>
      <c r="B124" s="106">
        <v>0</v>
      </c>
      <c r="C124" s="14">
        <v>0</v>
      </c>
      <c r="D124" s="14">
        <v>0</v>
      </c>
      <c r="E124" s="14">
        <v>0</v>
      </c>
      <c r="F124" s="453">
        <v>0</v>
      </c>
      <c r="G124" s="377">
        <v>0</v>
      </c>
      <c r="H124" s="453">
        <v>0</v>
      </c>
      <c r="I124" s="453">
        <v>0</v>
      </c>
      <c r="J124" s="453">
        <v>0</v>
      </c>
      <c r="K124" s="453">
        <v>0</v>
      </c>
      <c r="L124" s="453">
        <v>0</v>
      </c>
      <c r="M124" s="453">
        <v>0</v>
      </c>
      <c r="N124" s="453">
        <v>0</v>
      </c>
      <c r="O124" s="453">
        <v>0</v>
      </c>
      <c r="P124" s="14">
        <v>0</v>
      </c>
      <c r="Q124" s="14">
        <v>0</v>
      </c>
      <c r="R124" s="453">
        <v>0</v>
      </c>
      <c r="S124" s="453">
        <v>0</v>
      </c>
      <c r="T124" s="453">
        <v>0</v>
      </c>
      <c r="U124" s="453">
        <v>0</v>
      </c>
      <c r="V124" s="453">
        <v>0</v>
      </c>
      <c r="W124" s="453">
        <v>0</v>
      </c>
      <c r="X124" s="453">
        <v>0</v>
      </c>
      <c r="Y124" s="453">
        <v>0</v>
      </c>
      <c r="Z124" s="453">
        <v>0</v>
      </c>
      <c r="AA124" s="14">
        <v>0</v>
      </c>
      <c r="AB124" s="14">
        <v>0</v>
      </c>
      <c r="AC124" s="453">
        <v>0</v>
      </c>
      <c r="AD124" s="14">
        <v>0</v>
      </c>
      <c r="AE124" s="14">
        <v>0</v>
      </c>
      <c r="AF124" s="14">
        <v>0</v>
      </c>
      <c r="AG124" s="14">
        <v>0</v>
      </c>
      <c r="AH124" s="14">
        <v>0</v>
      </c>
      <c r="AI124" s="14">
        <v>0</v>
      </c>
      <c r="AJ124" s="14">
        <v>0</v>
      </c>
      <c r="AK124" s="14">
        <v>0</v>
      </c>
      <c r="AL124" s="14">
        <v>0</v>
      </c>
      <c r="AM124" s="453">
        <v>0</v>
      </c>
      <c r="AN124" s="453">
        <v>0</v>
      </c>
      <c r="AO124" s="453">
        <v>0</v>
      </c>
      <c r="AP124" s="453">
        <v>0</v>
      </c>
      <c r="AQ124" s="453">
        <v>0</v>
      </c>
      <c r="AR124" s="453">
        <v>0</v>
      </c>
      <c r="AS124" s="453">
        <v>0</v>
      </c>
      <c r="AT124" s="453">
        <v>0</v>
      </c>
      <c r="AU124" s="453">
        <v>0</v>
      </c>
      <c r="AV124" s="453">
        <v>0</v>
      </c>
      <c r="AW124" s="453">
        <v>0</v>
      </c>
      <c r="AX124" s="453">
        <v>0</v>
      </c>
      <c r="AY124" s="453">
        <v>0</v>
      </c>
      <c r="AZ124" s="453">
        <v>0</v>
      </c>
      <c r="BA124" s="453">
        <v>0</v>
      </c>
      <c r="BB124" s="453">
        <v>0</v>
      </c>
      <c r="BC124" s="453">
        <v>0</v>
      </c>
      <c r="BD124" s="453">
        <v>0</v>
      </c>
      <c r="BE124" s="105">
        <v>0</v>
      </c>
      <c r="BF124" s="453">
        <v>0</v>
      </c>
      <c r="BG124" s="453">
        <v>0</v>
      </c>
      <c r="BH124" s="105">
        <v>0</v>
      </c>
      <c r="BI124" s="453">
        <v>0</v>
      </c>
      <c r="BJ124" s="453">
        <v>0</v>
      </c>
      <c r="BK124" s="105">
        <v>0</v>
      </c>
      <c r="BL124" s="453">
        <v>0</v>
      </c>
      <c r="BM124" s="453">
        <v>0</v>
      </c>
      <c r="BN124" s="453">
        <v>0</v>
      </c>
      <c r="BO124" s="453">
        <v>0</v>
      </c>
      <c r="BP124" s="453">
        <v>0</v>
      </c>
      <c r="BQ124" s="453">
        <v>0</v>
      </c>
      <c r="BR124" s="14">
        <v>0</v>
      </c>
      <c r="BS124" s="14">
        <v>0</v>
      </c>
      <c r="BT124" s="377" t="str">
        <v/>
      </c>
      <c r="BU124" s="105" t="str">
        <v/>
      </c>
      <c r="BV124" s="453" t="str">
        <v/>
      </c>
      <c r="BW124" s="105" t="str">
        <f ca="1"/>
        <v/>
      </c>
    </row>
    <row r="125" spans="1:75" x14ac:dyDescent="0.3">
      <c r="A125" s="1">
        <v>0</v>
      </c>
      <c r="B125" s="106">
        <v>0</v>
      </c>
      <c r="C125" s="14">
        <v>0</v>
      </c>
      <c r="D125" s="14">
        <v>0</v>
      </c>
      <c r="E125" s="14">
        <v>0</v>
      </c>
      <c r="F125" s="453">
        <v>0</v>
      </c>
      <c r="G125" s="377">
        <v>0</v>
      </c>
      <c r="H125" s="453">
        <v>0</v>
      </c>
      <c r="I125" s="453">
        <v>0</v>
      </c>
      <c r="J125" s="453">
        <v>0</v>
      </c>
      <c r="K125" s="453">
        <v>0</v>
      </c>
      <c r="L125" s="453">
        <v>0</v>
      </c>
      <c r="M125" s="453">
        <v>0</v>
      </c>
      <c r="N125" s="453">
        <v>0</v>
      </c>
      <c r="O125" s="453">
        <v>0</v>
      </c>
      <c r="P125" s="14">
        <v>0</v>
      </c>
      <c r="Q125" s="14">
        <v>0</v>
      </c>
      <c r="R125" s="453">
        <v>0</v>
      </c>
      <c r="S125" s="453">
        <v>0</v>
      </c>
      <c r="T125" s="453">
        <v>0</v>
      </c>
      <c r="U125" s="453">
        <v>0</v>
      </c>
      <c r="V125" s="453">
        <v>0</v>
      </c>
      <c r="W125" s="453">
        <v>0</v>
      </c>
      <c r="X125" s="453">
        <v>0</v>
      </c>
      <c r="Y125" s="453">
        <v>0</v>
      </c>
      <c r="Z125" s="453">
        <v>0</v>
      </c>
      <c r="AA125" s="14">
        <v>0</v>
      </c>
      <c r="AB125" s="14">
        <v>0</v>
      </c>
      <c r="AC125" s="453">
        <v>0</v>
      </c>
      <c r="AD125" s="14">
        <v>0</v>
      </c>
      <c r="AE125" s="14">
        <v>0</v>
      </c>
      <c r="AF125" s="14">
        <v>0</v>
      </c>
      <c r="AG125" s="14">
        <v>0</v>
      </c>
      <c r="AH125" s="14">
        <v>0</v>
      </c>
      <c r="AI125" s="14">
        <v>0</v>
      </c>
      <c r="AJ125" s="14">
        <v>0</v>
      </c>
      <c r="AK125" s="14">
        <v>0</v>
      </c>
      <c r="AL125" s="14">
        <v>0</v>
      </c>
      <c r="AM125" s="453">
        <v>0</v>
      </c>
      <c r="AN125" s="453">
        <v>0</v>
      </c>
      <c r="AO125" s="453">
        <v>0</v>
      </c>
      <c r="AP125" s="453">
        <v>0</v>
      </c>
      <c r="AQ125" s="453">
        <v>0</v>
      </c>
      <c r="AR125" s="453">
        <v>0</v>
      </c>
      <c r="AS125" s="453">
        <v>0</v>
      </c>
      <c r="AT125" s="453">
        <v>0</v>
      </c>
      <c r="AU125" s="453">
        <v>0</v>
      </c>
      <c r="AV125" s="453">
        <v>0</v>
      </c>
      <c r="AW125" s="453">
        <v>0</v>
      </c>
      <c r="AX125" s="453">
        <v>0</v>
      </c>
      <c r="AY125" s="453">
        <v>0</v>
      </c>
      <c r="AZ125" s="453">
        <v>0</v>
      </c>
      <c r="BA125" s="453">
        <v>0</v>
      </c>
      <c r="BB125" s="453">
        <v>0</v>
      </c>
      <c r="BC125" s="453">
        <v>0</v>
      </c>
      <c r="BD125" s="453">
        <v>0</v>
      </c>
      <c r="BE125" s="105">
        <v>0</v>
      </c>
      <c r="BF125" s="453">
        <v>0</v>
      </c>
      <c r="BG125" s="453">
        <v>0</v>
      </c>
      <c r="BH125" s="105">
        <v>0</v>
      </c>
      <c r="BI125" s="453">
        <v>0</v>
      </c>
      <c r="BJ125" s="453">
        <v>0</v>
      </c>
      <c r="BK125" s="105">
        <v>0</v>
      </c>
      <c r="BL125" s="453">
        <v>0</v>
      </c>
      <c r="BM125" s="453">
        <v>0</v>
      </c>
      <c r="BN125" s="453">
        <v>0</v>
      </c>
      <c r="BO125" s="453">
        <v>0</v>
      </c>
      <c r="BP125" s="453">
        <v>0</v>
      </c>
      <c r="BQ125" s="453">
        <v>0</v>
      </c>
      <c r="BR125" s="14">
        <v>0</v>
      </c>
      <c r="BS125" s="14">
        <v>0</v>
      </c>
      <c r="BT125" s="377" t="str">
        <v/>
      </c>
      <c r="BU125" s="105" t="str">
        <v/>
      </c>
      <c r="BV125" s="453" t="str">
        <v/>
      </c>
      <c r="BW125" s="105" t="str">
        <f ca="1"/>
        <v/>
      </c>
    </row>
    <row r="126" spans="1:75" x14ac:dyDescent="0.3">
      <c r="A126" s="1">
        <v>0</v>
      </c>
      <c r="B126" s="106">
        <v>0</v>
      </c>
      <c r="C126" s="14">
        <v>0</v>
      </c>
      <c r="D126" s="14">
        <v>0</v>
      </c>
      <c r="E126" s="14">
        <v>0</v>
      </c>
      <c r="F126" s="453">
        <v>0</v>
      </c>
      <c r="G126" s="377">
        <v>0</v>
      </c>
      <c r="H126" s="453">
        <v>0</v>
      </c>
      <c r="I126" s="453">
        <v>0</v>
      </c>
      <c r="J126" s="453">
        <v>0</v>
      </c>
      <c r="K126" s="453">
        <v>0</v>
      </c>
      <c r="L126" s="453">
        <v>0</v>
      </c>
      <c r="M126" s="453">
        <v>0</v>
      </c>
      <c r="N126" s="453">
        <v>0</v>
      </c>
      <c r="O126" s="453">
        <v>0</v>
      </c>
      <c r="P126" s="14">
        <v>0</v>
      </c>
      <c r="Q126" s="14">
        <v>0</v>
      </c>
      <c r="R126" s="453">
        <v>0</v>
      </c>
      <c r="S126" s="453">
        <v>0</v>
      </c>
      <c r="T126" s="453">
        <v>0</v>
      </c>
      <c r="U126" s="453">
        <v>0</v>
      </c>
      <c r="V126" s="453">
        <v>0</v>
      </c>
      <c r="W126" s="453">
        <v>0</v>
      </c>
      <c r="X126" s="453">
        <v>0</v>
      </c>
      <c r="Y126" s="453">
        <v>0</v>
      </c>
      <c r="Z126" s="453">
        <v>0</v>
      </c>
      <c r="AA126" s="14">
        <v>0</v>
      </c>
      <c r="AB126" s="14">
        <v>0</v>
      </c>
      <c r="AC126" s="453">
        <v>0</v>
      </c>
      <c r="AD126" s="14">
        <v>0</v>
      </c>
      <c r="AE126" s="14">
        <v>0</v>
      </c>
      <c r="AF126" s="14">
        <v>0</v>
      </c>
      <c r="AG126" s="14">
        <v>0</v>
      </c>
      <c r="AH126" s="14">
        <v>0</v>
      </c>
      <c r="AI126" s="14">
        <v>0</v>
      </c>
      <c r="AJ126" s="14">
        <v>0</v>
      </c>
      <c r="AK126" s="14">
        <v>0</v>
      </c>
      <c r="AL126" s="14">
        <v>0</v>
      </c>
      <c r="AM126" s="453">
        <v>0</v>
      </c>
      <c r="AN126" s="453">
        <v>0</v>
      </c>
      <c r="AO126" s="453">
        <v>0</v>
      </c>
      <c r="AP126" s="453">
        <v>0</v>
      </c>
      <c r="AQ126" s="453">
        <v>0</v>
      </c>
      <c r="AR126" s="453">
        <v>0</v>
      </c>
      <c r="AS126" s="453">
        <v>0</v>
      </c>
      <c r="AT126" s="453">
        <v>0</v>
      </c>
      <c r="AU126" s="453">
        <v>0</v>
      </c>
      <c r="AV126" s="453">
        <v>0</v>
      </c>
      <c r="AW126" s="453">
        <v>0</v>
      </c>
      <c r="AX126" s="453">
        <v>0</v>
      </c>
      <c r="AY126" s="453">
        <v>0</v>
      </c>
      <c r="AZ126" s="453">
        <v>0</v>
      </c>
      <c r="BA126" s="453">
        <v>0</v>
      </c>
      <c r="BB126" s="453">
        <v>0</v>
      </c>
      <c r="BC126" s="453">
        <v>0</v>
      </c>
      <c r="BD126" s="453">
        <v>0</v>
      </c>
      <c r="BE126" s="105">
        <v>0</v>
      </c>
      <c r="BF126" s="453">
        <v>0</v>
      </c>
      <c r="BG126" s="453">
        <v>0</v>
      </c>
      <c r="BH126" s="105">
        <v>0</v>
      </c>
      <c r="BI126" s="453">
        <v>0</v>
      </c>
      <c r="BJ126" s="453">
        <v>0</v>
      </c>
      <c r="BK126" s="105">
        <v>0</v>
      </c>
      <c r="BL126" s="453">
        <v>0</v>
      </c>
      <c r="BM126" s="453">
        <v>0</v>
      </c>
      <c r="BN126" s="453">
        <v>0</v>
      </c>
      <c r="BO126" s="453">
        <v>0</v>
      </c>
      <c r="BP126" s="453">
        <v>0</v>
      </c>
      <c r="BQ126" s="453">
        <v>0</v>
      </c>
      <c r="BR126" s="14">
        <v>0</v>
      </c>
      <c r="BS126" s="14">
        <v>0</v>
      </c>
      <c r="BT126" s="377" t="str">
        <v/>
      </c>
      <c r="BU126" s="105" t="str">
        <v/>
      </c>
      <c r="BV126" s="453" t="str">
        <v/>
      </c>
      <c r="BW126" s="105" t="str">
        <f ca="1"/>
        <v/>
      </c>
    </row>
    <row r="127" spans="1:75" x14ac:dyDescent="0.3">
      <c r="A127" s="1">
        <v>0</v>
      </c>
      <c r="B127" s="106">
        <v>0</v>
      </c>
      <c r="C127" s="14">
        <v>0</v>
      </c>
      <c r="D127" s="14">
        <v>0</v>
      </c>
      <c r="E127" s="14">
        <v>0</v>
      </c>
      <c r="F127" s="453">
        <v>0</v>
      </c>
      <c r="G127" s="377">
        <v>0</v>
      </c>
      <c r="H127" s="453">
        <v>0</v>
      </c>
      <c r="I127" s="453">
        <v>0</v>
      </c>
      <c r="J127" s="453">
        <v>0</v>
      </c>
      <c r="K127" s="453">
        <v>0</v>
      </c>
      <c r="L127" s="453">
        <v>0</v>
      </c>
      <c r="M127" s="453">
        <v>0</v>
      </c>
      <c r="N127" s="453">
        <v>0</v>
      </c>
      <c r="O127" s="453">
        <v>0</v>
      </c>
      <c r="P127" s="14">
        <v>0</v>
      </c>
      <c r="Q127" s="14">
        <v>0</v>
      </c>
      <c r="R127" s="453">
        <v>0</v>
      </c>
      <c r="S127" s="453">
        <v>0</v>
      </c>
      <c r="T127" s="453">
        <v>0</v>
      </c>
      <c r="U127" s="453">
        <v>0</v>
      </c>
      <c r="V127" s="453">
        <v>0</v>
      </c>
      <c r="W127" s="453">
        <v>0</v>
      </c>
      <c r="X127" s="453">
        <v>0</v>
      </c>
      <c r="Y127" s="453">
        <v>0</v>
      </c>
      <c r="Z127" s="453">
        <v>0</v>
      </c>
      <c r="AA127" s="14">
        <v>0</v>
      </c>
      <c r="AB127" s="14">
        <v>0</v>
      </c>
      <c r="AC127" s="453">
        <v>0</v>
      </c>
      <c r="AD127" s="14">
        <v>0</v>
      </c>
      <c r="AE127" s="14">
        <v>0</v>
      </c>
      <c r="AF127" s="14">
        <v>0</v>
      </c>
      <c r="AG127" s="14">
        <v>0</v>
      </c>
      <c r="AH127" s="14">
        <v>0</v>
      </c>
      <c r="AI127" s="14">
        <v>0</v>
      </c>
      <c r="AJ127" s="14">
        <v>0</v>
      </c>
      <c r="AK127" s="14">
        <v>0</v>
      </c>
      <c r="AL127" s="14">
        <v>0</v>
      </c>
      <c r="AM127" s="453">
        <v>0</v>
      </c>
      <c r="AN127" s="453">
        <v>0</v>
      </c>
      <c r="AO127" s="453">
        <v>0</v>
      </c>
      <c r="AP127" s="453">
        <v>0</v>
      </c>
      <c r="AQ127" s="453">
        <v>0</v>
      </c>
      <c r="AR127" s="453">
        <v>0</v>
      </c>
      <c r="AS127" s="453">
        <v>0</v>
      </c>
      <c r="AT127" s="453">
        <v>0</v>
      </c>
      <c r="AU127" s="453">
        <v>0</v>
      </c>
      <c r="AV127" s="453">
        <v>0</v>
      </c>
      <c r="AW127" s="453">
        <v>0</v>
      </c>
      <c r="AX127" s="453">
        <v>0</v>
      </c>
      <c r="AY127" s="453">
        <v>0</v>
      </c>
      <c r="AZ127" s="453">
        <v>0</v>
      </c>
      <c r="BA127" s="453">
        <v>0</v>
      </c>
      <c r="BB127" s="453">
        <v>0</v>
      </c>
      <c r="BC127" s="453">
        <v>0</v>
      </c>
      <c r="BD127" s="453">
        <v>0</v>
      </c>
      <c r="BE127" s="105">
        <v>0</v>
      </c>
      <c r="BF127" s="453">
        <v>0</v>
      </c>
      <c r="BG127" s="453">
        <v>0</v>
      </c>
      <c r="BH127" s="105">
        <v>0</v>
      </c>
      <c r="BI127" s="453">
        <v>0</v>
      </c>
      <c r="BJ127" s="453">
        <v>0</v>
      </c>
      <c r="BK127" s="105">
        <v>0</v>
      </c>
      <c r="BL127" s="453">
        <v>0</v>
      </c>
      <c r="BM127" s="453">
        <v>0</v>
      </c>
      <c r="BN127" s="453">
        <v>0</v>
      </c>
      <c r="BO127" s="453">
        <v>0</v>
      </c>
      <c r="BP127" s="453">
        <v>0</v>
      </c>
      <c r="BQ127" s="453">
        <v>0</v>
      </c>
      <c r="BR127" s="14">
        <v>0</v>
      </c>
      <c r="BS127" s="14">
        <v>0</v>
      </c>
      <c r="BT127" s="377" t="str">
        <v/>
      </c>
      <c r="BU127" s="105" t="str">
        <v/>
      </c>
      <c r="BV127" s="453" t="str">
        <v/>
      </c>
      <c r="BW127" s="105" t="str">
        <f ca="1"/>
        <v/>
      </c>
    </row>
    <row r="128" spans="1:75" x14ac:dyDescent="0.3">
      <c r="A128" s="1">
        <v>0</v>
      </c>
      <c r="B128" s="106">
        <v>0</v>
      </c>
      <c r="C128" s="14">
        <v>0</v>
      </c>
      <c r="D128" s="14">
        <v>0</v>
      </c>
      <c r="E128" s="14">
        <v>0</v>
      </c>
      <c r="F128" s="453">
        <v>0</v>
      </c>
      <c r="G128" s="377">
        <v>0</v>
      </c>
      <c r="H128" s="453">
        <v>0</v>
      </c>
      <c r="I128" s="453">
        <v>0</v>
      </c>
      <c r="J128" s="453">
        <v>0</v>
      </c>
      <c r="K128" s="453">
        <v>0</v>
      </c>
      <c r="L128" s="453">
        <v>0</v>
      </c>
      <c r="M128" s="453">
        <v>0</v>
      </c>
      <c r="N128" s="453">
        <v>0</v>
      </c>
      <c r="O128" s="453">
        <v>0</v>
      </c>
      <c r="P128" s="14">
        <v>0</v>
      </c>
      <c r="Q128" s="14">
        <v>0</v>
      </c>
      <c r="R128" s="453">
        <v>0</v>
      </c>
      <c r="S128" s="453">
        <v>0</v>
      </c>
      <c r="T128" s="453">
        <v>0</v>
      </c>
      <c r="U128" s="453">
        <v>0</v>
      </c>
      <c r="V128" s="453">
        <v>0</v>
      </c>
      <c r="W128" s="453">
        <v>0</v>
      </c>
      <c r="X128" s="453">
        <v>0</v>
      </c>
      <c r="Y128" s="453">
        <v>0</v>
      </c>
      <c r="Z128" s="453">
        <v>0</v>
      </c>
      <c r="AA128" s="14">
        <v>0</v>
      </c>
      <c r="AB128" s="14">
        <v>0</v>
      </c>
      <c r="AC128" s="453">
        <v>0</v>
      </c>
      <c r="AD128" s="14">
        <v>0</v>
      </c>
      <c r="AE128" s="14">
        <v>0</v>
      </c>
      <c r="AF128" s="14">
        <v>0</v>
      </c>
      <c r="AG128" s="14">
        <v>0</v>
      </c>
      <c r="AH128" s="14">
        <v>0</v>
      </c>
      <c r="AI128" s="14">
        <v>0</v>
      </c>
      <c r="AJ128" s="14">
        <v>0</v>
      </c>
      <c r="AK128" s="14">
        <v>0</v>
      </c>
      <c r="AL128" s="14">
        <v>0</v>
      </c>
      <c r="AM128" s="453">
        <v>0</v>
      </c>
      <c r="AN128" s="453">
        <v>0</v>
      </c>
      <c r="AO128" s="453">
        <v>0</v>
      </c>
      <c r="AP128" s="453">
        <v>0</v>
      </c>
      <c r="AQ128" s="453">
        <v>0</v>
      </c>
      <c r="AR128" s="453">
        <v>0</v>
      </c>
      <c r="AS128" s="453">
        <v>0</v>
      </c>
      <c r="AT128" s="453">
        <v>0</v>
      </c>
      <c r="AU128" s="453">
        <v>0</v>
      </c>
      <c r="AV128" s="453">
        <v>0</v>
      </c>
      <c r="AW128" s="453">
        <v>0</v>
      </c>
      <c r="AX128" s="453">
        <v>0</v>
      </c>
      <c r="AY128" s="453">
        <v>0</v>
      </c>
      <c r="AZ128" s="453">
        <v>0</v>
      </c>
      <c r="BA128" s="453">
        <v>0</v>
      </c>
      <c r="BB128" s="453">
        <v>0</v>
      </c>
      <c r="BC128" s="453">
        <v>0</v>
      </c>
      <c r="BD128" s="453">
        <v>0</v>
      </c>
      <c r="BE128" s="105">
        <v>0</v>
      </c>
      <c r="BF128" s="453">
        <v>0</v>
      </c>
      <c r="BG128" s="453">
        <v>0</v>
      </c>
      <c r="BH128" s="105">
        <v>0</v>
      </c>
      <c r="BI128" s="453">
        <v>0</v>
      </c>
      <c r="BJ128" s="453">
        <v>0</v>
      </c>
      <c r="BK128" s="105">
        <v>0</v>
      </c>
      <c r="BL128" s="453">
        <v>0</v>
      </c>
      <c r="BM128" s="453">
        <v>0</v>
      </c>
      <c r="BN128" s="453">
        <v>0</v>
      </c>
      <c r="BO128" s="453">
        <v>0</v>
      </c>
      <c r="BP128" s="453">
        <v>0</v>
      </c>
      <c r="BQ128" s="453">
        <v>0</v>
      </c>
      <c r="BR128" s="14">
        <v>0</v>
      </c>
      <c r="BS128" s="14">
        <v>0</v>
      </c>
      <c r="BT128" s="377" t="str">
        <v/>
      </c>
      <c r="BU128" s="105" t="str">
        <v/>
      </c>
      <c r="BV128" s="453" t="str">
        <v/>
      </c>
      <c r="BW128" s="105" t="str">
        <f ca="1"/>
        <v/>
      </c>
    </row>
    <row r="129" spans="1:75" x14ac:dyDescent="0.3">
      <c r="A129" s="1">
        <v>0</v>
      </c>
      <c r="B129" s="106">
        <v>0</v>
      </c>
      <c r="C129" s="14">
        <v>0</v>
      </c>
      <c r="D129" s="14">
        <v>0</v>
      </c>
      <c r="E129" s="14">
        <v>0</v>
      </c>
      <c r="F129" s="453">
        <v>0</v>
      </c>
      <c r="G129" s="377">
        <v>0</v>
      </c>
      <c r="H129" s="453">
        <v>0</v>
      </c>
      <c r="I129" s="453">
        <v>0</v>
      </c>
      <c r="J129" s="453">
        <v>0</v>
      </c>
      <c r="K129" s="453">
        <v>0</v>
      </c>
      <c r="L129" s="453">
        <v>0</v>
      </c>
      <c r="M129" s="453">
        <v>0</v>
      </c>
      <c r="N129" s="453">
        <v>0</v>
      </c>
      <c r="O129" s="453">
        <v>0</v>
      </c>
      <c r="P129" s="14">
        <v>0</v>
      </c>
      <c r="Q129" s="14">
        <v>0</v>
      </c>
      <c r="R129" s="453">
        <v>0</v>
      </c>
      <c r="S129" s="453">
        <v>0</v>
      </c>
      <c r="T129" s="453">
        <v>0</v>
      </c>
      <c r="U129" s="453">
        <v>0</v>
      </c>
      <c r="V129" s="453">
        <v>0</v>
      </c>
      <c r="W129" s="453">
        <v>0</v>
      </c>
      <c r="X129" s="453">
        <v>0</v>
      </c>
      <c r="Y129" s="453">
        <v>0</v>
      </c>
      <c r="Z129" s="453">
        <v>0</v>
      </c>
      <c r="AA129" s="14">
        <v>0</v>
      </c>
      <c r="AB129" s="14">
        <v>0</v>
      </c>
      <c r="AC129" s="453">
        <v>0</v>
      </c>
      <c r="AD129" s="14">
        <v>0</v>
      </c>
      <c r="AE129" s="14">
        <v>0</v>
      </c>
      <c r="AF129" s="14">
        <v>0</v>
      </c>
      <c r="AG129" s="14">
        <v>0</v>
      </c>
      <c r="AH129" s="14">
        <v>0</v>
      </c>
      <c r="AI129" s="14">
        <v>0</v>
      </c>
      <c r="AJ129" s="14">
        <v>0</v>
      </c>
      <c r="AK129" s="14">
        <v>0</v>
      </c>
      <c r="AL129" s="14">
        <v>0</v>
      </c>
      <c r="AM129" s="453">
        <v>0</v>
      </c>
      <c r="AN129" s="453">
        <v>0</v>
      </c>
      <c r="AO129" s="453">
        <v>0</v>
      </c>
      <c r="AP129" s="453">
        <v>0</v>
      </c>
      <c r="AQ129" s="453">
        <v>0</v>
      </c>
      <c r="AR129" s="453">
        <v>0</v>
      </c>
      <c r="AS129" s="453">
        <v>0</v>
      </c>
      <c r="AT129" s="453">
        <v>0</v>
      </c>
      <c r="AU129" s="453">
        <v>0</v>
      </c>
      <c r="AV129" s="453">
        <v>0</v>
      </c>
      <c r="AW129" s="453">
        <v>0</v>
      </c>
      <c r="AX129" s="453">
        <v>0</v>
      </c>
      <c r="AY129" s="453">
        <v>0</v>
      </c>
      <c r="AZ129" s="453">
        <v>0</v>
      </c>
      <c r="BA129" s="453">
        <v>0</v>
      </c>
      <c r="BB129" s="453">
        <v>0</v>
      </c>
      <c r="BC129" s="453">
        <v>0</v>
      </c>
      <c r="BD129" s="453">
        <v>0</v>
      </c>
      <c r="BE129" s="105">
        <v>0</v>
      </c>
      <c r="BF129" s="453">
        <v>0</v>
      </c>
      <c r="BG129" s="453">
        <v>0</v>
      </c>
      <c r="BH129" s="105">
        <v>0</v>
      </c>
      <c r="BI129" s="453">
        <v>0</v>
      </c>
      <c r="BJ129" s="453">
        <v>0</v>
      </c>
      <c r="BK129" s="105">
        <v>0</v>
      </c>
      <c r="BL129" s="453">
        <v>0</v>
      </c>
      <c r="BM129" s="453">
        <v>0</v>
      </c>
      <c r="BN129" s="453">
        <v>0</v>
      </c>
      <c r="BO129" s="453">
        <v>0</v>
      </c>
      <c r="BP129" s="453">
        <v>0</v>
      </c>
      <c r="BQ129" s="453">
        <v>0</v>
      </c>
      <c r="BR129" s="14">
        <v>0</v>
      </c>
      <c r="BS129" s="14">
        <v>0</v>
      </c>
      <c r="BT129" s="377" t="str">
        <v/>
      </c>
      <c r="BU129" s="105" t="str">
        <v/>
      </c>
      <c r="BV129" s="453" t="str">
        <v/>
      </c>
      <c r="BW129" s="105" t="str">
        <f ca="1"/>
        <v/>
      </c>
    </row>
    <row r="130" spans="1:75" x14ac:dyDescent="0.3">
      <c r="A130" s="1">
        <v>0</v>
      </c>
      <c r="B130" s="106">
        <v>0</v>
      </c>
      <c r="C130" s="14">
        <v>0</v>
      </c>
      <c r="D130" s="14">
        <v>0</v>
      </c>
      <c r="E130" s="14">
        <v>0</v>
      </c>
      <c r="F130" s="453">
        <v>0</v>
      </c>
      <c r="G130" s="377">
        <v>0</v>
      </c>
      <c r="H130" s="453">
        <v>0</v>
      </c>
      <c r="I130" s="453">
        <v>0</v>
      </c>
      <c r="J130" s="453">
        <v>0</v>
      </c>
      <c r="K130" s="453">
        <v>0</v>
      </c>
      <c r="L130" s="453">
        <v>0</v>
      </c>
      <c r="M130" s="453">
        <v>0</v>
      </c>
      <c r="N130" s="453">
        <v>0</v>
      </c>
      <c r="O130" s="453">
        <v>0</v>
      </c>
      <c r="P130" s="14">
        <v>0</v>
      </c>
      <c r="Q130" s="14">
        <v>0</v>
      </c>
      <c r="R130" s="453">
        <v>0</v>
      </c>
      <c r="S130" s="453">
        <v>0</v>
      </c>
      <c r="T130" s="453">
        <v>0</v>
      </c>
      <c r="U130" s="453">
        <v>0</v>
      </c>
      <c r="V130" s="453">
        <v>0</v>
      </c>
      <c r="W130" s="453">
        <v>0</v>
      </c>
      <c r="X130" s="453">
        <v>0</v>
      </c>
      <c r="Y130" s="453">
        <v>0</v>
      </c>
      <c r="Z130" s="453">
        <v>0</v>
      </c>
      <c r="AA130" s="14">
        <v>0</v>
      </c>
      <c r="AB130" s="14">
        <v>0</v>
      </c>
      <c r="AC130" s="453">
        <v>0</v>
      </c>
      <c r="AD130" s="14">
        <v>0</v>
      </c>
      <c r="AE130" s="14">
        <v>0</v>
      </c>
      <c r="AF130" s="14">
        <v>0</v>
      </c>
      <c r="AG130" s="14">
        <v>0</v>
      </c>
      <c r="AH130" s="14">
        <v>0</v>
      </c>
      <c r="AI130" s="14">
        <v>0</v>
      </c>
      <c r="AJ130" s="14">
        <v>0</v>
      </c>
      <c r="AK130" s="14">
        <v>0</v>
      </c>
      <c r="AL130" s="14">
        <v>0</v>
      </c>
      <c r="AM130" s="453">
        <v>0</v>
      </c>
      <c r="AN130" s="453">
        <v>0</v>
      </c>
      <c r="AO130" s="453">
        <v>0</v>
      </c>
      <c r="AP130" s="453">
        <v>0</v>
      </c>
      <c r="AQ130" s="453">
        <v>0</v>
      </c>
      <c r="AR130" s="453">
        <v>0</v>
      </c>
      <c r="AS130" s="453">
        <v>0</v>
      </c>
      <c r="AT130" s="453">
        <v>0</v>
      </c>
      <c r="AU130" s="453">
        <v>0</v>
      </c>
      <c r="AV130" s="453">
        <v>0</v>
      </c>
      <c r="AW130" s="453">
        <v>0</v>
      </c>
      <c r="AX130" s="453">
        <v>0</v>
      </c>
      <c r="AY130" s="453">
        <v>0</v>
      </c>
      <c r="AZ130" s="453">
        <v>0</v>
      </c>
      <c r="BA130" s="453">
        <v>0</v>
      </c>
      <c r="BB130" s="453">
        <v>0</v>
      </c>
      <c r="BC130" s="453">
        <v>0</v>
      </c>
      <c r="BD130" s="453">
        <v>0</v>
      </c>
      <c r="BE130" s="105">
        <v>0</v>
      </c>
      <c r="BF130" s="453">
        <v>0</v>
      </c>
      <c r="BG130" s="453">
        <v>0</v>
      </c>
      <c r="BH130" s="105">
        <v>0</v>
      </c>
      <c r="BI130" s="453">
        <v>0</v>
      </c>
      <c r="BJ130" s="453">
        <v>0</v>
      </c>
      <c r="BK130" s="105">
        <v>0</v>
      </c>
      <c r="BL130" s="453">
        <v>0</v>
      </c>
      <c r="BM130" s="453">
        <v>0</v>
      </c>
      <c r="BN130" s="453">
        <v>0</v>
      </c>
      <c r="BO130" s="453">
        <v>0</v>
      </c>
      <c r="BP130" s="453">
        <v>0</v>
      </c>
      <c r="BQ130" s="453">
        <v>0</v>
      </c>
      <c r="BR130" s="14">
        <v>0</v>
      </c>
      <c r="BS130" s="14">
        <v>0</v>
      </c>
      <c r="BT130" s="377" t="str">
        <v/>
      </c>
      <c r="BU130" s="105" t="str">
        <v/>
      </c>
      <c r="BV130" s="453" t="str">
        <v/>
      </c>
      <c r="BW130" s="105" t="str">
        <f ca="1"/>
        <v/>
      </c>
    </row>
    <row r="131" spans="1:75" x14ac:dyDescent="0.3">
      <c r="A131" s="1">
        <v>0</v>
      </c>
      <c r="B131" s="106">
        <v>0</v>
      </c>
      <c r="C131" s="14">
        <v>0</v>
      </c>
      <c r="D131" s="14">
        <v>0</v>
      </c>
      <c r="E131" s="14">
        <v>0</v>
      </c>
      <c r="F131" s="453">
        <v>0</v>
      </c>
      <c r="G131" s="377">
        <v>0</v>
      </c>
      <c r="H131" s="453">
        <v>0</v>
      </c>
      <c r="I131" s="453">
        <v>0</v>
      </c>
      <c r="J131" s="453">
        <v>0</v>
      </c>
      <c r="K131" s="453">
        <v>0</v>
      </c>
      <c r="L131" s="453">
        <v>0</v>
      </c>
      <c r="M131" s="453">
        <v>0</v>
      </c>
      <c r="N131" s="453">
        <v>0</v>
      </c>
      <c r="O131" s="453">
        <v>0</v>
      </c>
      <c r="P131" s="14">
        <v>0</v>
      </c>
      <c r="Q131" s="14">
        <v>0</v>
      </c>
      <c r="R131" s="453">
        <v>0</v>
      </c>
      <c r="S131" s="453">
        <v>0</v>
      </c>
      <c r="T131" s="453">
        <v>0</v>
      </c>
      <c r="U131" s="453">
        <v>0</v>
      </c>
      <c r="V131" s="453">
        <v>0</v>
      </c>
      <c r="W131" s="453">
        <v>0</v>
      </c>
      <c r="X131" s="453">
        <v>0</v>
      </c>
      <c r="Y131" s="453">
        <v>0</v>
      </c>
      <c r="Z131" s="453">
        <v>0</v>
      </c>
      <c r="AA131" s="14">
        <v>0</v>
      </c>
      <c r="AB131" s="14">
        <v>0</v>
      </c>
      <c r="AC131" s="453">
        <v>0</v>
      </c>
      <c r="AD131" s="14">
        <v>0</v>
      </c>
      <c r="AE131" s="14">
        <v>0</v>
      </c>
      <c r="AF131" s="14">
        <v>0</v>
      </c>
      <c r="AG131" s="14">
        <v>0</v>
      </c>
      <c r="AH131" s="14">
        <v>0</v>
      </c>
      <c r="AI131" s="14">
        <v>0</v>
      </c>
      <c r="AJ131" s="14">
        <v>0</v>
      </c>
      <c r="AK131" s="14">
        <v>0</v>
      </c>
      <c r="AL131" s="14">
        <v>0</v>
      </c>
      <c r="AM131" s="453">
        <v>0</v>
      </c>
      <c r="AN131" s="453">
        <v>0</v>
      </c>
      <c r="AO131" s="453">
        <v>0</v>
      </c>
      <c r="AP131" s="453">
        <v>0</v>
      </c>
      <c r="AQ131" s="453">
        <v>0</v>
      </c>
      <c r="AR131" s="453">
        <v>0</v>
      </c>
      <c r="AS131" s="453">
        <v>0</v>
      </c>
      <c r="AT131" s="453">
        <v>0</v>
      </c>
      <c r="AU131" s="453">
        <v>0</v>
      </c>
      <c r="AV131" s="453">
        <v>0</v>
      </c>
      <c r="AW131" s="453">
        <v>0</v>
      </c>
      <c r="AX131" s="453">
        <v>0</v>
      </c>
      <c r="AY131" s="453">
        <v>0</v>
      </c>
      <c r="AZ131" s="453">
        <v>0</v>
      </c>
      <c r="BA131" s="453">
        <v>0</v>
      </c>
      <c r="BB131" s="453">
        <v>0</v>
      </c>
      <c r="BC131" s="453">
        <v>0</v>
      </c>
      <c r="BD131" s="453">
        <v>0</v>
      </c>
      <c r="BE131" s="105">
        <v>0</v>
      </c>
      <c r="BF131" s="453">
        <v>0</v>
      </c>
      <c r="BG131" s="453">
        <v>0</v>
      </c>
      <c r="BH131" s="105">
        <v>0</v>
      </c>
      <c r="BI131" s="453">
        <v>0</v>
      </c>
      <c r="BJ131" s="453">
        <v>0</v>
      </c>
      <c r="BK131" s="105">
        <v>0</v>
      </c>
      <c r="BL131" s="453">
        <v>0</v>
      </c>
      <c r="BM131" s="453">
        <v>0</v>
      </c>
      <c r="BN131" s="453">
        <v>0</v>
      </c>
      <c r="BO131" s="453">
        <v>0</v>
      </c>
      <c r="BP131" s="453">
        <v>0</v>
      </c>
      <c r="BQ131" s="453">
        <v>0</v>
      </c>
      <c r="BR131" s="14">
        <v>0</v>
      </c>
      <c r="BS131" s="14">
        <v>0</v>
      </c>
      <c r="BT131" s="377" t="str">
        <v/>
      </c>
      <c r="BU131" s="105" t="str">
        <v/>
      </c>
      <c r="BV131" s="453" t="str">
        <v/>
      </c>
      <c r="BW131" s="105" t="str">
        <f ca="1"/>
        <v/>
      </c>
    </row>
    <row r="132" spans="1:75" x14ac:dyDescent="0.3">
      <c r="A132" s="1">
        <v>0</v>
      </c>
      <c r="B132" s="106">
        <v>0</v>
      </c>
      <c r="C132" s="14">
        <v>0</v>
      </c>
      <c r="D132" s="14">
        <v>0</v>
      </c>
      <c r="E132" s="14">
        <v>0</v>
      </c>
      <c r="F132" s="453">
        <v>0</v>
      </c>
      <c r="G132" s="377">
        <v>0</v>
      </c>
      <c r="H132" s="453">
        <v>0</v>
      </c>
      <c r="I132" s="453">
        <v>0</v>
      </c>
      <c r="J132" s="453">
        <v>0</v>
      </c>
      <c r="K132" s="453">
        <v>0</v>
      </c>
      <c r="L132" s="453">
        <v>0</v>
      </c>
      <c r="M132" s="453">
        <v>0</v>
      </c>
      <c r="N132" s="453">
        <v>0</v>
      </c>
      <c r="O132" s="453">
        <v>0</v>
      </c>
      <c r="P132" s="14">
        <v>0</v>
      </c>
      <c r="Q132" s="14">
        <v>0</v>
      </c>
      <c r="R132" s="453">
        <v>0</v>
      </c>
      <c r="S132" s="453">
        <v>0</v>
      </c>
      <c r="T132" s="453">
        <v>0</v>
      </c>
      <c r="U132" s="453">
        <v>0</v>
      </c>
      <c r="V132" s="453">
        <v>0</v>
      </c>
      <c r="W132" s="453">
        <v>0</v>
      </c>
      <c r="X132" s="453">
        <v>0</v>
      </c>
      <c r="Y132" s="453">
        <v>0</v>
      </c>
      <c r="Z132" s="453">
        <v>0</v>
      </c>
      <c r="AA132" s="14">
        <v>0</v>
      </c>
      <c r="AB132" s="14">
        <v>0</v>
      </c>
      <c r="AC132" s="453">
        <v>0</v>
      </c>
      <c r="AD132" s="14">
        <v>0</v>
      </c>
      <c r="AE132" s="14">
        <v>0</v>
      </c>
      <c r="AF132" s="14">
        <v>0</v>
      </c>
      <c r="AG132" s="14">
        <v>0</v>
      </c>
      <c r="AH132" s="14">
        <v>0</v>
      </c>
      <c r="AI132" s="14">
        <v>0</v>
      </c>
      <c r="AJ132" s="14">
        <v>0</v>
      </c>
      <c r="AK132" s="14">
        <v>0</v>
      </c>
      <c r="AL132" s="14">
        <v>0</v>
      </c>
      <c r="AM132" s="453">
        <v>0</v>
      </c>
      <c r="AN132" s="453">
        <v>0</v>
      </c>
      <c r="AO132" s="453">
        <v>0</v>
      </c>
      <c r="AP132" s="453">
        <v>0</v>
      </c>
      <c r="AQ132" s="453">
        <v>0</v>
      </c>
      <c r="AR132" s="453">
        <v>0</v>
      </c>
      <c r="AS132" s="453">
        <v>0</v>
      </c>
      <c r="AT132" s="453">
        <v>0</v>
      </c>
      <c r="AU132" s="453">
        <v>0</v>
      </c>
      <c r="AV132" s="453">
        <v>0</v>
      </c>
      <c r="AW132" s="453">
        <v>0</v>
      </c>
      <c r="AX132" s="453">
        <v>0</v>
      </c>
      <c r="AY132" s="453">
        <v>0</v>
      </c>
      <c r="AZ132" s="453">
        <v>0</v>
      </c>
      <c r="BA132" s="453">
        <v>0</v>
      </c>
      <c r="BB132" s="453">
        <v>0</v>
      </c>
      <c r="BC132" s="453">
        <v>0</v>
      </c>
      <c r="BD132" s="453">
        <v>0</v>
      </c>
      <c r="BE132" s="105">
        <v>0</v>
      </c>
      <c r="BF132" s="453">
        <v>0</v>
      </c>
      <c r="BG132" s="453">
        <v>0</v>
      </c>
      <c r="BH132" s="105">
        <v>0</v>
      </c>
      <c r="BI132" s="453">
        <v>0</v>
      </c>
      <c r="BJ132" s="453">
        <v>0</v>
      </c>
      <c r="BK132" s="105">
        <v>0</v>
      </c>
      <c r="BL132" s="453">
        <v>0</v>
      </c>
      <c r="BM132" s="453">
        <v>0</v>
      </c>
      <c r="BN132" s="453">
        <v>0</v>
      </c>
      <c r="BO132" s="453">
        <v>0</v>
      </c>
      <c r="BP132" s="453">
        <v>0</v>
      </c>
      <c r="BQ132" s="453">
        <v>0</v>
      </c>
      <c r="BR132" s="14">
        <v>0</v>
      </c>
      <c r="BS132" s="14">
        <v>0</v>
      </c>
      <c r="BT132" s="377" t="str">
        <v/>
      </c>
      <c r="BU132" s="105" t="str">
        <v/>
      </c>
      <c r="BV132" s="453" t="str">
        <v/>
      </c>
      <c r="BW132" s="105" t="str">
        <f ca="1"/>
        <v/>
      </c>
    </row>
    <row r="133" spans="1:75" x14ac:dyDescent="0.3">
      <c r="A133" s="1">
        <v>0</v>
      </c>
      <c r="B133" s="106">
        <v>0</v>
      </c>
      <c r="C133" s="14">
        <v>0</v>
      </c>
      <c r="D133" s="14">
        <v>0</v>
      </c>
      <c r="E133" s="14">
        <v>0</v>
      </c>
      <c r="F133" s="453">
        <v>0</v>
      </c>
      <c r="G133" s="377">
        <v>0</v>
      </c>
      <c r="H133" s="453">
        <v>0</v>
      </c>
      <c r="I133" s="453">
        <v>0</v>
      </c>
      <c r="J133" s="453">
        <v>0</v>
      </c>
      <c r="K133" s="453">
        <v>0</v>
      </c>
      <c r="L133" s="453">
        <v>0</v>
      </c>
      <c r="M133" s="453">
        <v>0</v>
      </c>
      <c r="N133" s="453">
        <v>0</v>
      </c>
      <c r="O133" s="453">
        <v>0</v>
      </c>
      <c r="P133" s="14">
        <v>0</v>
      </c>
      <c r="Q133" s="14">
        <v>0</v>
      </c>
      <c r="R133" s="453">
        <v>0</v>
      </c>
      <c r="S133" s="453">
        <v>0</v>
      </c>
      <c r="T133" s="453">
        <v>0</v>
      </c>
      <c r="U133" s="453">
        <v>0</v>
      </c>
      <c r="V133" s="453">
        <v>0</v>
      </c>
      <c r="W133" s="453">
        <v>0</v>
      </c>
      <c r="X133" s="453">
        <v>0</v>
      </c>
      <c r="Y133" s="453">
        <v>0</v>
      </c>
      <c r="Z133" s="453">
        <v>0</v>
      </c>
      <c r="AA133" s="14">
        <v>0</v>
      </c>
      <c r="AB133" s="14">
        <v>0</v>
      </c>
      <c r="AC133" s="453">
        <v>0</v>
      </c>
      <c r="AD133" s="14">
        <v>0</v>
      </c>
      <c r="AE133" s="14">
        <v>0</v>
      </c>
      <c r="AF133" s="14">
        <v>0</v>
      </c>
      <c r="AG133" s="14">
        <v>0</v>
      </c>
      <c r="AH133" s="14">
        <v>0</v>
      </c>
      <c r="AI133" s="14">
        <v>0</v>
      </c>
      <c r="AJ133" s="14">
        <v>0</v>
      </c>
      <c r="AK133" s="14">
        <v>0</v>
      </c>
      <c r="AL133" s="14">
        <v>0</v>
      </c>
      <c r="AM133" s="453">
        <v>0</v>
      </c>
      <c r="AN133" s="453">
        <v>0</v>
      </c>
      <c r="AO133" s="453">
        <v>0</v>
      </c>
      <c r="AP133" s="453">
        <v>0</v>
      </c>
      <c r="AQ133" s="453">
        <v>0</v>
      </c>
      <c r="AR133" s="453">
        <v>0</v>
      </c>
      <c r="AS133" s="453">
        <v>0</v>
      </c>
      <c r="AT133" s="453">
        <v>0</v>
      </c>
      <c r="AU133" s="453">
        <v>0</v>
      </c>
      <c r="AV133" s="453">
        <v>0</v>
      </c>
      <c r="AW133" s="453">
        <v>0</v>
      </c>
      <c r="AX133" s="453">
        <v>0</v>
      </c>
      <c r="AY133" s="453">
        <v>0</v>
      </c>
      <c r="AZ133" s="453">
        <v>0</v>
      </c>
      <c r="BA133" s="453">
        <v>0</v>
      </c>
      <c r="BB133" s="453">
        <v>0</v>
      </c>
      <c r="BC133" s="453">
        <v>0</v>
      </c>
      <c r="BD133" s="453">
        <v>0</v>
      </c>
      <c r="BE133" s="105">
        <v>0</v>
      </c>
      <c r="BF133" s="453">
        <v>0</v>
      </c>
      <c r="BG133" s="453">
        <v>0</v>
      </c>
      <c r="BH133" s="105">
        <v>0</v>
      </c>
      <c r="BI133" s="453">
        <v>0</v>
      </c>
      <c r="BJ133" s="453">
        <v>0</v>
      </c>
      <c r="BK133" s="105">
        <v>0</v>
      </c>
      <c r="BL133" s="453">
        <v>0</v>
      </c>
      <c r="BM133" s="453">
        <v>0</v>
      </c>
      <c r="BN133" s="453">
        <v>0</v>
      </c>
      <c r="BO133" s="453">
        <v>0</v>
      </c>
      <c r="BP133" s="453">
        <v>0</v>
      </c>
      <c r="BQ133" s="453">
        <v>0</v>
      </c>
      <c r="BR133" s="14">
        <v>0</v>
      </c>
      <c r="BS133" s="14">
        <v>0</v>
      </c>
      <c r="BT133" s="377" t="str">
        <v/>
      </c>
      <c r="BU133" s="105" t="str">
        <v/>
      </c>
      <c r="BV133" s="453" t="str">
        <v/>
      </c>
      <c r="BW133" s="105" t="str">
        <f ca="1"/>
        <v/>
      </c>
    </row>
    <row r="134" spans="1:75" x14ac:dyDescent="0.3">
      <c r="A134" s="1">
        <v>0</v>
      </c>
      <c r="B134" s="106">
        <v>0</v>
      </c>
      <c r="C134" s="14">
        <v>0</v>
      </c>
      <c r="D134" s="14">
        <v>0</v>
      </c>
      <c r="E134" s="14">
        <v>0</v>
      </c>
      <c r="F134" s="453">
        <v>0</v>
      </c>
      <c r="G134" s="377">
        <v>0</v>
      </c>
      <c r="H134" s="453">
        <v>0</v>
      </c>
      <c r="I134" s="453">
        <v>0</v>
      </c>
      <c r="J134" s="453">
        <v>0</v>
      </c>
      <c r="K134" s="453">
        <v>0</v>
      </c>
      <c r="L134" s="453">
        <v>0</v>
      </c>
      <c r="M134" s="453">
        <v>0</v>
      </c>
      <c r="N134" s="453">
        <v>0</v>
      </c>
      <c r="O134" s="453">
        <v>0</v>
      </c>
      <c r="P134" s="14">
        <v>0</v>
      </c>
      <c r="Q134" s="14">
        <v>0</v>
      </c>
      <c r="R134" s="453">
        <v>0</v>
      </c>
      <c r="S134" s="453">
        <v>0</v>
      </c>
      <c r="T134" s="453">
        <v>0</v>
      </c>
      <c r="U134" s="453">
        <v>0</v>
      </c>
      <c r="V134" s="453">
        <v>0</v>
      </c>
      <c r="W134" s="453">
        <v>0</v>
      </c>
      <c r="X134" s="453">
        <v>0</v>
      </c>
      <c r="Y134" s="453">
        <v>0</v>
      </c>
      <c r="Z134" s="453">
        <v>0</v>
      </c>
      <c r="AA134" s="14">
        <v>0</v>
      </c>
      <c r="AB134" s="14">
        <v>0</v>
      </c>
      <c r="AC134" s="453">
        <v>0</v>
      </c>
      <c r="AD134" s="14">
        <v>0</v>
      </c>
      <c r="AE134" s="14">
        <v>0</v>
      </c>
      <c r="AF134" s="14">
        <v>0</v>
      </c>
      <c r="AG134" s="14">
        <v>0</v>
      </c>
      <c r="AH134" s="14">
        <v>0</v>
      </c>
      <c r="AI134" s="14">
        <v>0</v>
      </c>
      <c r="AJ134" s="14">
        <v>0</v>
      </c>
      <c r="AK134" s="14">
        <v>0</v>
      </c>
      <c r="AL134" s="14">
        <v>0</v>
      </c>
      <c r="AM134" s="453">
        <v>0</v>
      </c>
      <c r="AN134" s="453">
        <v>0</v>
      </c>
      <c r="AO134" s="453">
        <v>0</v>
      </c>
      <c r="AP134" s="453">
        <v>0</v>
      </c>
      <c r="AQ134" s="453">
        <v>0</v>
      </c>
      <c r="AR134" s="453">
        <v>0</v>
      </c>
      <c r="AS134" s="453">
        <v>0</v>
      </c>
      <c r="AT134" s="453">
        <v>0</v>
      </c>
      <c r="AU134" s="453">
        <v>0</v>
      </c>
      <c r="AV134" s="453">
        <v>0</v>
      </c>
      <c r="AW134" s="453">
        <v>0</v>
      </c>
      <c r="AX134" s="453">
        <v>0</v>
      </c>
      <c r="AY134" s="453">
        <v>0</v>
      </c>
      <c r="AZ134" s="453">
        <v>0</v>
      </c>
      <c r="BA134" s="453">
        <v>0</v>
      </c>
      <c r="BB134" s="453">
        <v>0</v>
      </c>
      <c r="BC134" s="453">
        <v>0</v>
      </c>
      <c r="BD134" s="453">
        <v>0</v>
      </c>
      <c r="BE134" s="105">
        <v>0</v>
      </c>
      <c r="BF134" s="453">
        <v>0</v>
      </c>
      <c r="BG134" s="453">
        <v>0</v>
      </c>
      <c r="BH134" s="105">
        <v>0</v>
      </c>
      <c r="BI134" s="453">
        <v>0</v>
      </c>
      <c r="BJ134" s="453">
        <v>0</v>
      </c>
      <c r="BK134" s="105">
        <v>0</v>
      </c>
      <c r="BL134" s="453">
        <v>0</v>
      </c>
      <c r="BM134" s="453">
        <v>0</v>
      </c>
      <c r="BN134" s="453">
        <v>0</v>
      </c>
      <c r="BO134" s="453">
        <v>0</v>
      </c>
      <c r="BP134" s="453">
        <v>0</v>
      </c>
      <c r="BQ134" s="453">
        <v>0</v>
      </c>
      <c r="BR134" s="14">
        <v>0</v>
      </c>
      <c r="BS134" s="14">
        <v>0</v>
      </c>
      <c r="BT134" s="377" t="str">
        <v/>
      </c>
      <c r="BU134" s="105" t="str">
        <v/>
      </c>
      <c r="BV134" s="453" t="str">
        <v/>
      </c>
      <c r="BW134" s="105" t="str">
        <f ca="1"/>
        <v/>
      </c>
    </row>
    <row r="135" spans="1:75" x14ac:dyDescent="0.3">
      <c r="A135" s="1">
        <v>0</v>
      </c>
      <c r="B135" s="106">
        <v>0</v>
      </c>
      <c r="C135" s="14">
        <v>0</v>
      </c>
      <c r="D135" s="14">
        <v>0</v>
      </c>
      <c r="E135" s="14">
        <v>0</v>
      </c>
      <c r="F135" s="453">
        <v>0</v>
      </c>
      <c r="G135" s="377">
        <v>0</v>
      </c>
      <c r="H135" s="453">
        <v>0</v>
      </c>
      <c r="I135" s="453">
        <v>0</v>
      </c>
      <c r="J135" s="453">
        <v>0</v>
      </c>
      <c r="K135" s="453">
        <v>0</v>
      </c>
      <c r="L135" s="453">
        <v>0</v>
      </c>
      <c r="M135" s="453">
        <v>0</v>
      </c>
      <c r="N135" s="453">
        <v>0</v>
      </c>
      <c r="O135" s="453">
        <v>0</v>
      </c>
      <c r="P135" s="14">
        <v>0</v>
      </c>
      <c r="Q135" s="14">
        <v>0</v>
      </c>
      <c r="R135" s="453">
        <v>0</v>
      </c>
      <c r="S135" s="453">
        <v>0</v>
      </c>
      <c r="T135" s="453">
        <v>0</v>
      </c>
      <c r="U135" s="453">
        <v>0</v>
      </c>
      <c r="V135" s="453">
        <v>0</v>
      </c>
      <c r="W135" s="453">
        <v>0</v>
      </c>
      <c r="X135" s="453">
        <v>0</v>
      </c>
      <c r="Y135" s="453">
        <v>0</v>
      </c>
      <c r="Z135" s="453">
        <v>0</v>
      </c>
      <c r="AA135" s="14">
        <v>0</v>
      </c>
      <c r="AB135" s="14">
        <v>0</v>
      </c>
      <c r="AC135" s="453">
        <v>0</v>
      </c>
      <c r="AD135" s="14">
        <v>0</v>
      </c>
      <c r="AE135" s="14">
        <v>0</v>
      </c>
      <c r="AF135" s="14">
        <v>0</v>
      </c>
      <c r="AG135" s="14">
        <v>0</v>
      </c>
      <c r="AH135" s="14">
        <v>0</v>
      </c>
      <c r="AI135" s="14">
        <v>0</v>
      </c>
      <c r="AJ135" s="14">
        <v>0</v>
      </c>
      <c r="AK135" s="14">
        <v>0</v>
      </c>
      <c r="AL135" s="14">
        <v>0</v>
      </c>
      <c r="AM135" s="453">
        <v>0</v>
      </c>
      <c r="AN135" s="453">
        <v>0</v>
      </c>
      <c r="AO135" s="453">
        <v>0</v>
      </c>
      <c r="AP135" s="453">
        <v>0</v>
      </c>
      <c r="AQ135" s="453">
        <v>0</v>
      </c>
      <c r="AR135" s="453">
        <v>0</v>
      </c>
      <c r="AS135" s="453">
        <v>0</v>
      </c>
      <c r="AT135" s="453">
        <v>0</v>
      </c>
      <c r="AU135" s="453">
        <v>0</v>
      </c>
      <c r="AV135" s="453">
        <v>0</v>
      </c>
      <c r="AW135" s="453">
        <v>0</v>
      </c>
      <c r="AX135" s="453">
        <v>0</v>
      </c>
      <c r="AY135" s="453">
        <v>0</v>
      </c>
      <c r="AZ135" s="453">
        <v>0</v>
      </c>
      <c r="BA135" s="453">
        <v>0</v>
      </c>
      <c r="BB135" s="453">
        <v>0</v>
      </c>
      <c r="BC135" s="453">
        <v>0</v>
      </c>
      <c r="BD135" s="453">
        <v>0</v>
      </c>
      <c r="BE135" s="105">
        <v>0</v>
      </c>
      <c r="BF135" s="453">
        <v>0</v>
      </c>
      <c r="BG135" s="453">
        <v>0</v>
      </c>
      <c r="BH135" s="105">
        <v>0</v>
      </c>
      <c r="BI135" s="453">
        <v>0</v>
      </c>
      <c r="BJ135" s="453">
        <v>0</v>
      </c>
      <c r="BK135" s="105">
        <v>0</v>
      </c>
      <c r="BL135" s="453">
        <v>0</v>
      </c>
      <c r="BM135" s="453">
        <v>0</v>
      </c>
      <c r="BN135" s="453">
        <v>0</v>
      </c>
      <c r="BO135" s="453">
        <v>0</v>
      </c>
      <c r="BP135" s="453">
        <v>0</v>
      </c>
      <c r="BQ135" s="453">
        <v>0</v>
      </c>
      <c r="BR135" s="14">
        <v>0</v>
      </c>
      <c r="BS135" s="14">
        <v>0</v>
      </c>
      <c r="BT135" s="377" t="str">
        <v/>
      </c>
      <c r="BU135" s="105" t="str">
        <v/>
      </c>
      <c r="BV135" s="453" t="str">
        <v/>
      </c>
      <c r="BW135" s="105" t="str">
        <f ca="1"/>
        <v/>
      </c>
    </row>
    <row r="136" spans="1:75" x14ac:dyDescent="0.3">
      <c r="A136" s="1">
        <v>0</v>
      </c>
      <c r="B136" s="106">
        <v>0</v>
      </c>
      <c r="C136" s="14">
        <v>0</v>
      </c>
      <c r="D136" s="14">
        <v>0</v>
      </c>
      <c r="E136" s="14">
        <v>0</v>
      </c>
      <c r="F136" s="453">
        <v>0</v>
      </c>
      <c r="G136" s="377">
        <v>0</v>
      </c>
      <c r="H136" s="453">
        <v>0</v>
      </c>
      <c r="I136" s="453">
        <v>0</v>
      </c>
      <c r="J136" s="453">
        <v>0</v>
      </c>
      <c r="K136" s="453">
        <v>0</v>
      </c>
      <c r="L136" s="453">
        <v>0</v>
      </c>
      <c r="M136" s="453">
        <v>0</v>
      </c>
      <c r="N136" s="453">
        <v>0</v>
      </c>
      <c r="O136" s="453">
        <v>0</v>
      </c>
      <c r="P136" s="14">
        <v>0</v>
      </c>
      <c r="Q136" s="14">
        <v>0</v>
      </c>
      <c r="R136" s="453">
        <v>0</v>
      </c>
      <c r="S136" s="453">
        <v>0</v>
      </c>
      <c r="T136" s="453">
        <v>0</v>
      </c>
      <c r="U136" s="453">
        <v>0</v>
      </c>
      <c r="V136" s="453">
        <v>0</v>
      </c>
      <c r="W136" s="453">
        <v>0</v>
      </c>
      <c r="X136" s="453">
        <v>0</v>
      </c>
      <c r="Y136" s="453">
        <v>0</v>
      </c>
      <c r="Z136" s="453">
        <v>0</v>
      </c>
      <c r="AA136" s="14">
        <v>0</v>
      </c>
      <c r="AB136" s="14">
        <v>0</v>
      </c>
      <c r="AC136" s="453">
        <v>0</v>
      </c>
      <c r="AD136" s="14">
        <v>0</v>
      </c>
      <c r="AE136" s="14">
        <v>0</v>
      </c>
      <c r="AF136" s="14">
        <v>0</v>
      </c>
      <c r="AG136" s="14">
        <v>0</v>
      </c>
      <c r="AH136" s="14">
        <v>0</v>
      </c>
      <c r="AI136" s="14">
        <v>0</v>
      </c>
      <c r="AJ136" s="14">
        <v>0</v>
      </c>
      <c r="AK136" s="14">
        <v>0</v>
      </c>
      <c r="AL136" s="14">
        <v>0</v>
      </c>
      <c r="AM136" s="453">
        <v>0</v>
      </c>
      <c r="AN136" s="453">
        <v>0</v>
      </c>
      <c r="AO136" s="453">
        <v>0</v>
      </c>
      <c r="AP136" s="453">
        <v>0</v>
      </c>
      <c r="AQ136" s="453">
        <v>0</v>
      </c>
      <c r="AR136" s="453">
        <v>0</v>
      </c>
      <c r="AS136" s="453">
        <v>0</v>
      </c>
      <c r="AT136" s="453">
        <v>0</v>
      </c>
      <c r="AU136" s="453">
        <v>0</v>
      </c>
      <c r="AV136" s="453">
        <v>0</v>
      </c>
      <c r="AW136" s="453">
        <v>0</v>
      </c>
      <c r="AX136" s="453">
        <v>0</v>
      </c>
      <c r="AY136" s="453">
        <v>0</v>
      </c>
      <c r="AZ136" s="453">
        <v>0</v>
      </c>
      <c r="BA136" s="453">
        <v>0</v>
      </c>
      <c r="BB136" s="453">
        <v>0</v>
      </c>
      <c r="BC136" s="453">
        <v>0</v>
      </c>
      <c r="BD136" s="453">
        <v>0</v>
      </c>
      <c r="BE136" s="105">
        <v>0</v>
      </c>
      <c r="BF136" s="453">
        <v>0</v>
      </c>
      <c r="BG136" s="453">
        <v>0</v>
      </c>
      <c r="BH136" s="105">
        <v>0</v>
      </c>
      <c r="BI136" s="453">
        <v>0</v>
      </c>
      <c r="BJ136" s="453">
        <v>0</v>
      </c>
      <c r="BK136" s="105">
        <v>0</v>
      </c>
      <c r="BL136" s="453">
        <v>0</v>
      </c>
      <c r="BM136" s="453">
        <v>0</v>
      </c>
      <c r="BN136" s="453">
        <v>0</v>
      </c>
      <c r="BO136" s="453">
        <v>0</v>
      </c>
      <c r="BP136" s="453">
        <v>0</v>
      </c>
      <c r="BQ136" s="453">
        <v>0</v>
      </c>
      <c r="BR136" s="14">
        <v>0</v>
      </c>
      <c r="BS136" s="14">
        <v>0</v>
      </c>
      <c r="BT136" s="377" t="str">
        <v/>
      </c>
      <c r="BU136" s="105" t="str">
        <v/>
      </c>
      <c r="BV136" s="453" t="str">
        <v/>
      </c>
      <c r="BW136" s="105" t="str">
        <f ca="1"/>
        <v/>
      </c>
    </row>
    <row r="137" spans="1:75" x14ac:dyDescent="0.3">
      <c r="A137" s="1">
        <v>0</v>
      </c>
      <c r="B137" s="106">
        <v>0</v>
      </c>
      <c r="C137" s="14">
        <v>0</v>
      </c>
      <c r="D137" s="14">
        <v>0</v>
      </c>
      <c r="E137" s="14">
        <v>0</v>
      </c>
      <c r="F137" s="453">
        <v>0</v>
      </c>
      <c r="G137" s="377">
        <v>0</v>
      </c>
      <c r="H137" s="453">
        <v>0</v>
      </c>
      <c r="I137" s="453">
        <v>0</v>
      </c>
      <c r="J137" s="453">
        <v>0</v>
      </c>
      <c r="K137" s="453">
        <v>0</v>
      </c>
      <c r="L137" s="453">
        <v>0</v>
      </c>
      <c r="M137" s="453">
        <v>0</v>
      </c>
      <c r="N137" s="453">
        <v>0</v>
      </c>
      <c r="O137" s="453">
        <v>0</v>
      </c>
      <c r="P137" s="14">
        <v>0</v>
      </c>
      <c r="Q137" s="14">
        <v>0</v>
      </c>
      <c r="R137" s="453">
        <v>0</v>
      </c>
      <c r="S137" s="453">
        <v>0</v>
      </c>
      <c r="T137" s="453">
        <v>0</v>
      </c>
      <c r="U137" s="453">
        <v>0</v>
      </c>
      <c r="V137" s="453">
        <v>0</v>
      </c>
      <c r="W137" s="453">
        <v>0</v>
      </c>
      <c r="X137" s="453">
        <v>0</v>
      </c>
      <c r="Y137" s="453">
        <v>0</v>
      </c>
      <c r="Z137" s="453">
        <v>0</v>
      </c>
      <c r="AA137" s="14">
        <v>0</v>
      </c>
      <c r="AB137" s="14">
        <v>0</v>
      </c>
      <c r="AC137" s="453">
        <v>0</v>
      </c>
      <c r="AD137" s="14">
        <v>0</v>
      </c>
      <c r="AE137" s="14">
        <v>0</v>
      </c>
      <c r="AF137" s="14">
        <v>0</v>
      </c>
      <c r="AG137" s="14">
        <v>0</v>
      </c>
      <c r="AH137" s="14">
        <v>0</v>
      </c>
      <c r="AI137" s="14">
        <v>0</v>
      </c>
      <c r="AJ137" s="14">
        <v>0</v>
      </c>
      <c r="AK137" s="14">
        <v>0</v>
      </c>
      <c r="AL137" s="14">
        <v>0</v>
      </c>
      <c r="AM137" s="453">
        <v>0</v>
      </c>
      <c r="AN137" s="453">
        <v>0</v>
      </c>
      <c r="AO137" s="453">
        <v>0</v>
      </c>
      <c r="AP137" s="453">
        <v>0</v>
      </c>
      <c r="AQ137" s="453">
        <v>0</v>
      </c>
      <c r="AR137" s="453">
        <v>0</v>
      </c>
      <c r="AS137" s="453">
        <v>0</v>
      </c>
      <c r="AT137" s="453">
        <v>0</v>
      </c>
      <c r="AU137" s="453">
        <v>0</v>
      </c>
      <c r="AV137" s="453">
        <v>0</v>
      </c>
      <c r="AW137" s="453">
        <v>0</v>
      </c>
      <c r="AX137" s="453">
        <v>0</v>
      </c>
      <c r="AY137" s="453">
        <v>0</v>
      </c>
      <c r="AZ137" s="453">
        <v>0</v>
      </c>
      <c r="BA137" s="453">
        <v>0</v>
      </c>
      <c r="BB137" s="453">
        <v>0</v>
      </c>
      <c r="BC137" s="453">
        <v>0</v>
      </c>
      <c r="BD137" s="453">
        <v>0</v>
      </c>
      <c r="BE137" s="105">
        <v>0</v>
      </c>
      <c r="BF137" s="453">
        <v>0</v>
      </c>
      <c r="BG137" s="453">
        <v>0</v>
      </c>
      <c r="BH137" s="105">
        <v>0</v>
      </c>
      <c r="BI137" s="453">
        <v>0</v>
      </c>
      <c r="BJ137" s="453">
        <v>0</v>
      </c>
      <c r="BK137" s="105">
        <v>0</v>
      </c>
      <c r="BL137" s="453">
        <v>0</v>
      </c>
      <c r="BM137" s="453">
        <v>0</v>
      </c>
      <c r="BN137" s="453">
        <v>0</v>
      </c>
      <c r="BO137" s="453">
        <v>0</v>
      </c>
      <c r="BP137" s="453">
        <v>0</v>
      </c>
      <c r="BQ137" s="453">
        <v>0</v>
      </c>
      <c r="BR137" s="14">
        <v>0</v>
      </c>
      <c r="BS137" s="14">
        <v>0</v>
      </c>
      <c r="BT137" s="377" t="str">
        <v/>
      </c>
      <c r="BU137" s="105" t="str">
        <v/>
      </c>
      <c r="BV137" s="453" t="str">
        <v/>
      </c>
      <c r="BW137" s="105" t="str">
        <f ca="1"/>
        <v/>
      </c>
    </row>
    <row r="138" spans="1:75" x14ac:dyDescent="0.3">
      <c r="A138" s="1">
        <v>0</v>
      </c>
      <c r="B138" s="106">
        <v>0</v>
      </c>
      <c r="C138" s="14">
        <v>0</v>
      </c>
      <c r="D138" s="14">
        <v>0</v>
      </c>
      <c r="E138" s="14">
        <v>0</v>
      </c>
      <c r="F138" s="453">
        <v>0</v>
      </c>
      <c r="G138" s="377">
        <v>0</v>
      </c>
      <c r="H138" s="453">
        <v>0</v>
      </c>
      <c r="I138" s="453">
        <v>0</v>
      </c>
      <c r="J138" s="453">
        <v>0</v>
      </c>
      <c r="K138" s="453">
        <v>0</v>
      </c>
      <c r="L138" s="453">
        <v>0</v>
      </c>
      <c r="M138" s="453">
        <v>0</v>
      </c>
      <c r="N138" s="453">
        <v>0</v>
      </c>
      <c r="O138" s="453">
        <v>0</v>
      </c>
      <c r="P138" s="14">
        <v>0</v>
      </c>
      <c r="Q138" s="14">
        <v>0</v>
      </c>
      <c r="R138" s="453">
        <v>0</v>
      </c>
      <c r="S138" s="453">
        <v>0</v>
      </c>
      <c r="T138" s="453">
        <v>0</v>
      </c>
      <c r="U138" s="453">
        <v>0</v>
      </c>
      <c r="V138" s="453">
        <v>0</v>
      </c>
      <c r="W138" s="453">
        <v>0</v>
      </c>
      <c r="X138" s="453">
        <v>0</v>
      </c>
      <c r="Y138" s="453">
        <v>0</v>
      </c>
      <c r="Z138" s="453">
        <v>0</v>
      </c>
      <c r="AA138" s="14">
        <v>0</v>
      </c>
      <c r="AB138" s="14">
        <v>0</v>
      </c>
      <c r="AC138" s="453">
        <v>0</v>
      </c>
      <c r="AD138" s="14">
        <v>0</v>
      </c>
      <c r="AE138" s="14">
        <v>0</v>
      </c>
      <c r="AF138" s="14">
        <v>0</v>
      </c>
      <c r="AG138" s="14">
        <v>0</v>
      </c>
      <c r="AH138" s="14">
        <v>0</v>
      </c>
      <c r="AI138" s="14">
        <v>0</v>
      </c>
      <c r="AJ138" s="14">
        <v>0</v>
      </c>
      <c r="AK138" s="14">
        <v>0</v>
      </c>
      <c r="AL138" s="14">
        <v>0</v>
      </c>
      <c r="AM138" s="453">
        <v>0</v>
      </c>
      <c r="AN138" s="453">
        <v>0</v>
      </c>
      <c r="AO138" s="453">
        <v>0</v>
      </c>
      <c r="AP138" s="453">
        <v>0</v>
      </c>
      <c r="AQ138" s="453">
        <v>0</v>
      </c>
      <c r="AR138" s="453">
        <v>0</v>
      </c>
      <c r="AS138" s="453">
        <v>0</v>
      </c>
      <c r="AT138" s="453">
        <v>0</v>
      </c>
      <c r="AU138" s="453">
        <v>0</v>
      </c>
      <c r="AV138" s="453">
        <v>0</v>
      </c>
      <c r="AW138" s="453">
        <v>0</v>
      </c>
      <c r="AX138" s="453">
        <v>0</v>
      </c>
      <c r="AY138" s="453">
        <v>0</v>
      </c>
      <c r="AZ138" s="453">
        <v>0</v>
      </c>
      <c r="BA138" s="453">
        <v>0</v>
      </c>
      <c r="BB138" s="453">
        <v>0</v>
      </c>
      <c r="BC138" s="453">
        <v>0</v>
      </c>
      <c r="BD138" s="453">
        <v>0</v>
      </c>
      <c r="BE138" s="105">
        <v>0</v>
      </c>
      <c r="BF138" s="453">
        <v>0</v>
      </c>
      <c r="BG138" s="453">
        <v>0</v>
      </c>
      <c r="BH138" s="105">
        <v>0</v>
      </c>
      <c r="BI138" s="453">
        <v>0</v>
      </c>
      <c r="BJ138" s="453">
        <v>0</v>
      </c>
      <c r="BK138" s="105">
        <v>0</v>
      </c>
      <c r="BL138" s="453">
        <v>0</v>
      </c>
      <c r="BM138" s="453">
        <v>0</v>
      </c>
      <c r="BN138" s="453">
        <v>0</v>
      </c>
      <c r="BO138" s="453">
        <v>0</v>
      </c>
      <c r="BP138" s="453">
        <v>0</v>
      </c>
      <c r="BQ138" s="453">
        <v>0</v>
      </c>
      <c r="BR138" s="14">
        <v>0</v>
      </c>
      <c r="BS138" s="14">
        <v>0</v>
      </c>
      <c r="BT138" s="377" t="str">
        <v/>
      </c>
      <c r="BU138" s="105" t="str">
        <v/>
      </c>
      <c r="BV138" s="453" t="str">
        <v/>
      </c>
      <c r="BW138" s="105" t="str">
        <f ca="1"/>
        <v/>
      </c>
    </row>
    <row r="139" spans="1:75" x14ac:dyDescent="0.3">
      <c r="A139" s="1">
        <v>0</v>
      </c>
      <c r="B139" s="106">
        <v>0</v>
      </c>
      <c r="C139" s="14">
        <v>0</v>
      </c>
      <c r="D139" s="14">
        <v>0</v>
      </c>
      <c r="E139" s="14">
        <v>0</v>
      </c>
      <c r="F139" s="453">
        <v>0</v>
      </c>
      <c r="G139" s="377">
        <v>0</v>
      </c>
      <c r="H139" s="453">
        <v>0</v>
      </c>
      <c r="I139" s="453">
        <v>0</v>
      </c>
      <c r="J139" s="453">
        <v>0</v>
      </c>
      <c r="K139" s="453">
        <v>0</v>
      </c>
      <c r="L139" s="453">
        <v>0</v>
      </c>
      <c r="M139" s="453">
        <v>0</v>
      </c>
      <c r="N139" s="453">
        <v>0</v>
      </c>
      <c r="O139" s="453">
        <v>0</v>
      </c>
      <c r="P139" s="14">
        <v>0</v>
      </c>
      <c r="Q139" s="14">
        <v>0</v>
      </c>
      <c r="R139" s="453">
        <v>0</v>
      </c>
      <c r="S139" s="453">
        <v>0</v>
      </c>
      <c r="T139" s="453">
        <v>0</v>
      </c>
      <c r="U139" s="453">
        <v>0</v>
      </c>
      <c r="V139" s="453">
        <v>0</v>
      </c>
      <c r="W139" s="453">
        <v>0</v>
      </c>
      <c r="X139" s="453">
        <v>0</v>
      </c>
      <c r="Y139" s="453">
        <v>0</v>
      </c>
      <c r="Z139" s="453">
        <v>0</v>
      </c>
      <c r="AA139" s="14">
        <v>0</v>
      </c>
      <c r="AB139" s="14">
        <v>0</v>
      </c>
      <c r="AC139" s="453">
        <v>0</v>
      </c>
      <c r="AD139" s="14">
        <v>0</v>
      </c>
      <c r="AE139" s="14">
        <v>0</v>
      </c>
      <c r="AF139" s="14">
        <v>0</v>
      </c>
      <c r="AG139" s="14">
        <v>0</v>
      </c>
      <c r="AH139" s="14">
        <v>0</v>
      </c>
      <c r="AI139" s="14">
        <v>0</v>
      </c>
      <c r="AJ139" s="14">
        <v>0</v>
      </c>
      <c r="AK139" s="14">
        <v>0</v>
      </c>
      <c r="AL139" s="14">
        <v>0</v>
      </c>
      <c r="AM139" s="453">
        <v>0</v>
      </c>
      <c r="AN139" s="453">
        <v>0</v>
      </c>
      <c r="AO139" s="453">
        <v>0</v>
      </c>
      <c r="AP139" s="453">
        <v>0</v>
      </c>
      <c r="AQ139" s="453">
        <v>0</v>
      </c>
      <c r="AR139" s="453">
        <v>0</v>
      </c>
      <c r="AS139" s="453">
        <v>0</v>
      </c>
      <c r="AT139" s="453">
        <v>0</v>
      </c>
      <c r="AU139" s="453">
        <v>0</v>
      </c>
      <c r="AV139" s="453">
        <v>0</v>
      </c>
      <c r="AW139" s="453">
        <v>0</v>
      </c>
      <c r="AX139" s="453">
        <v>0</v>
      </c>
      <c r="AY139" s="453">
        <v>0</v>
      </c>
      <c r="AZ139" s="453">
        <v>0</v>
      </c>
      <c r="BA139" s="453">
        <v>0</v>
      </c>
      <c r="BB139" s="453">
        <v>0</v>
      </c>
      <c r="BC139" s="453">
        <v>0</v>
      </c>
      <c r="BD139" s="453">
        <v>0</v>
      </c>
      <c r="BE139" s="105">
        <v>0</v>
      </c>
      <c r="BF139" s="453">
        <v>0</v>
      </c>
      <c r="BG139" s="453">
        <v>0</v>
      </c>
      <c r="BH139" s="105">
        <v>0</v>
      </c>
      <c r="BI139" s="453">
        <v>0</v>
      </c>
      <c r="BJ139" s="453">
        <v>0</v>
      </c>
      <c r="BK139" s="105">
        <v>0</v>
      </c>
      <c r="BL139" s="453">
        <v>0</v>
      </c>
      <c r="BM139" s="453">
        <v>0</v>
      </c>
      <c r="BN139" s="453">
        <v>0</v>
      </c>
      <c r="BO139" s="453">
        <v>0</v>
      </c>
      <c r="BP139" s="453">
        <v>0</v>
      </c>
      <c r="BQ139" s="453">
        <v>0</v>
      </c>
      <c r="BR139" s="14">
        <v>0</v>
      </c>
      <c r="BS139" s="14">
        <v>0</v>
      </c>
      <c r="BT139" s="377" t="str">
        <v/>
      </c>
      <c r="BU139" s="105" t="str">
        <v/>
      </c>
      <c r="BV139" s="453" t="str">
        <v/>
      </c>
      <c r="BW139" s="105" t="str">
        <f ca="1"/>
        <v/>
      </c>
    </row>
    <row r="140" spans="1:75" x14ac:dyDescent="0.3">
      <c r="A140" s="1">
        <v>0</v>
      </c>
      <c r="B140" s="106">
        <v>0</v>
      </c>
      <c r="C140" s="14">
        <v>0</v>
      </c>
      <c r="D140" s="14">
        <v>0</v>
      </c>
      <c r="E140" s="14">
        <v>0</v>
      </c>
      <c r="F140" s="453">
        <v>0</v>
      </c>
      <c r="G140" s="377">
        <v>0</v>
      </c>
      <c r="H140" s="453">
        <v>0</v>
      </c>
      <c r="I140" s="453">
        <v>0</v>
      </c>
      <c r="J140" s="453">
        <v>0</v>
      </c>
      <c r="K140" s="453">
        <v>0</v>
      </c>
      <c r="L140" s="453">
        <v>0</v>
      </c>
      <c r="M140" s="453">
        <v>0</v>
      </c>
      <c r="N140" s="453">
        <v>0</v>
      </c>
      <c r="O140" s="453">
        <v>0</v>
      </c>
      <c r="P140" s="14">
        <v>0</v>
      </c>
      <c r="Q140" s="14">
        <v>0</v>
      </c>
      <c r="R140" s="453">
        <v>0</v>
      </c>
      <c r="S140" s="453">
        <v>0</v>
      </c>
      <c r="T140" s="453">
        <v>0</v>
      </c>
      <c r="U140" s="453">
        <v>0</v>
      </c>
      <c r="V140" s="453">
        <v>0</v>
      </c>
      <c r="W140" s="453">
        <v>0</v>
      </c>
      <c r="X140" s="453">
        <v>0</v>
      </c>
      <c r="Y140" s="453">
        <v>0</v>
      </c>
      <c r="Z140" s="453">
        <v>0</v>
      </c>
      <c r="AA140" s="14">
        <v>0</v>
      </c>
      <c r="AB140" s="14">
        <v>0</v>
      </c>
      <c r="AC140" s="453">
        <v>0</v>
      </c>
      <c r="AD140" s="14">
        <v>0</v>
      </c>
      <c r="AE140" s="14">
        <v>0</v>
      </c>
      <c r="AF140" s="14">
        <v>0</v>
      </c>
      <c r="AG140" s="14">
        <v>0</v>
      </c>
      <c r="AH140" s="14">
        <v>0</v>
      </c>
      <c r="AI140" s="14">
        <v>0</v>
      </c>
      <c r="AJ140" s="14">
        <v>0</v>
      </c>
      <c r="AK140" s="14">
        <v>0</v>
      </c>
      <c r="AL140" s="14">
        <v>0</v>
      </c>
      <c r="AM140" s="453">
        <v>0</v>
      </c>
      <c r="AN140" s="453">
        <v>0</v>
      </c>
      <c r="AO140" s="453">
        <v>0</v>
      </c>
      <c r="AP140" s="453">
        <v>0</v>
      </c>
      <c r="AQ140" s="453">
        <v>0</v>
      </c>
      <c r="AR140" s="453">
        <v>0</v>
      </c>
      <c r="AS140" s="453">
        <v>0</v>
      </c>
      <c r="AT140" s="453">
        <v>0</v>
      </c>
      <c r="AU140" s="453">
        <v>0</v>
      </c>
      <c r="AV140" s="453">
        <v>0</v>
      </c>
      <c r="AW140" s="453">
        <v>0</v>
      </c>
      <c r="AX140" s="453">
        <v>0</v>
      </c>
      <c r="AY140" s="453">
        <v>0</v>
      </c>
      <c r="AZ140" s="453">
        <v>0</v>
      </c>
      <c r="BA140" s="453">
        <v>0</v>
      </c>
      <c r="BB140" s="453">
        <v>0</v>
      </c>
      <c r="BC140" s="453">
        <v>0</v>
      </c>
      <c r="BD140" s="453">
        <v>0</v>
      </c>
      <c r="BE140" s="105">
        <v>0</v>
      </c>
      <c r="BF140" s="453">
        <v>0</v>
      </c>
      <c r="BG140" s="453">
        <v>0</v>
      </c>
      <c r="BH140" s="105">
        <v>0</v>
      </c>
      <c r="BI140" s="453">
        <v>0</v>
      </c>
      <c r="BJ140" s="453">
        <v>0</v>
      </c>
      <c r="BK140" s="105">
        <v>0</v>
      </c>
      <c r="BL140" s="453">
        <v>0</v>
      </c>
      <c r="BM140" s="453">
        <v>0</v>
      </c>
      <c r="BN140" s="453">
        <v>0</v>
      </c>
      <c r="BO140" s="453">
        <v>0</v>
      </c>
      <c r="BP140" s="453">
        <v>0</v>
      </c>
      <c r="BQ140" s="453">
        <v>0</v>
      </c>
      <c r="BR140" s="14">
        <v>0</v>
      </c>
      <c r="BS140" s="14">
        <v>0</v>
      </c>
      <c r="BT140" s="377" t="str">
        <v/>
      </c>
      <c r="BU140" s="105" t="str">
        <v/>
      </c>
      <c r="BV140" s="453" t="str">
        <v/>
      </c>
      <c r="BW140" s="105" t="str">
        <f ca="1"/>
        <v/>
      </c>
    </row>
    <row r="141" spans="1:75" x14ac:dyDescent="0.3">
      <c r="A141" s="1">
        <v>0</v>
      </c>
      <c r="B141" s="106">
        <v>0</v>
      </c>
      <c r="C141" s="14">
        <v>0</v>
      </c>
      <c r="D141" s="14">
        <v>0</v>
      </c>
      <c r="E141" s="14">
        <v>0</v>
      </c>
      <c r="F141" s="453">
        <v>0</v>
      </c>
      <c r="G141" s="377">
        <v>0</v>
      </c>
      <c r="H141" s="453">
        <v>0</v>
      </c>
      <c r="I141" s="453">
        <v>0</v>
      </c>
      <c r="J141" s="453">
        <v>0</v>
      </c>
      <c r="K141" s="453">
        <v>0</v>
      </c>
      <c r="L141" s="453">
        <v>0</v>
      </c>
      <c r="M141" s="453">
        <v>0</v>
      </c>
      <c r="N141" s="453">
        <v>0</v>
      </c>
      <c r="O141" s="453">
        <v>0</v>
      </c>
      <c r="P141" s="14">
        <v>0</v>
      </c>
      <c r="Q141" s="14">
        <v>0</v>
      </c>
      <c r="R141" s="453">
        <v>0</v>
      </c>
      <c r="S141" s="453">
        <v>0</v>
      </c>
      <c r="T141" s="453">
        <v>0</v>
      </c>
      <c r="U141" s="453">
        <v>0</v>
      </c>
      <c r="V141" s="453">
        <v>0</v>
      </c>
      <c r="W141" s="453">
        <v>0</v>
      </c>
      <c r="X141" s="453">
        <v>0</v>
      </c>
      <c r="Y141" s="453">
        <v>0</v>
      </c>
      <c r="Z141" s="453">
        <v>0</v>
      </c>
      <c r="AA141" s="14">
        <v>0</v>
      </c>
      <c r="AB141" s="14">
        <v>0</v>
      </c>
      <c r="AC141" s="453">
        <v>0</v>
      </c>
      <c r="AD141" s="14">
        <v>0</v>
      </c>
      <c r="AE141" s="14">
        <v>0</v>
      </c>
      <c r="AF141" s="14">
        <v>0</v>
      </c>
      <c r="AG141" s="14">
        <v>0</v>
      </c>
      <c r="AH141" s="14">
        <v>0</v>
      </c>
      <c r="AI141" s="14">
        <v>0</v>
      </c>
      <c r="AJ141" s="14">
        <v>0</v>
      </c>
      <c r="AK141" s="14">
        <v>0</v>
      </c>
      <c r="AL141" s="14">
        <v>0</v>
      </c>
      <c r="AM141" s="453">
        <v>0</v>
      </c>
      <c r="AN141" s="453">
        <v>0</v>
      </c>
      <c r="AO141" s="453">
        <v>0</v>
      </c>
      <c r="AP141" s="453">
        <v>0</v>
      </c>
      <c r="AQ141" s="453">
        <v>0</v>
      </c>
      <c r="AR141" s="453">
        <v>0</v>
      </c>
      <c r="AS141" s="453">
        <v>0</v>
      </c>
      <c r="AT141" s="453">
        <v>0</v>
      </c>
      <c r="AU141" s="453">
        <v>0</v>
      </c>
      <c r="AV141" s="453">
        <v>0</v>
      </c>
      <c r="AW141" s="453">
        <v>0</v>
      </c>
      <c r="AX141" s="453">
        <v>0</v>
      </c>
      <c r="AY141" s="453">
        <v>0</v>
      </c>
      <c r="AZ141" s="453">
        <v>0</v>
      </c>
      <c r="BA141" s="453">
        <v>0</v>
      </c>
      <c r="BB141" s="453">
        <v>0</v>
      </c>
      <c r="BC141" s="453">
        <v>0</v>
      </c>
      <c r="BD141" s="453">
        <v>0</v>
      </c>
      <c r="BE141" s="105">
        <v>0</v>
      </c>
      <c r="BF141" s="453">
        <v>0</v>
      </c>
      <c r="BG141" s="453">
        <v>0</v>
      </c>
      <c r="BH141" s="105">
        <v>0</v>
      </c>
      <c r="BI141" s="453">
        <v>0</v>
      </c>
      <c r="BJ141" s="453">
        <v>0</v>
      </c>
      <c r="BK141" s="105">
        <v>0</v>
      </c>
      <c r="BL141" s="453">
        <v>0</v>
      </c>
      <c r="BM141" s="453">
        <v>0</v>
      </c>
      <c r="BN141" s="453">
        <v>0</v>
      </c>
      <c r="BO141" s="453">
        <v>0</v>
      </c>
      <c r="BP141" s="453">
        <v>0</v>
      </c>
      <c r="BQ141" s="453">
        <v>0</v>
      </c>
      <c r="BR141" s="14">
        <v>0</v>
      </c>
      <c r="BS141" s="14">
        <v>0</v>
      </c>
      <c r="BT141" s="377" t="str">
        <v/>
      </c>
      <c r="BU141" s="105" t="str">
        <v/>
      </c>
      <c r="BV141" s="453" t="str">
        <v/>
      </c>
      <c r="BW141" s="105" t="str">
        <f ca="1"/>
        <v/>
      </c>
    </row>
    <row r="142" spans="1:75" x14ac:dyDescent="0.3">
      <c r="A142" s="1">
        <v>0</v>
      </c>
      <c r="B142" s="106">
        <v>0</v>
      </c>
      <c r="C142" s="14">
        <v>0</v>
      </c>
      <c r="D142" s="14">
        <v>0</v>
      </c>
      <c r="E142" s="14">
        <v>0</v>
      </c>
      <c r="F142" s="453">
        <v>0</v>
      </c>
      <c r="G142" s="377">
        <v>0</v>
      </c>
      <c r="H142" s="453">
        <v>0</v>
      </c>
      <c r="I142" s="453">
        <v>0</v>
      </c>
      <c r="J142" s="453">
        <v>0</v>
      </c>
      <c r="K142" s="453">
        <v>0</v>
      </c>
      <c r="L142" s="453">
        <v>0</v>
      </c>
      <c r="M142" s="453">
        <v>0</v>
      </c>
      <c r="N142" s="453">
        <v>0</v>
      </c>
      <c r="O142" s="453">
        <v>0</v>
      </c>
      <c r="P142" s="14">
        <v>0</v>
      </c>
      <c r="Q142" s="14">
        <v>0</v>
      </c>
      <c r="R142" s="453">
        <v>0</v>
      </c>
      <c r="S142" s="453">
        <v>0</v>
      </c>
      <c r="T142" s="453">
        <v>0</v>
      </c>
      <c r="U142" s="453">
        <v>0</v>
      </c>
      <c r="V142" s="453">
        <v>0</v>
      </c>
      <c r="W142" s="453">
        <v>0</v>
      </c>
      <c r="X142" s="453">
        <v>0</v>
      </c>
      <c r="Y142" s="453">
        <v>0</v>
      </c>
      <c r="Z142" s="453">
        <v>0</v>
      </c>
      <c r="AA142" s="14">
        <v>0</v>
      </c>
      <c r="AB142" s="14">
        <v>0</v>
      </c>
      <c r="AC142" s="453">
        <v>0</v>
      </c>
      <c r="AD142" s="14">
        <v>0</v>
      </c>
      <c r="AE142" s="14">
        <v>0</v>
      </c>
      <c r="AF142" s="14">
        <v>0</v>
      </c>
      <c r="AG142" s="14">
        <v>0</v>
      </c>
      <c r="AH142" s="14">
        <v>0</v>
      </c>
      <c r="AI142" s="14">
        <v>0</v>
      </c>
      <c r="AJ142" s="14">
        <v>0</v>
      </c>
      <c r="AK142" s="14">
        <v>0</v>
      </c>
      <c r="AL142" s="14">
        <v>0</v>
      </c>
      <c r="AM142" s="453">
        <v>0</v>
      </c>
      <c r="AN142" s="453">
        <v>0</v>
      </c>
      <c r="AO142" s="453">
        <v>0</v>
      </c>
      <c r="AP142" s="453">
        <v>0</v>
      </c>
      <c r="AQ142" s="453">
        <v>0</v>
      </c>
      <c r="AR142" s="453">
        <v>0</v>
      </c>
      <c r="AS142" s="453">
        <v>0</v>
      </c>
      <c r="AT142" s="453">
        <v>0</v>
      </c>
      <c r="AU142" s="453">
        <v>0</v>
      </c>
      <c r="AV142" s="453">
        <v>0</v>
      </c>
      <c r="AW142" s="453">
        <v>0</v>
      </c>
      <c r="AX142" s="453">
        <v>0</v>
      </c>
      <c r="AY142" s="453">
        <v>0</v>
      </c>
      <c r="AZ142" s="453">
        <v>0</v>
      </c>
      <c r="BA142" s="453">
        <v>0</v>
      </c>
      <c r="BB142" s="453">
        <v>0</v>
      </c>
      <c r="BC142" s="453">
        <v>0</v>
      </c>
      <c r="BD142" s="453">
        <v>0</v>
      </c>
      <c r="BE142" s="105">
        <v>0</v>
      </c>
      <c r="BF142" s="453">
        <v>0</v>
      </c>
      <c r="BG142" s="453">
        <v>0</v>
      </c>
      <c r="BH142" s="105">
        <v>0</v>
      </c>
      <c r="BI142" s="453">
        <v>0</v>
      </c>
      <c r="BJ142" s="453">
        <v>0</v>
      </c>
      <c r="BK142" s="105">
        <v>0</v>
      </c>
      <c r="BL142" s="453">
        <v>0</v>
      </c>
      <c r="BM142" s="453">
        <v>0</v>
      </c>
      <c r="BN142" s="453">
        <v>0</v>
      </c>
      <c r="BO142" s="453">
        <v>0</v>
      </c>
      <c r="BP142" s="453">
        <v>0</v>
      </c>
      <c r="BQ142" s="453">
        <v>0</v>
      </c>
      <c r="BR142" s="14">
        <v>0</v>
      </c>
      <c r="BS142" s="14">
        <v>0</v>
      </c>
      <c r="BT142" s="377" t="str">
        <v/>
      </c>
      <c r="BU142" s="105" t="str">
        <v/>
      </c>
      <c r="BV142" s="453" t="str">
        <v/>
      </c>
      <c r="BW142" s="105" t="str">
        <f ca="1"/>
        <v/>
      </c>
    </row>
    <row r="143" spans="1:75" x14ac:dyDescent="0.3">
      <c r="A143" s="1">
        <v>0</v>
      </c>
      <c r="B143" s="106">
        <v>0</v>
      </c>
      <c r="C143" s="14">
        <v>0</v>
      </c>
      <c r="D143" s="14">
        <v>0</v>
      </c>
      <c r="E143" s="14">
        <v>0</v>
      </c>
      <c r="F143" s="453">
        <v>0</v>
      </c>
      <c r="G143" s="377">
        <v>0</v>
      </c>
      <c r="H143" s="453">
        <v>0</v>
      </c>
      <c r="I143" s="453">
        <v>0</v>
      </c>
      <c r="J143" s="453">
        <v>0</v>
      </c>
      <c r="K143" s="453">
        <v>0</v>
      </c>
      <c r="L143" s="453">
        <v>0</v>
      </c>
      <c r="M143" s="453">
        <v>0</v>
      </c>
      <c r="N143" s="453">
        <v>0</v>
      </c>
      <c r="O143" s="453">
        <v>0</v>
      </c>
      <c r="P143" s="14">
        <v>0</v>
      </c>
      <c r="Q143" s="14">
        <v>0</v>
      </c>
      <c r="R143" s="453">
        <v>0</v>
      </c>
      <c r="S143" s="453">
        <v>0</v>
      </c>
      <c r="T143" s="453">
        <v>0</v>
      </c>
      <c r="U143" s="453">
        <v>0</v>
      </c>
      <c r="V143" s="453">
        <v>0</v>
      </c>
      <c r="W143" s="453">
        <v>0</v>
      </c>
      <c r="X143" s="453">
        <v>0</v>
      </c>
      <c r="Y143" s="453">
        <v>0</v>
      </c>
      <c r="Z143" s="453">
        <v>0</v>
      </c>
      <c r="AA143" s="14">
        <v>0</v>
      </c>
      <c r="AB143" s="14">
        <v>0</v>
      </c>
      <c r="AC143" s="453">
        <v>0</v>
      </c>
      <c r="AD143" s="14">
        <v>0</v>
      </c>
      <c r="AE143" s="14">
        <v>0</v>
      </c>
      <c r="AF143" s="14">
        <v>0</v>
      </c>
      <c r="AG143" s="14">
        <v>0</v>
      </c>
      <c r="AH143" s="14">
        <v>0</v>
      </c>
      <c r="AI143" s="14">
        <v>0</v>
      </c>
      <c r="AJ143" s="14">
        <v>0</v>
      </c>
      <c r="AK143" s="14">
        <v>0</v>
      </c>
      <c r="AL143" s="14">
        <v>0</v>
      </c>
      <c r="AM143" s="453">
        <v>0</v>
      </c>
      <c r="AN143" s="453">
        <v>0</v>
      </c>
      <c r="AO143" s="453">
        <v>0</v>
      </c>
      <c r="AP143" s="453">
        <v>0</v>
      </c>
      <c r="AQ143" s="453">
        <v>0</v>
      </c>
      <c r="AR143" s="453">
        <v>0</v>
      </c>
      <c r="AS143" s="453">
        <v>0</v>
      </c>
      <c r="AT143" s="453">
        <v>0</v>
      </c>
      <c r="AU143" s="453">
        <v>0</v>
      </c>
      <c r="AV143" s="453">
        <v>0</v>
      </c>
      <c r="AW143" s="453">
        <v>0</v>
      </c>
      <c r="AX143" s="453">
        <v>0</v>
      </c>
      <c r="AY143" s="453">
        <v>0</v>
      </c>
      <c r="AZ143" s="453">
        <v>0</v>
      </c>
      <c r="BA143" s="453">
        <v>0</v>
      </c>
      <c r="BB143" s="453">
        <v>0</v>
      </c>
      <c r="BC143" s="453">
        <v>0</v>
      </c>
      <c r="BD143" s="453">
        <v>0</v>
      </c>
      <c r="BE143" s="105">
        <v>0</v>
      </c>
      <c r="BF143" s="453">
        <v>0</v>
      </c>
      <c r="BG143" s="453">
        <v>0</v>
      </c>
      <c r="BH143" s="105">
        <v>0</v>
      </c>
      <c r="BI143" s="453">
        <v>0</v>
      </c>
      <c r="BJ143" s="453">
        <v>0</v>
      </c>
      <c r="BK143" s="105">
        <v>0</v>
      </c>
      <c r="BL143" s="453">
        <v>0</v>
      </c>
      <c r="BM143" s="453">
        <v>0</v>
      </c>
      <c r="BN143" s="453">
        <v>0</v>
      </c>
      <c r="BO143" s="453">
        <v>0</v>
      </c>
      <c r="BP143" s="453">
        <v>0</v>
      </c>
      <c r="BQ143" s="453">
        <v>0</v>
      </c>
      <c r="BR143" s="14">
        <v>0</v>
      </c>
      <c r="BS143" s="14">
        <v>0</v>
      </c>
      <c r="BT143" s="377" t="str">
        <v/>
      </c>
      <c r="BU143" s="105" t="str">
        <v/>
      </c>
      <c r="BV143" s="453" t="str">
        <v/>
      </c>
      <c r="BW143" s="105" t="str">
        <f ca="1"/>
        <v/>
      </c>
    </row>
    <row r="144" spans="1:75" x14ac:dyDescent="0.3">
      <c r="A144" s="1">
        <v>0</v>
      </c>
      <c r="B144" s="106">
        <v>0</v>
      </c>
      <c r="C144" s="14">
        <v>0</v>
      </c>
      <c r="D144" s="14">
        <v>0</v>
      </c>
      <c r="E144" s="14">
        <v>0</v>
      </c>
      <c r="F144" s="453">
        <v>0</v>
      </c>
      <c r="G144" s="377">
        <v>0</v>
      </c>
      <c r="H144" s="453">
        <v>0</v>
      </c>
      <c r="I144" s="453">
        <v>0</v>
      </c>
      <c r="J144" s="453">
        <v>0</v>
      </c>
      <c r="K144" s="453">
        <v>0</v>
      </c>
      <c r="L144" s="453">
        <v>0</v>
      </c>
      <c r="M144" s="453">
        <v>0</v>
      </c>
      <c r="N144" s="453">
        <v>0</v>
      </c>
      <c r="O144" s="453">
        <v>0</v>
      </c>
      <c r="P144" s="14">
        <v>0</v>
      </c>
      <c r="Q144" s="14">
        <v>0</v>
      </c>
      <c r="R144" s="453">
        <v>0</v>
      </c>
      <c r="S144" s="453">
        <v>0</v>
      </c>
      <c r="T144" s="453">
        <v>0</v>
      </c>
      <c r="U144" s="453">
        <v>0</v>
      </c>
      <c r="V144" s="453">
        <v>0</v>
      </c>
      <c r="W144" s="453">
        <v>0</v>
      </c>
      <c r="X144" s="453">
        <v>0</v>
      </c>
      <c r="Y144" s="453">
        <v>0</v>
      </c>
      <c r="Z144" s="453">
        <v>0</v>
      </c>
      <c r="AA144" s="14">
        <v>0</v>
      </c>
      <c r="AB144" s="14">
        <v>0</v>
      </c>
      <c r="AC144" s="453">
        <v>0</v>
      </c>
      <c r="AD144" s="14">
        <v>0</v>
      </c>
      <c r="AE144" s="14">
        <v>0</v>
      </c>
      <c r="AF144" s="14">
        <v>0</v>
      </c>
      <c r="AG144" s="14">
        <v>0</v>
      </c>
      <c r="AH144" s="14">
        <v>0</v>
      </c>
      <c r="AI144" s="14">
        <v>0</v>
      </c>
      <c r="AJ144" s="14">
        <v>0</v>
      </c>
      <c r="AK144" s="14">
        <v>0</v>
      </c>
      <c r="AL144" s="14">
        <v>0</v>
      </c>
      <c r="AM144" s="453">
        <v>0</v>
      </c>
      <c r="AN144" s="453">
        <v>0</v>
      </c>
      <c r="AO144" s="453">
        <v>0</v>
      </c>
      <c r="AP144" s="453">
        <v>0</v>
      </c>
      <c r="AQ144" s="453">
        <v>0</v>
      </c>
      <c r="AR144" s="453">
        <v>0</v>
      </c>
      <c r="AS144" s="453">
        <v>0</v>
      </c>
      <c r="AT144" s="453">
        <v>0</v>
      </c>
      <c r="AU144" s="453">
        <v>0</v>
      </c>
      <c r="AV144" s="453">
        <v>0</v>
      </c>
      <c r="AW144" s="453">
        <v>0</v>
      </c>
      <c r="AX144" s="453">
        <v>0</v>
      </c>
      <c r="AY144" s="453">
        <v>0</v>
      </c>
      <c r="AZ144" s="453">
        <v>0</v>
      </c>
      <c r="BA144" s="453">
        <v>0</v>
      </c>
      <c r="BB144" s="453">
        <v>0</v>
      </c>
      <c r="BC144" s="453">
        <v>0</v>
      </c>
      <c r="BD144" s="453">
        <v>0</v>
      </c>
      <c r="BE144" s="105">
        <v>0</v>
      </c>
      <c r="BF144" s="453">
        <v>0</v>
      </c>
      <c r="BG144" s="453">
        <v>0</v>
      </c>
      <c r="BH144" s="105">
        <v>0</v>
      </c>
      <c r="BI144" s="453">
        <v>0</v>
      </c>
      <c r="BJ144" s="453">
        <v>0</v>
      </c>
      <c r="BK144" s="105">
        <v>0</v>
      </c>
      <c r="BL144" s="453">
        <v>0</v>
      </c>
      <c r="BM144" s="453">
        <v>0</v>
      </c>
      <c r="BN144" s="453">
        <v>0</v>
      </c>
      <c r="BO144" s="453">
        <v>0</v>
      </c>
      <c r="BP144" s="453">
        <v>0</v>
      </c>
      <c r="BQ144" s="453">
        <v>0</v>
      </c>
      <c r="BR144" s="14">
        <v>0</v>
      </c>
      <c r="BS144" s="14">
        <v>0</v>
      </c>
      <c r="BT144" s="377" t="str">
        <v/>
      </c>
      <c r="BU144" s="105" t="str">
        <v/>
      </c>
      <c r="BV144" s="453" t="str">
        <v/>
      </c>
      <c r="BW144" s="105" t="str">
        <f ca="1"/>
        <v/>
      </c>
    </row>
    <row r="145" spans="1:75" x14ac:dyDescent="0.3">
      <c r="A145" s="1">
        <v>0</v>
      </c>
      <c r="B145" s="106">
        <v>0</v>
      </c>
      <c r="C145" s="14">
        <v>0</v>
      </c>
      <c r="D145" s="14">
        <v>0</v>
      </c>
      <c r="E145" s="14">
        <v>0</v>
      </c>
      <c r="F145" s="453">
        <v>0</v>
      </c>
      <c r="G145" s="377">
        <v>0</v>
      </c>
      <c r="H145" s="453">
        <v>0</v>
      </c>
      <c r="I145" s="453">
        <v>0</v>
      </c>
      <c r="J145" s="453">
        <v>0</v>
      </c>
      <c r="K145" s="453">
        <v>0</v>
      </c>
      <c r="L145" s="453">
        <v>0</v>
      </c>
      <c r="M145" s="453">
        <v>0</v>
      </c>
      <c r="N145" s="453">
        <v>0</v>
      </c>
      <c r="O145" s="453">
        <v>0</v>
      </c>
      <c r="P145" s="14">
        <v>0</v>
      </c>
      <c r="Q145" s="14">
        <v>0</v>
      </c>
      <c r="R145" s="453">
        <v>0</v>
      </c>
      <c r="S145" s="453">
        <v>0</v>
      </c>
      <c r="T145" s="453">
        <v>0</v>
      </c>
      <c r="U145" s="453">
        <v>0</v>
      </c>
      <c r="V145" s="453">
        <v>0</v>
      </c>
      <c r="W145" s="453">
        <v>0</v>
      </c>
      <c r="X145" s="453">
        <v>0</v>
      </c>
      <c r="Y145" s="453">
        <v>0</v>
      </c>
      <c r="Z145" s="453">
        <v>0</v>
      </c>
      <c r="AA145" s="14">
        <v>0</v>
      </c>
      <c r="AB145" s="14">
        <v>0</v>
      </c>
      <c r="AC145" s="453">
        <v>0</v>
      </c>
      <c r="AD145" s="14">
        <v>0</v>
      </c>
      <c r="AE145" s="14">
        <v>0</v>
      </c>
      <c r="AF145" s="14">
        <v>0</v>
      </c>
      <c r="AG145" s="14">
        <v>0</v>
      </c>
      <c r="AH145" s="14">
        <v>0</v>
      </c>
      <c r="AI145" s="14">
        <v>0</v>
      </c>
      <c r="AJ145" s="14">
        <v>0</v>
      </c>
      <c r="AK145" s="14">
        <v>0</v>
      </c>
      <c r="AL145" s="14">
        <v>0</v>
      </c>
      <c r="AM145" s="453">
        <v>0</v>
      </c>
      <c r="AN145" s="453">
        <v>0</v>
      </c>
      <c r="AO145" s="453">
        <v>0</v>
      </c>
      <c r="AP145" s="453">
        <v>0</v>
      </c>
      <c r="AQ145" s="453">
        <v>0</v>
      </c>
      <c r="AR145" s="453">
        <v>0</v>
      </c>
      <c r="AS145" s="453">
        <v>0</v>
      </c>
      <c r="AT145" s="453">
        <v>0</v>
      </c>
      <c r="AU145" s="453">
        <v>0</v>
      </c>
      <c r="AV145" s="453">
        <v>0</v>
      </c>
      <c r="AW145" s="453">
        <v>0</v>
      </c>
      <c r="AX145" s="453">
        <v>0</v>
      </c>
      <c r="AY145" s="453">
        <v>0</v>
      </c>
      <c r="AZ145" s="453">
        <v>0</v>
      </c>
      <c r="BA145" s="453">
        <v>0</v>
      </c>
      <c r="BB145" s="453">
        <v>0</v>
      </c>
      <c r="BC145" s="453">
        <v>0</v>
      </c>
      <c r="BD145" s="453">
        <v>0</v>
      </c>
      <c r="BE145" s="105">
        <v>0</v>
      </c>
      <c r="BF145" s="453">
        <v>0</v>
      </c>
      <c r="BG145" s="453">
        <v>0</v>
      </c>
      <c r="BH145" s="105">
        <v>0</v>
      </c>
      <c r="BI145" s="453">
        <v>0</v>
      </c>
      <c r="BJ145" s="453">
        <v>0</v>
      </c>
      <c r="BK145" s="105">
        <v>0</v>
      </c>
      <c r="BL145" s="453">
        <v>0</v>
      </c>
      <c r="BM145" s="453">
        <v>0</v>
      </c>
      <c r="BN145" s="453">
        <v>0</v>
      </c>
      <c r="BO145" s="453">
        <v>0</v>
      </c>
      <c r="BP145" s="453">
        <v>0</v>
      </c>
      <c r="BQ145" s="453">
        <v>0</v>
      </c>
      <c r="BR145" s="14">
        <v>0</v>
      </c>
      <c r="BS145" s="14">
        <v>0</v>
      </c>
      <c r="BT145" s="377" t="str">
        <v/>
      </c>
      <c r="BU145" s="105" t="str">
        <v/>
      </c>
      <c r="BV145" s="453" t="str">
        <v/>
      </c>
      <c r="BW145" s="105" t="str">
        <f ca="1"/>
        <v/>
      </c>
    </row>
    <row r="146" spans="1:75" x14ac:dyDescent="0.3">
      <c r="A146" s="1">
        <v>0</v>
      </c>
      <c r="B146" s="106">
        <v>0</v>
      </c>
      <c r="C146" s="14">
        <v>0</v>
      </c>
      <c r="D146" s="14">
        <v>0</v>
      </c>
      <c r="E146" s="14">
        <v>0</v>
      </c>
      <c r="F146" s="453">
        <v>0</v>
      </c>
      <c r="G146" s="377">
        <v>0</v>
      </c>
      <c r="H146" s="453">
        <v>0</v>
      </c>
      <c r="I146" s="453">
        <v>0</v>
      </c>
      <c r="J146" s="453">
        <v>0</v>
      </c>
      <c r="K146" s="453">
        <v>0</v>
      </c>
      <c r="L146" s="453">
        <v>0</v>
      </c>
      <c r="M146" s="453">
        <v>0</v>
      </c>
      <c r="N146" s="453">
        <v>0</v>
      </c>
      <c r="O146" s="453">
        <v>0</v>
      </c>
      <c r="P146" s="14">
        <v>0</v>
      </c>
      <c r="Q146" s="14">
        <v>0</v>
      </c>
      <c r="R146" s="453">
        <v>0</v>
      </c>
      <c r="S146" s="453">
        <v>0</v>
      </c>
      <c r="T146" s="453">
        <v>0</v>
      </c>
      <c r="U146" s="453">
        <v>0</v>
      </c>
      <c r="V146" s="453">
        <v>0</v>
      </c>
      <c r="W146" s="453">
        <v>0</v>
      </c>
      <c r="X146" s="453">
        <v>0</v>
      </c>
      <c r="Y146" s="453">
        <v>0</v>
      </c>
      <c r="Z146" s="453">
        <v>0</v>
      </c>
      <c r="AA146" s="14">
        <v>0</v>
      </c>
      <c r="AB146" s="14">
        <v>0</v>
      </c>
      <c r="AC146" s="453">
        <v>0</v>
      </c>
      <c r="AD146" s="14">
        <v>0</v>
      </c>
      <c r="AE146" s="14">
        <v>0</v>
      </c>
      <c r="AF146" s="14">
        <v>0</v>
      </c>
      <c r="AG146" s="14">
        <v>0</v>
      </c>
      <c r="AH146" s="14">
        <v>0</v>
      </c>
      <c r="AI146" s="14">
        <v>0</v>
      </c>
      <c r="AJ146" s="14">
        <v>0</v>
      </c>
      <c r="AK146" s="14">
        <v>0</v>
      </c>
      <c r="AL146" s="14">
        <v>0</v>
      </c>
      <c r="AM146" s="453">
        <v>0</v>
      </c>
      <c r="AN146" s="453">
        <v>0</v>
      </c>
      <c r="AO146" s="453">
        <v>0</v>
      </c>
      <c r="AP146" s="453">
        <v>0</v>
      </c>
      <c r="AQ146" s="453">
        <v>0</v>
      </c>
      <c r="AR146" s="453">
        <v>0</v>
      </c>
      <c r="AS146" s="453">
        <v>0</v>
      </c>
      <c r="AT146" s="453">
        <v>0</v>
      </c>
      <c r="AU146" s="453">
        <v>0</v>
      </c>
      <c r="AV146" s="453">
        <v>0</v>
      </c>
      <c r="AW146" s="453">
        <v>0</v>
      </c>
      <c r="AX146" s="453">
        <v>0</v>
      </c>
      <c r="AY146" s="453">
        <v>0</v>
      </c>
      <c r="AZ146" s="453">
        <v>0</v>
      </c>
      <c r="BA146" s="453">
        <v>0</v>
      </c>
      <c r="BB146" s="453">
        <v>0</v>
      </c>
      <c r="BC146" s="453">
        <v>0</v>
      </c>
      <c r="BD146" s="453">
        <v>0</v>
      </c>
      <c r="BE146" s="105">
        <v>0</v>
      </c>
      <c r="BF146" s="453">
        <v>0</v>
      </c>
      <c r="BG146" s="453">
        <v>0</v>
      </c>
      <c r="BH146" s="105">
        <v>0</v>
      </c>
      <c r="BI146" s="453">
        <v>0</v>
      </c>
      <c r="BJ146" s="453">
        <v>0</v>
      </c>
      <c r="BK146" s="105">
        <v>0</v>
      </c>
      <c r="BL146" s="453">
        <v>0</v>
      </c>
      <c r="BM146" s="453">
        <v>0</v>
      </c>
      <c r="BN146" s="453">
        <v>0</v>
      </c>
      <c r="BO146" s="453">
        <v>0</v>
      </c>
      <c r="BP146" s="453">
        <v>0</v>
      </c>
      <c r="BQ146" s="453">
        <v>0</v>
      </c>
      <c r="BR146" s="14">
        <v>0</v>
      </c>
      <c r="BS146" s="14">
        <v>0</v>
      </c>
      <c r="BT146" s="377" t="str">
        <v/>
      </c>
      <c r="BU146" s="105" t="str">
        <v/>
      </c>
      <c r="BV146" s="453" t="str">
        <v/>
      </c>
      <c r="BW146" s="105" t="str">
        <f ca="1"/>
        <v/>
      </c>
    </row>
    <row r="147" spans="1:75" x14ac:dyDescent="0.3">
      <c r="A147" s="1">
        <v>0</v>
      </c>
      <c r="B147" s="106">
        <v>0</v>
      </c>
      <c r="C147" s="14">
        <v>0</v>
      </c>
      <c r="D147" s="14">
        <v>0</v>
      </c>
      <c r="E147" s="14">
        <v>0</v>
      </c>
      <c r="F147" s="453">
        <v>0</v>
      </c>
      <c r="G147" s="377">
        <v>0</v>
      </c>
      <c r="H147" s="453">
        <v>0</v>
      </c>
      <c r="I147" s="453">
        <v>0</v>
      </c>
      <c r="J147" s="453">
        <v>0</v>
      </c>
      <c r="K147" s="453">
        <v>0</v>
      </c>
      <c r="L147" s="453">
        <v>0</v>
      </c>
      <c r="M147" s="453">
        <v>0</v>
      </c>
      <c r="N147" s="453">
        <v>0</v>
      </c>
      <c r="O147" s="453">
        <v>0</v>
      </c>
      <c r="P147" s="14">
        <v>0</v>
      </c>
      <c r="Q147" s="14">
        <v>0</v>
      </c>
      <c r="R147" s="453">
        <v>0</v>
      </c>
      <c r="S147" s="453">
        <v>0</v>
      </c>
      <c r="T147" s="453">
        <v>0</v>
      </c>
      <c r="U147" s="453">
        <v>0</v>
      </c>
      <c r="V147" s="453">
        <v>0</v>
      </c>
      <c r="W147" s="453">
        <v>0</v>
      </c>
      <c r="X147" s="453">
        <v>0</v>
      </c>
      <c r="Y147" s="453">
        <v>0</v>
      </c>
      <c r="Z147" s="453">
        <v>0</v>
      </c>
      <c r="AA147" s="14">
        <v>0</v>
      </c>
      <c r="AB147" s="14">
        <v>0</v>
      </c>
      <c r="AC147" s="453">
        <v>0</v>
      </c>
      <c r="AD147" s="14">
        <v>0</v>
      </c>
      <c r="AE147" s="14">
        <v>0</v>
      </c>
      <c r="AF147" s="14">
        <v>0</v>
      </c>
      <c r="AG147" s="14">
        <v>0</v>
      </c>
      <c r="AH147" s="14">
        <v>0</v>
      </c>
      <c r="AI147" s="14">
        <v>0</v>
      </c>
      <c r="AJ147" s="14">
        <v>0</v>
      </c>
      <c r="AK147" s="14">
        <v>0</v>
      </c>
      <c r="AL147" s="14">
        <v>0</v>
      </c>
      <c r="AM147" s="453">
        <v>0</v>
      </c>
      <c r="AN147" s="453">
        <v>0</v>
      </c>
      <c r="AO147" s="453">
        <v>0</v>
      </c>
      <c r="AP147" s="453">
        <v>0</v>
      </c>
      <c r="AQ147" s="453">
        <v>0</v>
      </c>
      <c r="AR147" s="453">
        <v>0</v>
      </c>
      <c r="AS147" s="453">
        <v>0</v>
      </c>
      <c r="AT147" s="453">
        <v>0</v>
      </c>
      <c r="AU147" s="453">
        <v>0</v>
      </c>
      <c r="AV147" s="453">
        <v>0</v>
      </c>
      <c r="AW147" s="453">
        <v>0</v>
      </c>
      <c r="AX147" s="453">
        <v>0</v>
      </c>
      <c r="AY147" s="453">
        <v>0</v>
      </c>
      <c r="AZ147" s="453">
        <v>0</v>
      </c>
      <c r="BA147" s="453">
        <v>0</v>
      </c>
      <c r="BB147" s="453">
        <v>0</v>
      </c>
      <c r="BC147" s="453">
        <v>0</v>
      </c>
      <c r="BD147" s="453">
        <v>0</v>
      </c>
      <c r="BE147" s="105">
        <v>0</v>
      </c>
      <c r="BF147" s="453">
        <v>0</v>
      </c>
      <c r="BG147" s="453">
        <v>0</v>
      </c>
      <c r="BH147" s="105">
        <v>0</v>
      </c>
      <c r="BI147" s="453">
        <v>0</v>
      </c>
      <c r="BJ147" s="453">
        <v>0</v>
      </c>
      <c r="BK147" s="105">
        <v>0</v>
      </c>
      <c r="BL147" s="453">
        <v>0</v>
      </c>
      <c r="BM147" s="453">
        <v>0</v>
      </c>
      <c r="BN147" s="453">
        <v>0</v>
      </c>
      <c r="BO147" s="453">
        <v>0</v>
      </c>
      <c r="BP147" s="453">
        <v>0</v>
      </c>
      <c r="BQ147" s="453">
        <v>0</v>
      </c>
      <c r="BR147" s="14">
        <v>0</v>
      </c>
      <c r="BS147" s="14">
        <v>0</v>
      </c>
      <c r="BT147" s="377" t="str">
        <v/>
      </c>
      <c r="BU147" s="105" t="str">
        <v/>
      </c>
      <c r="BV147" s="453" t="str">
        <v/>
      </c>
      <c r="BW147" s="105" t="str">
        <f ca="1"/>
        <v/>
      </c>
    </row>
    <row r="148" spans="1:75" x14ac:dyDescent="0.3">
      <c r="A148" s="1">
        <v>0</v>
      </c>
      <c r="B148" s="106">
        <v>0</v>
      </c>
      <c r="C148" s="14">
        <v>0</v>
      </c>
      <c r="D148" s="14">
        <v>0</v>
      </c>
      <c r="E148" s="14">
        <v>0</v>
      </c>
      <c r="F148" s="453">
        <v>0</v>
      </c>
      <c r="G148" s="377">
        <v>0</v>
      </c>
      <c r="H148" s="453">
        <v>0</v>
      </c>
      <c r="I148" s="453">
        <v>0</v>
      </c>
      <c r="J148" s="453">
        <v>0</v>
      </c>
      <c r="K148" s="453">
        <v>0</v>
      </c>
      <c r="L148" s="453">
        <v>0</v>
      </c>
      <c r="M148" s="453">
        <v>0</v>
      </c>
      <c r="N148" s="453">
        <v>0</v>
      </c>
      <c r="O148" s="453">
        <v>0</v>
      </c>
      <c r="P148" s="14">
        <v>0</v>
      </c>
      <c r="Q148" s="14">
        <v>0</v>
      </c>
      <c r="R148" s="453">
        <v>0</v>
      </c>
      <c r="S148" s="453">
        <v>0</v>
      </c>
      <c r="T148" s="453">
        <v>0</v>
      </c>
      <c r="U148" s="453">
        <v>0</v>
      </c>
      <c r="V148" s="453">
        <v>0</v>
      </c>
      <c r="W148" s="453">
        <v>0</v>
      </c>
      <c r="X148" s="453">
        <v>0</v>
      </c>
      <c r="Y148" s="453">
        <v>0</v>
      </c>
      <c r="Z148" s="453">
        <v>0</v>
      </c>
      <c r="AA148" s="14">
        <v>0</v>
      </c>
      <c r="AB148" s="14">
        <v>0</v>
      </c>
      <c r="AC148" s="453">
        <v>0</v>
      </c>
      <c r="AD148" s="14">
        <v>0</v>
      </c>
      <c r="AE148" s="14">
        <v>0</v>
      </c>
      <c r="AF148" s="14">
        <v>0</v>
      </c>
      <c r="AG148" s="14">
        <v>0</v>
      </c>
      <c r="AH148" s="14">
        <v>0</v>
      </c>
      <c r="AI148" s="14">
        <v>0</v>
      </c>
      <c r="AJ148" s="14">
        <v>0</v>
      </c>
      <c r="AK148" s="14">
        <v>0</v>
      </c>
      <c r="AL148" s="14">
        <v>0</v>
      </c>
      <c r="AM148" s="453">
        <v>0</v>
      </c>
      <c r="AN148" s="453">
        <v>0</v>
      </c>
      <c r="AO148" s="453">
        <v>0</v>
      </c>
      <c r="AP148" s="453">
        <v>0</v>
      </c>
      <c r="AQ148" s="453">
        <v>0</v>
      </c>
      <c r="AR148" s="453">
        <v>0</v>
      </c>
      <c r="AS148" s="453">
        <v>0</v>
      </c>
      <c r="AT148" s="453">
        <v>0</v>
      </c>
      <c r="AU148" s="453">
        <v>0</v>
      </c>
      <c r="AV148" s="453">
        <v>0</v>
      </c>
      <c r="AW148" s="453">
        <v>0</v>
      </c>
      <c r="AX148" s="453">
        <v>0</v>
      </c>
      <c r="AY148" s="453">
        <v>0</v>
      </c>
      <c r="AZ148" s="453">
        <v>0</v>
      </c>
      <c r="BA148" s="453">
        <v>0</v>
      </c>
      <c r="BB148" s="453">
        <v>0</v>
      </c>
      <c r="BC148" s="453">
        <v>0</v>
      </c>
      <c r="BD148" s="453">
        <v>0</v>
      </c>
      <c r="BE148" s="105">
        <v>0</v>
      </c>
      <c r="BF148" s="453">
        <v>0</v>
      </c>
      <c r="BG148" s="453">
        <v>0</v>
      </c>
      <c r="BH148" s="105">
        <v>0</v>
      </c>
      <c r="BI148" s="453">
        <v>0</v>
      </c>
      <c r="BJ148" s="453">
        <v>0</v>
      </c>
      <c r="BK148" s="105">
        <v>0</v>
      </c>
      <c r="BL148" s="453">
        <v>0</v>
      </c>
      <c r="BM148" s="453">
        <v>0</v>
      </c>
      <c r="BN148" s="453">
        <v>0</v>
      </c>
      <c r="BO148" s="453">
        <v>0</v>
      </c>
      <c r="BP148" s="453">
        <v>0</v>
      </c>
      <c r="BQ148" s="453">
        <v>0</v>
      </c>
      <c r="BR148" s="14">
        <v>0</v>
      </c>
      <c r="BS148" s="14">
        <v>0</v>
      </c>
      <c r="BT148" s="377" t="str">
        <v/>
      </c>
      <c r="BU148" s="105" t="str">
        <v/>
      </c>
      <c r="BV148" s="453" t="str">
        <v/>
      </c>
      <c r="BW148" s="105" t="str">
        <f ca="1"/>
        <v/>
      </c>
    </row>
    <row r="149" spans="1:75" x14ac:dyDescent="0.3">
      <c r="A149" s="1">
        <v>0</v>
      </c>
      <c r="B149" s="106">
        <v>0</v>
      </c>
      <c r="C149" s="14">
        <v>0</v>
      </c>
      <c r="D149" s="14">
        <v>0</v>
      </c>
      <c r="E149" s="14">
        <v>0</v>
      </c>
      <c r="F149" s="453">
        <v>0</v>
      </c>
      <c r="G149" s="377">
        <v>0</v>
      </c>
      <c r="H149" s="453">
        <v>0</v>
      </c>
      <c r="I149" s="453">
        <v>0</v>
      </c>
      <c r="J149" s="453">
        <v>0</v>
      </c>
      <c r="K149" s="453">
        <v>0</v>
      </c>
      <c r="L149" s="453">
        <v>0</v>
      </c>
      <c r="M149" s="453">
        <v>0</v>
      </c>
      <c r="N149" s="453">
        <v>0</v>
      </c>
      <c r="O149" s="453">
        <v>0</v>
      </c>
      <c r="P149" s="14">
        <v>0</v>
      </c>
      <c r="Q149" s="14">
        <v>0</v>
      </c>
      <c r="R149" s="453">
        <v>0</v>
      </c>
      <c r="S149" s="453">
        <v>0</v>
      </c>
      <c r="T149" s="453">
        <v>0</v>
      </c>
      <c r="U149" s="453">
        <v>0</v>
      </c>
      <c r="V149" s="453">
        <v>0</v>
      </c>
      <c r="W149" s="453">
        <v>0</v>
      </c>
      <c r="X149" s="453">
        <v>0</v>
      </c>
      <c r="Y149" s="453">
        <v>0</v>
      </c>
      <c r="Z149" s="453">
        <v>0</v>
      </c>
      <c r="AA149" s="14">
        <v>0</v>
      </c>
      <c r="AB149" s="14">
        <v>0</v>
      </c>
      <c r="AC149" s="453">
        <v>0</v>
      </c>
      <c r="AD149" s="14">
        <v>0</v>
      </c>
      <c r="AE149" s="14">
        <v>0</v>
      </c>
      <c r="AF149" s="14">
        <v>0</v>
      </c>
      <c r="AG149" s="14">
        <v>0</v>
      </c>
      <c r="AH149" s="14">
        <v>0</v>
      </c>
      <c r="AI149" s="14">
        <v>0</v>
      </c>
      <c r="AJ149" s="14">
        <v>0</v>
      </c>
      <c r="AK149" s="14">
        <v>0</v>
      </c>
      <c r="AL149" s="14">
        <v>0</v>
      </c>
      <c r="AM149" s="453">
        <v>0</v>
      </c>
      <c r="AN149" s="453">
        <v>0</v>
      </c>
      <c r="AO149" s="453">
        <v>0</v>
      </c>
      <c r="AP149" s="453">
        <v>0</v>
      </c>
      <c r="AQ149" s="453">
        <v>0</v>
      </c>
      <c r="AR149" s="453">
        <v>0</v>
      </c>
      <c r="AS149" s="453">
        <v>0</v>
      </c>
      <c r="AT149" s="453">
        <v>0</v>
      </c>
      <c r="AU149" s="453">
        <v>0</v>
      </c>
      <c r="AV149" s="453">
        <v>0</v>
      </c>
      <c r="AW149" s="453">
        <v>0</v>
      </c>
      <c r="AX149" s="453">
        <v>0</v>
      </c>
      <c r="AY149" s="453">
        <v>0</v>
      </c>
      <c r="AZ149" s="453">
        <v>0</v>
      </c>
      <c r="BA149" s="453">
        <v>0</v>
      </c>
      <c r="BB149" s="453">
        <v>0</v>
      </c>
      <c r="BC149" s="453">
        <v>0</v>
      </c>
      <c r="BD149" s="453">
        <v>0</v>
      </c>
      <c r="BE149" s="105">
        <v>0</v>
      </c>
      <c r="BF149" s="453">
        <v>0</v>
      </c>
      <c r="BG149" s="453">
        <v>0</v>
      </c>
      <c r="BH149" s="105">
        <v>0</v>
      </c>
      <c r="BI149" s="453">
        <v>0</v>
      </c>
      <c r="BJ149" s="453">
        <v>0</v>
      </c>
      <c r="BK149" s="105">
        <v>0</v>
      </c>
      <c r="BL149" s="453">
        <v>0</v>
      </c>
      <c r="BM149" s="453">
        <v>0</v>
      </c>
      <c r="BN149" s="453">
        <v>0</v>
      </c>
      <c r="BO149" s="453">
        <v>0</v>
      </c>
      <c r="BP149" s="453">
        <v>0</v>
      </c>
      <c r="BQ149" s="453">
        <v>0</v>
      </c>
      <c r="BR149" s="14">
        <v>0</v>
      </c>
      <c r="BS149" s="14">
        <v>0</v>
      </c>
      <c r="BT149" s="377" t="str">
        <v/>
      </c>
      <c r="BU149" s="105" t="str">
        <v/>
      </c>
      <c r="BV149" s="453" t="str">
        <v/>
      </c>
      <c r="BW149" s="105" t="str">
        <f ca="1"/>
        <v/>
      </c>
    </row>
    <row r="150" spans="1:75" x14ac:dyDescent="0.3">
      <c r="A150" s="1">
        <v>0</v>
      </c>
      <c r="B150" s="106">
        <v>0</v>
      </c>
      <c r="C150" s="14">
        <v>0</v>
      </c>
      <c r="D150" s="14">
        <v>0</v>
      </c>
      <c r="E150" s="14">
        <v>0</v>
      </c>
      <c r="F150" s="453">
        <v>0</v>
      </c>
      <c r="G150" s="377">
        <v>0</v>
      </c>
      <c r="H150" s="453">
        <v>0</v>
      </c>
      <c r="I150" s="453">
        <v>0</v>
      </c>
      <c r="J150" s="453">
        <v>0</v>
      </c>
      <c r="K150" s="453">
        <v>0</v>
      </c>
      <c r="L150" s="453">
        <v>0</v>
      </c>
      <c r="M150" s="453">
        <v>0</v>
      </c>
      <c r="N150" s="453">
        <v>0</v>
      </c>
      <c r="O150" s="453">
        <v>0</v>
      </c>
      <c r="P150" s="14">
        <v>0</v>
      </c>
      <c r="Q150" s="14">
        <v>0</v>
      </c>
      <c r="R150" s="453">
        <v>0</v>
      </c>
      <c r="S150" s="453">
        <v>0</v>
      </c>
      <c r="T150" s="453">
        <v>0</v>
      </c>
      <c r="U150" s="453">
        <v>0</v>
      </c>
      <c r="V150" s="453">
        <v>0</v>
      </c>
      <c r="W150" s="453">
        <v>0</v>
      </c>
      <c r="X150" s="453">
        <v>0</v>
      </c>
      <c r="Y150" s="453">
        <v>0</v>
      </c>
      <c r="Z150" s="453">
        <v>0</v>
      </c>
      <c r="AA150" s="14">
        <v>0</v>
      </c>
      <c r="AB150" s="14">
        <v>0</v>
      </c>
      <c r="AC150" s="453">
        <v>0</v>
      </c>
      <c r="AD150" s="14">
        <v>0</v>
      </c>
      <c r="AE150" s="14">
        <v>0</v>
      </c>
      <c r="AF150" s="14">
        <v>0</v>
      </c>
      <c r="AG150" s="14">
        <v>0</v>
      </c>
      <c r="AH150" s="14">
        <v>0</v>
      </c>
      <c r="AI150" s="14">
        <v>0</v>
      </c>
      <c r="AJ150" s="14">
        <v>0</v>
      </c>
      <c r="AK150" s="14">
        <v>0</v>
      </c>
      <c r="AL150" s="14">
        <v>0</v>
      </c>
      <c r="AM150" s="453">
        <v>0</v>
      </c>
      <c r="AN150" s="453">
        <v>0</v>
      </c>
      <c r="AO150" s="453">
        <v>0</v>
      </c>
      <c r="AP150" s="453">
        <v>0</v>
      </c>
      <c r="AQ150" s="453">
        <v>0</v>
      </c>
      <c r="AR150" s="453">
        <v>0</v>
      </c>
      <c r="AS150" s="453">
        <v>0</v>
      </c>
      <c r="AT150" s="453">
        <v>0</v>
      </c>
      <c r="AU150" s="453">
        <v>0</v>
      </c>
      <c r="AV150" s="453">
        <v>0</v>
      </c>
      <c r="AW150" s="453">
        <v>0</v>
      </c>
      <c r="AX150" s="453">
        <v>0</v>
      </c>
      <c r="AY150" s="453">
        <v>0</v>
      </c>
      <c r="AZ150" s="453">
        <v>0</v>
      </c>
      <c r="BA150" s="453">
        <v>0</v>
      </c>
      <c r="BB150" s="453">
        <v>0</v>
      </c>
      <c r="BC150" s="453">
        <v>0</v>
      </c>
      <c r="BD150" s="453">
        <v>0</v>
      </c>
      <c r="BE150" s="105">
        <v>0</v>
      </c>
      <c r="BF150" s="453">
        <v>0</v>
      </c>
      <c r="BG150" s="453">
        <v>0</v>
      </c>
      <c r="BH150" s="105">
        <v>0</v>
      </c>
      <c r="BI150" s="453">
        <v>0</v>
      </c>
      <c r="BJ150" s="453">
        <v>0</v>
      </c>
      <c r="BK150" s="105">
        <v>0</v>
      </c>
      <c r="BL150" s="453">
        <v>0</v>
      </c>
      <c r="BM150" s="453">
        <v>0</v>
      </c>
      <c r="BN150" s="453">
        <v>0</v>
      </c>
      <c r="BO150" s="453">
        <v>0</v>
      </c>
      <c r="BP150" s="453">
        <v>0</v>
      </c>
      <c r="BQ150" s="453">
        <v>0</v>
      </c>
      <c r="BR150" s="14">
        <v>0</v>
      </c>
      <c r="BS150" s="14">
        <v>0</v>
      </c>
      <c r="BT150" s="377" t="str">
        <v/>
      </c>
      <c r="BU150" s="105" t="str">
        <v/>
      </c>
      <c r="BV150" s="453" t="str">
        <v/>
      </c>
      <c r="BW150" s="105" t="str">
        <f ca="1"/>
        <v/>
      </c>
    </row>
    <row r="151" spans="1:75" x14ac:dyDescent="0.3">
      <c r="A151" s="1">
        <v>0</v>
      </c>
      <c r="B151" s="106">
        <v>0</v>
      </c>
      <c r="C151" s="14">
        <v>0</v>
      </c>
      <c r="D151" s="14">
        <v>0</v>
      </c>
      <c r="E151" s="14">
        <v>0</v>
      </c>
      <c r="F151" s="453">
        <v>0</v>
      </c>
      <c r="G151" s="377">
        <v>0</v>
      </c>
      <c r="H151" s="453">
        <v>0</v>
      </c>
      <c r="I151" s="453">
        <v>0</v>
      </c>
      <c r="J151" s="453">
        <v>0</v>
      </c>
      <c r="K151" s="453">
        <v>0</v>
      </c>
      <c r="L151" s="453">
        <v>0</v>
      </c>
      <c r="M151" s="453">
        <v>0</v>
      </c>
      <c r="N151" s="453">
        <v>0</v>
      </c>
      <c r="O151" s="453">
        <v>0</v>
      </c>
      <c r="P151" s="14">
        <v>0</v>
      </c>
      <c r="Q151" s="14">
        <v>0</v>
      </c>
      <c r="R151" s="453">
        <v>0</v>
      </c>
      <c r="S151" s="453">
        <v>0</v>
      </c>
      <c r="T151" s="453">
        <v>0</v>
      </c>
      <c r="U151" s="453">
        <v>0</v>
      </c>
      <c r="V151" s="453">
        <v>0</v>
      </c>
      <c r="W151" s="453">
        <v>0</v>
      </c>
      <c r="X151" s="453">
        <v>0</v>
      </c>
      <c r="Y151" s="453">
        <v>0</v>
      </c>
      <c r="Z151" s="453">
        <v>0</v>
      </c>
      <c r="AA151" s="14">
        <v>0</v>
      </c>
      <c r="AB151" s="14">
        <v>0</v>
      </c>
      <c r="AC151" s="453">
        <v>0</v>
      </c>
      <c r="AD151" s="14">
        <v>0</v>
      </c>
      <c r="AE151" s="14">
        <v>0</v>
      </c>
      <c r="AF151" s="14">
        <v>0</v>
      </c>
      <c r="AG151" s="14">
        <v>0</v>
      </c>
      <c r="AH151" s="14">
        <v>0</v>
      </c>
      <c r="AI151" s="14">
        <v>0</v>
      </c>
      <c r="AJ151" s="14">
        <v>0</v>
      </c>
      <c r="AK151" s="14">
        <v>0</v>
      </c>
      <c r="AL151" s="14">
        <v>0</v>
      </c>
      <c r="AM151" s="453">
        <v>0</v>
      </c>
      <c r="AN151" s="453">
        <v>0</v>
      </c>
      <c r="AO151" s="453">
        <v>0</v>
      </c>
      <c r="AP151" s="453">
        <v>0</v>
      </c>
      <c r="AQ151" s="453">
        <v>0</v>
      </c>
      <c r="AR151" s="453">
        <v>0</v>
      </c>
      <c r="AS151" s="453">
        <v>0</v>
      </c>
      <c r="AT151" s="453">
        <v>0</v>
      </c>
      <c r="AU151" s="453">
        <v>0</v>
      </c>
      <c r="AV151" s="453">
        <v>0</v>
      </c>
      <c r="AW151" s="453">
        <v>0</v>
      </c>
      <c r="AX151" s="453">
        <v>0</v>
      </c>
      <c r="AY151" s="453">
        <v>0</v>
      </c>
      <c r="AZ151" s="453">
        <v>0</v>
      </c>
      <c r="BA151" s="453">
        <v>0</v>
      </c>
      <c r="BB151" s="453">
        <v>0</v>
      </c>
      <c r="BC151" s="453">
        <v>0</v>
      </c>
      <c r="BD151" s="453">
        <v>0</v>
      </c>
      <c r="BE151" s="105">
        <v>0</v>
      </c>
      <c r="BF151" s="453">
        <v>0</v>
      </c>
      <c r="BG151" s="453">
        <v>0</v>
      </c>
      <c r="BH151" s="105">
        <v>0</v>
      </c>
      <c r="BI151" s="453">
        <v>0</v>
      </c>
      <c r="BJ151" s="453">
        <v>0</v>
      </c>
      <c r="BK151" s="105">
        <v>0</v>
      </c>
      <c r="BL151" s="453">
        <v>0</v>
      </c>
      <c r="BM151" s="453">
        <v>0</v>
      </c>
      <c r="BN151" s="453">
        <v>0</v>
      </c>
      <c r="BO151" s="453">
        <v>0</v>
      </c>
      <c r="BP151" s="453">
        <v>0</v>
      </c>
      <c r="BQ151" s="453">
        <v>0</v>
      </c>
      <c r="BR151" s="14">
        <v>0</v>
      </c>
      <c r="BS151" s="14">
        <v>0</v>
      </c>
      <c r="BT151" s="377" t="str">
        <v/>
      </c>
      <c r="BU151" s="105" t="str">
        <v/>
      </c>
      <c r="BV151" s="453" t="str">
        <v/>
      </c>
      <c r="BW151" s="105" t="str">
        <f ca="1"/>
        <v/>
      </c>
    </row>
    <row r="152" spans="1:75" x14ac:dyDescent="0.3">
      <c r="A152" s="1">
        <v>0</v>
      </c>
      <c r="B152" s="106">
        <v>0</v>
      </c>
      <c r="C152" s="14">
        <v>0</v>
      </c>
      <c r="D152" s="14">
        <v>0</v>
      </c>
      <c r="E152" s="14">
        <v>0</v>
      </c>
      <c r="F152" s="453">
        <v>0</v>
      </c>
      <c r="G152" s="377">
        <v>0</v>
      </c>
      <c r="H152" s="453">
        <v>0</v>
      </c>
      <c r="I152" s="453">
        <v>0</v>
      </c>
      <c r="J152" s="453">
        <v>0</v>
      </c>
      <c r="K152" s="453">
        <v>0</v>
      </c>
      <c r="L152" s="453">
        <v>0</v>
      </c>
      <c r="M152" s="453">
        <v>0</v>
      </c>
      <c r="N152" s="453">
        <v>0</v>
      </c>
      <c r="O152" s="453">
        <v>0</v>
      </c>
      <c r="P152" s="14">
        <v>0</v>
      </c>
      <c r="Q152" s="14">
        <v>0</v>
      </c>
      <c r="R152" s="453">
        <v>0</v>
      </c>
      <c r="S152" s="453">
        <v>0</v>
      </c>
      <c r="T152" s="453">
        <v>0</v>
      </c>
      <c r="U152" s="453">
        <v>0</v>
      </c>
      <c r="V152" s="453">
        <v>0</v>
      </c>
      <c r="W152" s="453">
        <v>0</v>
      </c>
      <c r="X152" s="453">
        <v>0</v>
      </c>
      <c r="Y152" s="453">
        <v>0</v>
      </c>
      <c r="Z152" s="453">
        <v>0</v>
      </c>
      <c r="AA152" s="14">
        <v>0</v>
      </c>
      <c r="AB152" s="14">
        <v>0</v>
      </c>
      <c r="AC152" s="453">
        <v>0</v>
      </c>
      <c r="AD152" s="14">
        <v>0</v>
      </c>
      <c r="AE152" s="14">
        <v>0</v>
      </c>
      <c r="AF152" s="14">
        <v>0</v>
      </c>
      <c r="AG152" s="14">
        <v>0</v>
      </c>
      <c r="AH152" s="14">
        <v>0</v>
      </c>
      <c r="AI152" s="14">
        <v>0</v>
      </c>
      <c r="AJ152" s="14">
        <v>0</v>
      </c>
      <c r="AK152" s="14">
        <v>0</v>
      </c>
      <c r="AL152" s="14">
        <v>0</v>
      </c>
      <c r="AM152" s="453">
        <v>0</v>
      </c>
      <c r="AN152" s="453">
        <v>0</v>
      </c>
      <c r="AO152" s="453">
        <v>0</v>
      </c>
      <c r="AP152" s="453">
        <v>0</v>
      </c>
      <c r="AQ152" s="453">
        <v>0</v>
      </c>
      <c r="AR152" s="453">
        <v>0</v>
      </c>
      <c r="AS152" s="453">
        <v>0</v>
      </c>
      <c r="AT152" s="453">
        <v>0</v>
      </c>
      <c r="AU152" s="453">
        <v>0</v>
      </c>
      <c r="AV152" s="453">
        <v>0</v>
      </c>
      <c r="AW152" s="453">
        <v>0</v>
      </c>
      <c r="AX152" s="453">
        <v>0</v>
      </c>
      <c r="AY152" s="453">
        <v>0</v>
      </c>
      <c r="AZ152" s="453">
        <v>0</v>
      </c>
      <c r="BA152" s="453">
        <v>0</v>
      </c>
      <c r="BB152" s="453">
        <v>0</v>
      </c>
      <c r="BC152" s="453">
        <v>0</v>
      </c>
      <c r="BD152" s="453">
        <v>0</v>
      </c>
      <c r="BE152" s="105">
        <v>0</v>
      </c>
      <c r="BF152" s="453">
        <v>0</v>
      </c>
      <c r="BG152" s="453">
        <v>0</v>
      </c>
      <c r="BH152" s="105">
        <v>0</v>
      </c>
      <c r="BI152" s="453">
        <v>0</v>
      </c>
      <c r="BJ152" s="453">
        <v>0</v>
      </c>
      <c r="BK152" s="105">
        <v>0</v>
      </c>
      <c r="BL152" s="453">
        <v>0</v>
      </c>
      <c r="BM152" s="453">
        <v>0</v>
      </c>
      <c r="BN152" s="453">
        <v>0</v>
      </c>
      <c r="BO152" s="453">
        <v>0</v>
      </c>
      <c r="BP152" s="453">
        <v>0</v>
      </c>
      <c r="BQ152" s="453">
        <v>0</v>
      </c>
      <c r="BR152" s="14">
        <v>0</v>
      </c>
      <c r="BS152" s="14">
        <v>0</v>
      </c>
      <c r="BT152" s="377" t="str">
        <v/>
      </c>
      <c r="BU152" s="105" t="str">
        <v/>
      </c>
      <c r="BV152" s="453" t="str">
        <v/>
      </c>
      <c r="BW152" s="105" t="str">
        <f ca="1"/>
        <v/>
      </c>
    </row>
    <row r="153" spans="1:75" x14ac:dyDescent="0.3">
      <c r="A153" s="1">
        <v>0</v>
      </c>
      <c r="B153" s="106">
        <v>0</v>
      </c>
      <c r="C153" s="14">
        <v>0</v>
      </c>
      <c r="D153" s="14">
        <v>0</v>
      </c>
      <c r="E153" s="14">
        <v>0</v>
      </c>
      <c r="F153" s="453">
        <v>0</v>
      </c>
      <c r="G153" s="377">
        <v>0</v>
      </c>
      <c r="H153" s="453">
        <v>0</v>
      </c>
      <c r="I153" s="453">
        <v>0</v>
      </c>
      <c r="J153" s="453">
        <v>0</v>
      </c>
      <c r="K153" s="453">
        <v>0</v>
      </c>
      <c r="L153" s="453">
        <v>0</v>
      </c>
      <c r="M153" s="453">
        <v>0</v>
      </c>
      <c r="N153" s="453">
        <v>0</v>
      </c>
      <c r="O153" s="453">
        <v>0</v>
      </c>
      <c r="P153" s="14">
        <v>0</v>
      </c>
      <c r="Q153" s="14">
        <v>0</v>
      </c>
      <c r="R153" s="453">
        <v>0</v>
      </c>
      <c r="S153" s="453">
        <v>0</v>
      </c>
      <c r="T153" s="453">
        <v>0</v>
      </c>
      <c r="U153" s="453">
        <v>0</v>
      </c>
      <c r="V153" s="453">
        <v>0</v>
      </c>
      <c r="W153" s="453">
        <v>0</v>
      </c>
      <c r="X153" s="453">
        <v>0</v>
      </c>
      <c r="Y153" s="453">
        <v>0</v>
      </c>
      <c r="Z153" s="453">
        <v>0</v>
      </c>
      <c r="AA153" s="14">
        <v>0</v>
      </c>
      <c r="AB153" s="14">
        <v>0</v>
      </c>
      <c r="AC153" s="453">
        <v>0</v>
      </c>
      <c r="AD153" s="14">
        <v>0</v>
      </c>
      <c r="AE153" s="14">
        <v>0</v>
      </c>
      <c r="AF153" s="14">
        <v>0</v>
      </c>
      <c r="AG153" s="14">
        <v>0</v>
      </c>
      <c r="AH153" s="14">
        <v>0</v>
      </c>
      <c r="AI153" s="14">
        <v>0</v>
      </c>
      <c r="AJ153" s="14">
        <v>0</v>
      </c>
      <c r="AK153" s="14">
        <v>0</v>
      </c>
      <c r="AL153" s="14">
        <v>0</v>
      </c>
      <c r="AM153" s="453">
        <v>0</v>
      </c>
      <c r="AN153" s="453">
        <v>0</v>
      </c>
      <c r="AO153" s="453">
        <v>0</v>
      </c>
      <c r="AP153" s="453">
        <v>0</v>
      </c>
      <c r="AQ153" s="453">
        <v>0</v>
      </c>
      <c r="AR153" s="453">
        <v>0</v>
      </c>
      <c r="AS153" s="453">
        <v>0</v>
      </c>
      <c r="AT153" s="453">
        <v>0</v>
      </c>
      <c r="AU153" s="453">
        <v>0</v>
      </c>
      <c r="AV153" s="453">
        <v>0</v>
      </c>
      <c r="AW153" s="453">
        <v>0</v>
      </c>
      <c r="AX153" s="453">
        <v>0</v>
      </c>
      <c r="AY153" s="453">
        <v>0</v>
      </c>
      <c r="AZ153" s="453">
        <v>0</v>
      </c>
      <c r="BA153" s="453">
        <v>0</v>
      </c>
      <c r="BB153" s="453">
        <v>0</v>
      </c>
      <c r="BC153" s="453">
        <v>0</v>
      </c>
      <c r="BD153" s="453">
        <v>0</v>
      </c>
      <c r="BE153" s="105">
        <v>0</v>
      </c>
      <c r="BF153" s="453">
        <v>0</v>
      </c>
      <c r="BG153" s="453">
        <v>0</v>
      </c>
      <c r="BH153" s="105">
        <v>0</v>
      </c>
      <c r="BI153" s="453">
        <v>0</v>
      </c>
      <c r="BJ153" s="453">
        <v>0</v>
      </c>
      <c r="BK153" s="105">
        <v>0</v>
      </c>
      <c r="BL153" s="453">
        <v>0</v>
      </c>
      <c r="BM153" s="453">
        <v>0</v>
      </c>
      <c r="BN153" s="453">
        <v>0</v>
      </c>
      <c r="BO153" s="453">
        <v>0</v>
      </c>
      <c r="BP153" s="453">
        <v>0</v>
      </c>
      <c r="BQ153" s="453">
        <v>0</v>
      </c>
      <c r="BR153" s="14">
        <v>0</v>
      </c>
      <c r="BS153" s="14">
        <v>0</v>
      </c>
      <c r="BT153" s="377" t="str">
        <v/>
      </c>
      <c r="BU153" s="105" t="str">
        <v/>
      </c>
      <c r="BV153" s="453" t="str">
        <v/>
      </c>
      <c r="BW153" s="105" t="str">
        <f ca="1"/>
        <v/>
      </c>
    </row>
    <row r="154" spans="1:75" x14ac:dyDescent="0.3">
      <c r="A154" s="1">
        <v>0</v>
      </c>
      <c r="B154" s="106">
        <v>0</v>
      </c>
      <c r="C154" s="14">
        <v>0</v>
      </c>
      <c r="D154" s="14">
        <v>0</v>
      </c>
      <c r="E154" s="14">
        <v>0</v>
      </c>
      <c r="F154" s="453">
        <v>0</v>
      </c>
      <c r="G154" s="377">
        <v>0</v>
      </c>
      <c r="H154" s="453">
        <v>0</v>
      </c>
      <c r="I154" s="453">
        <v>0</v>
      </c>
      <c r="J154" s="453">
        <v>0</v>
      </c>
      <c r="K154" s="453">
        <v>0</v>
      </c>
      <c r="L154" s="453">
        <v>0</v>
      </c>
      <c r="M154" s="453">
        <v>0</v>
      </c>
      <c r="N154" s="453">
        <v>0</v>
      </c>
      <c r="O154" s="453">
        <v>0</v>
      </c>
      <c r="P154" s="14">
        <v>0</v>
      </c>
      <c r="Q154" s="14">
        <v>0</v>
      </c>
      <c r="R154" s="453">
        <v>0</v>
      </c>
      <c r="S154" s="453">
        <v>0</v>
      </c>
      <c r="T154" s="453">
        <v>0</v>
      </c>
      <c r="U154" s="453">
        <v>0</v>
      </c>
      <c r="V154" s="453">
        <v>0</v>
      </c>
      <c r="W154" s="453">
        <v>0</v>
      </c>
      <c r="X154" s="453">
        <v>0</v>
      </c>
      <c r="Y154" s="453">
        <v>0</v>
      </c>
      <c r="Z154" s="453">
        <v>0</v>
      </c>
      <c r="AA154" s="14">
        <v>0</v>
      </c>
      <c r="AB154" s="14">
        <v>0</v>
      </c>
      <c r="AC154" s="453">
        <v>0</v>
      </c>
      <c r="AD154" s="14">
        <v>0</v>
      </c>
      <c r="AE154" s="14">
        <v>0</v>
      </c>
      <c r="AF154" s="14">
        <v>0</v>
      </c>
      <c r="AG154" s="14">
        <v>0</v>
      </c>
      <c r="AH154" s="14">
        <v>0</v>
      </c>
      <c r="AI154" s="14">
        <v>0</v>
      </c>
      <c r="AJ154" s="14">
        <v>0</v>
      </c>
      <c r="AK154" s="14">
        <v>0</v>
      </c>
      <c r="AL154" s="14">
        <v>0</v>
      </c>
      <c r="AM154" s="453">
        <v>0</v>
      </c>
      <c r="AN154" s="453">
        <v>0</v>
      </c>
      <c r="AO154" s="453">
        <v>0</v>
      </c>
      <c r="AP154" s="453">
        <v>0</v>
      </c>
      <c r="AQ154" s="453">
        <v>0</v>
      </c>
      <c r="AR154" s="453">
        <v>0</v>
      </c>
      <c r="AS154" s="453">
        <v>0</v>
      </c>
      <c r="AT154" s="453">
        <v>0</v>
      </c>
      <c r="AU154" s="453">
        <v>0</v>
      </c>
      <c r="AV154" s="453">
        <v>0</v>
      </c>
      <c r="AW154" s="453">
        <v>0</v>
      </c>
      <c r="AX154" s="453">
        <v>0</v>
      </c>
      <c r="AY154" s="453">
        <v>0</v>
      </c>
      <c r="AZ154" s="453">
        <v>0</v>
      </c>
      <c r="BA154" s="453">
        <v>0</v>
      </c>
      <c r="BB154" s="453">
        <v>0</v>
      </c>
      <c r="BC154" s="453">
        <v>0</v>
      </c>
      <c r="BD154" s="453">
        <v>0</v>
      </c>
      <c r="BE154" s="105">
        <v>0</v>
      </c>
      <c r="BF154" s="453">
        <v>0</v>
      </c>
      <c r="BG154" s="453">
        <v>0</v>
      </c>
      <c r="BH154" s="105">
        <v>0</v>
      </c>
      <c r="BI154" s="453">
        <v>0</v>
      </c>
      <c r="BJ154" s="453">
        <v>0</v>
      </c>
      <c r="BK154" s="105">
        <v>0</v>
      </c>
      <c r="BL154" s="453">
        <v>0</v>
      </c>
      <c r="BM154" s="453">
        <v>0</v>
      </c>
      <c r="BN154" s="453">
        <v>0</v>
      </c>
      <c r="BO154" s="453">
        <v>0</v>
      </c>
      <c r="BP154" s="453">
        <v>0</v>
      </c>
      <c r="BQ154" s="453">
        <v>0</v>
      </c>
      <c r="BR154" s="14">
        <v>0</v>
      </c>
      <c r="BS154" s="14">
        <v>0</v>
      </c>
      <c r="BT154" s="377" t="str">
        <v/>
      </c>
      <c r="BU154" s="105" t="str">
        <v/>
      </c>
      <c r="BV154" s="453" t="str">
        <v/>
      </c>
      <c r="BW154" s="105" t="str">
        <f ca="1"/>
        <v/>
      </c>
    </row>
    <row r="155" spans="1:75" x14ac:dyDescent="0.3">
      <c r="A155" s="1">
        <v>0</v>
      </c>
      <c r="B155" s="106">
        <v>0</v>
      </c>
      <c r="C155" s="14">
        <v>0</v>
      </c>
      <c r="D155" s="14">
        <v>0</v>
      </c>
      <c r="E155" s="14">
        <v>0</v>
      </c>
      <c r="F155" s="453">
        <v>0</v>
      </c>
      <c r="G155" s="377">
        <v>0</v>
      </c>
      <c r="H155" s="453">
        <v>0</v>
      </c>
      <c r="I155" s="453">
        <v>0</v>
      </c>
      <c r="J155" s="453">
        <v>0</v>
      </c>
      <c r="K155" s="453">
        <v>0</v>
      </c>
      <c r="L155" s="453">
        <v>0</v>
      </c>
      <c r="M155" s="453">
        <v>0</v>
      </c>
      <c r="N155" s="453">
        <v>0</v>
      </c>
      <c r="O155" s="453">
        <v>0</v>
      </c>
      <c r="P155" s="14">
        <v>0</v>
      </c>
      <c r="Q155" s="14">
        <v>0</v>
      </c>
      <c r="R155" s="453">
        <v>0</v>
      </c>
      <c r="S155" s="453">
        <v>0</v>
      </c>
      <c r="T155" s="453">
        <v>0</v>
      </c>
      <c r="U155" s="453">
        <v>0</v>
      </c>
      <c r="V155" s="453">
        <v>0</v>
      </c>
      <c r="W155" s="453">
        <v>0</v>
      </c>
      <c r="X155" s="453">
        <v>0</v>
      </c>
      <c r="Y155" s="453">
        <v>0</v>
      </c>
      <c r="Z155" s="453">
        <v>0</v>
      </c>
      <c r="AA155" s="14">
        <v>0</v>
      </c>
      <c r="AB155" s="14">
        <v>0</v>
      </c>
      <c r="AC155" s="453">
        <v>0</v>
      </c>
      <c r="AD155" s="14">
        <v>0</v>
      </c>
      <c r="AE155" s="14">
        <v>0</v>
      </c>
      <c r="AF155" s="14">
        <v>0</v>
      </c>
      <c r="AG155" s="14">
        <v>0</v>
      </c>
      <c r="AH155" s="14">
        <v>0</v>
      </c>
      <c r="AI155" s="14">
        <v>0</v>
      </c>
      <c r="AJ155" s="14">
        <v>0</v>
      </c>
      <c r="AK155" s="14">
        <v>0</v>
      </c>
      <c r="AL155" s="14">
        <v>0</v>
      </c>
      <c r="AM155" s="453">
        <v>0</v>
      </c>
      <c r="AN155" s="453">
        <v>0</v>
      </c>
      <c r="AO155" s="453">
        <v>0</v>
      </c>
      <c r="AP155" s="453">
        <v>0</v>
      </c>
      <c r="AQ155" s="453">
        <v>0</v>
      </c>
      <c r="AR155" s="453">
        <v>0</v>
      </c>
      <c r="AS155" s="453">
        <v>0</v>
      </c>
      <c r="AT155" s="453">
        <v>0</v>
      </c>
      <c r="AU155" s="453">
        <v>0</v>
      </c>
      <c r="AV155" s="453">
        <v>0</v>
      </c>
      <c r="AW155" s="453">
        <v>0</v>
      </c>
      <c r="AX155" s="453">
        <v>0</v>
      </c>
      <c r="AY155" s="453">
        <v>0</v>
      </c>
      <c r="AZ155" s="453">
        <v>0</v>
      </c>
      <c r="BA155" s="453">
        <v>0</v>
      </c>
      <c r="BB155" s="453">
        <v>0</v>
      </c>
      <c r="BC155" s="453">
        <v>0</v>
      </c>
      <c r="BD155" s="453">
        <v>0</v>
      </c>
      <c r="BE155" s="105">
        <v>0</v>
      </c>
      <c r="BF155" s="453">
        <v>0</v>
      </c>
      <c r="BG155" s="453">
        <v>0</v>
      </c>
      <c r="BH155" s="105">
        <v>0</v>
      </c>
      <c r="BI155" s="453">
        <v>0</v>
      </c>
      <c r="BJ155" s="453">
        <v>0</v>
      </c>
      <c r="BK155" s="105">
        <v>0</v>
      </c>
      <c r="BL155" s="453">
        <v>0</v>
      </c>
      <c r="BM155" s="453">
        <v>0</v>
      </c>
      <c r="BN155" s="453">
        <v>0</v>
      </c>
      <c r="BO155" s="453">
        <v>0</v>
      </c>
      <c r="BP155" s="453">
        <v>0</v>
      </c>
      <c r="BQ155" s="453">
        <v>0</v>
      </c>
      <c r="BR155" s="14">
        <v>0</v>
      </c>
      <c r="BS155" s="14">
        <v>0</v>
      </c>
      <c r="BT155" s="377" t="str">
        <v/>
      </c>
      <c r="BU155" s="105" t="str">
        <v/>
      </c>
      <c r="BV155" s="453" t="str">
        <v/>
      </c>
      <c r="BW155" s="105" t="str">
        <f ca="1"/>
        <v/>
      </c>
    </row>
    <row r="156" spans="1:75" x14ac:dyDescent="0.3">
      <c r="A156" s="1">
        <v>0</v>
      </c>
      <c r="B156" s="106">
        <v>0</v>
      </c>
      <c r="C156" s="14">
        <v>0</v>
      </c>
      <c r="D156" s="14">
        <v>0</v>
      </c>
      <c r="E156" s="14">
        <v>0</v>
      </c>
      <c r="F156" s="453">
        <v>0</v>
      </c>
      <c r="G156" s="377">
        <v>0</v>
      </c>
      <c r="H156" s="453">
        <v>0</v>
      </c>
      <c r="I156" s="453">
        <v>0</v>
      </c>
      <c r="J156" s="453">
        <v>0</v>
      </c>
      <c r="K156" s="453">
        <v>0</v>
      </c>
      <c r="L156" s="453">
        <v>0</v>
      </c>
      <c r="M156" s="453">
        <v>0</v>
      </c>
      <c r="N156" s="453">
        <v>0</v>
      </c>
      <c r="O156" s="453">
        <v>0</v>
      </c>
      <c r="P156" s="14">
        <v>0</v>
      </c>
      <c r="Q156" s="14">
        <v>0</v>
      </c>
      <c r="R156" s="453">
        <v>0</v>
      </c>
      <c r="S156" s="453">
        <v>0</v>
      </c>
      <c r="T156" s="453">
        <v>0</v>
      </c>
      <c r="U156" s="453">
        <v>0</v>
      </c>
      <c r="V156" s="453">
        <v>0</v>
      </c>
      <c r="W156" s="453">
        <v>0</v>
      </c>
      <c r="X156" s="453">
        <v>0</v>
      </c>
      <c r="Y156" s="453">
        <v>0</v>
      </c>
      <c r="Z156" s="453">
        <v>0</v>
      </c>
      <c r="AA156" s="14">
        <v>0</v>
      </c>
      <c r="AB156" s="14">
        <v>0</v>
      </c>
      <c r="AC156" s="453">
        <v>0</v>
      </c>
      <c r="AD156" s="14">
        <v>0</v>
      </c>
      <c r="AE156" s="14">
        <v>0</v>
      </c>
      <c r="AF156" s="14">
        <v>0</v>
      </c>
      <c r="AG156" s="14">
        <v>0</v>
      </c>
      <c r="AH156" s="14">
        <v>0</v>
      </c>
      <c r="AI156" s="14">
        <v>0</v>
      </c>
      <c r="AJ156" s="14">
        <v>0</v>
      </c>
      <c r="AK156" s="14">
        <v>0</v>
      </c>
      <c r="AL156" s="14">
        <v>0</v>
      </c>
      <c r="AM156" s="453">
        <v>0</v>
      </c>
      <c r="AN156" s="453">
        <v>0</v>
      </c>
      <c r="AO156" s="453">
        <v>0</v>
      </c>
      <c r="AP156" s="453">
        <v>0</v>
      </c>
      <c r="AQ156" s="453">
        <v>0</v>
      </c>
      <c r="AR156" s="453">
        <v>0</v>
      </c>
      <c r="AS156" s="453">
        <v>0</v>
      </c>
      <c r="AT156" s="453">
        <v>0</v>
      </c>
      <c r="AU156" s="453">
        <v>0</v>
      </c>
      <c r="AV156" s="453">
        <v>0</v>
      </c>
      <c r="AW156" s="453">
        <v>0</v>
      </c>
      <c r="AX156" s="453">
        <v>0</v>
      </c>
      <c r="AY156" s="453">
        <v>0</v>
      </c>
      <c r="AZ156" s="453">
        <v>0</v>
      </c>
      <c r="BA156" s="453">
        <v>0</v>
      </c>
      <c r="BB156" s="453">
        <v>0</v>
      </c>
      <c r="BC156" s="453">
        <v>0</v>
      </c>
      <c r="BD156" s="453">
        <v>0</v>
      </c>
      <c r="BE156" s="105">
        <v>0</v>
      </c>
      <c r="BF156" s="453">
        <v>0</v>
      </c>
      <c r="BG156" s="453">
        <v>0</v>
      </c>
      <c r="BH156" s="105">
        <v>0</v>
      </c>
      <c r="BI156" s="453">
        <v>0</v>
      </c>
      <c r="BJ156" s="453">
        <v>0</v>
      </c>
      <c r="BK156" s="105">
        <v>0</v>
      </c>
      <c r="BL156" s="453">
        <v>0</v>
      </c>
      <c r="BM156" s="453">
        <v>0</v>
      </c>
      <c r="BN156" s="453">
        <v>0</v>
      </c>
      <c r="BO156" s="453">
        <v>0</v>
      </c>
      <c r="BP156" s="453">
        <v>0</v>
      </c>
      <c r="BQ156" s="453">
        <v>0</v>
      </c>
      <c r="BR156" s="14">
        <v>0</v>
      </c>
      <c r="BS156" s="14">
        <v>0</v>
      </c>
      <c r="BT156" s="377" t="str">
        <v/>
      </c>
      <c r="BU156" s="105" t="str">
        <v/>
      </c>
      <c r="BV156" s="453" t="str">
        <v/>
      </c>
      <c r="BW156" s="105" t="str">
        <f ca="1"/>
        <v/>
      </c>
    </row>
    <row r="157" spans="1:75" x14ac:dyDescent="0.3">
      <c r="A157" s="1">
        <v>0</v>
      </c>
      <c r="B157" s="106">
        <v>0</v>
      </c>
      <c r="C157" s="14">
        <v>0</v>
      </c>
      <c r="D157" s="14">
        <v>0</v>
      </c>
      <c r="E157" s="14">
        <v>0</v>
      </c>
      <c r="F157" s="453">
        <v>0</v>
      </c>
      <c r="G157" s="377">
        <v>0</v>
      </c>
      <c r="H157" s="453">
        <v>0</v>
      </c>
      <c r="I157" s="453">
        <v>0</v>
      </c>
      <c r="J157" s="453">
        <v>0</v>
      </c>
      <c r="K157" s="453">
        <v>0</v>
      </c>
      <c r="L157" s="453">
        <v>0</v>
      </c>
      <c r="M157" s="453">
        <v>0</v>
      </c>
      <c r="N157" s="453">
        <v>0</v>
      </c>
      <c r="O157" s="453">
        <v>0</v>
      </c>
      <c r="P157" s="14">
        <v>0</v>
      </c>
      <c r="Q157" s="14">
        <v>0</v>
      </c>
      <c r="R157" s="453">
        <v>0</v>
      </c>
      <c r="S157" s="453">
        <v>0</v>
      </c>
      <c r="T157" s="453">
        <v>0</v>
      </c>
      <c r="U157" s="453">
        <v>0</v>
      </c>
      <c r="V157" s="453">
        <v>0</v>
      </c>
      <c r="W157" s="453">
        <v>0</v>
      </c>
      <c r="X157" s="453">
        <v>0</v>
      </c>
      <c r="Y157" s="453">
        <v>0</v>
      </c>
      <c r="Z157" s="453">
        <v>0</v>
      </c>
      <c r="AA157" s="14">
        <v>0</v>
      </c>
      <c r="AB157" s="14">
        <v>0</v>
      </c>
      <c r="AC157" s="453">
        <v>0</v>
      </c>
      <c r="AD157" s="14">
        <v>0</v>
      </c>
      <c r="AE157" s="14">
        <v>0</v>
      </c>
      <c r="AF157" s="14">
        <v>0</v>
      </c>
      <c r="AG157" s="14">
        <v>0</v>
      </c>
      <c r="AH157" s="14">
        <v>0</v>
      </c>
      <c r="AI157" s="14">
        <v>0</v>
      </c>
      <c r="AJ157" s="14">
        <v>0</v>
      </c>
      <c r="AK157" s="14">
        <v>0</v>
      </c>
      <c r="AL157" s="14">
        <v>0</v>
      </c>
      <c r="AM157" s="453">
        <v>0</v>
      </c>
      <c r="AN157" s="453">
        <v>0</v>
      </c>
      <c r="AO157" s="453">
        <v>0</v>
      </c>
      <c r="AP157" s="453">
        <v>0</v>
      </c>
      <c r="AQ157" s="453">
        <v>0</v>
      </c>
      <c r="AR157" s="453">
        <v>0</v>
      </c>
      <c r="AS157" s="453">
        <v>0</v>
      </c>
      <c r="AT157" s="453">
        <v>0</v>
      </c>
      <c r="AU157" s="453">
        <v>0</v>
      </c>
      <c r="AV157" s="453">
        <v>0</v>
      </c>
      <c r="AW157" s="453">
        <v>0</v>
      </c>
      <c r="AX157" s="453">
        <v>0</v>
      </c>
      <c r="AY157" s="453">
        <v>0</v>
      </c>
      <c r="AZ157" s="453">
        <v>0</v>
      </c>
      <c r="BA157" s="453">
        <v>0</v>
      </c>
      <c r="BB157" s="453">
        <v>0</v>
      </c>
      <c r="BC157" s="453">
        <v>0</v>
      </c>
      <c r="BD157" s="453">
        <v>0</v>
      </c>
      <c r="BE157" s="105">
        <v>0</v>
      </c>
      <c r="BF157" s="453">
        <v>0</v>
      </c>
      <c r="BG157" s="453">
        <v>0</v>
      </c>
      <c r="BH157" s="105">
        <v>0</v>
      </c>
      <c r="BI157" s="453">
        <v>0</v>
      </c>
      <c r="BJ157" s="453">
        <v>0</v>
      </c>
      <c r="BK157" s="105">
        <v>0</v>
      </c>
      <c r="BL157" s="453">
        <v>0</v>
      </c>
      <c r="BM157" s="453">
        <v>0</v>
      </c>
      <c r="BN157" s="453">
        <v>0</v>
      </c>
      <c r="BO157" s="453">
        <v>0</v>
      </c>
      <c r="BP157" s="453">
        <v>0</v>
      </c>
      <c r="BQ157" s="453">
        <v>0</v>
      </c>
      <c r="BR157" s="14">
        <v>0</v>
      </c>
      <c r="BS157" s="14">
        <v>0</v>
      </c>
      <c r="BT157" s="377" t="str">
        <v/>
      </c>
      <c r="BU157" s="105" t="str">
        <v/>
      </c>
      <c r="BV157" s="453" t="str">
        <v/>
      </c>
      <c r="BW157" s="105" t="str">
        <f ca="1"/>
        <v/>
      </c>
    </row>
    <row r="158" spans="1:75" x14ac:dyDescent="0.3">
      <c r="A158" s="1">
        <v>0</v>
      </c>
      <c r="B158" s="106">
        <v>0</v>
      </c>
      <c r="C158" s="14">
        <v>0</v>
      </c>
      <c r="D158" s="14">
        <v>0</v>
      </c>
      <c r="E158" s="14">
        <v>0</v>
      </c>
      <c r="F158" s="453">
        <v>0</v>
      </c>
      <c r="G158" s="377">
        <v>0</v>
      </c>
      <c r="H158" s="453">
        <v>0</v>
      </c>
      <c r="I158" s="453">
        <v>0</v>
      </c>
      <c r="J158" s="453">
        <v>0</v>
      </c>
      <c r="K158" s="453">
        <v>0</v>
      </c>
      <c r="L158" s="453">
        <v>0</v>
      </c>
      <c r="M158" s="453">
        <v>0</v>
      </c>
      <c r="N158" s="453">
        <v>0</v>
      </c>
      <c r="O158" s="453">
        <v>0</v>
      </c>
      <c r="P158" s="14">
        <v>0</v>
      </c>
      <c r="Q158" s="14">
        <v>0</v>
      </c>
      <c r="R158" s="453">
        <v>0</v>
      </c>
      <c r="S158" s="453">
        <v>0</v>
      </c>
      <c r="T158" s="453">
        <v>0</v>
      </c>
      <c r="U158" s="453">
        <v>0</v>
      </c>
      <c r="V158" s="453">
        <v>0</v>
      </c>
      <c r="W158" s="453">
        <v>0</v>
      </c>
      <c r="X158" s="453">
        <v>0</v>
      </c>
      <c r="Y158" s="453">
        <v>0</v>
      </c>
      <c r="Z158" s="453">
        <v>0</v>
      </c>
      <c r="AA158" s="14">
        <v>0</v>
      </c>
      <c r="AB158" s="14">
        <v>0</v>
      </c>
      <c r="AC158" s="453">
        <v>0</v>
      </c>
      <c r="AD158" s="14">
        <v>0</v>
      </c>
      <c r="AE158" s="14">
        <v>0</v>
      </c>
      <c r="AF158" s="14">
        <v>0</v>
      </c>
      <c r="AG158" s="14">
        <v>0</v>
      </c>
      <c r="AH158" s="14">
        <v>0</v>
      </c>
      <c r="AI158" s="14">
        <v>0</v>
      </c>
      <c r="AJ158" s="14">
        <v>0</v>
      </c>
      <c r="AK158" s="14">
        <v>0</v>
      </c>
      <c r="AL158" s="14">
        <v>0</v>
      </c>
      <c r="AM158" s="453">
        <v>0</v>
      </c>
      <c r="AN158" s="453">
        <v>0</v>
      </c>
      <c r="AO158" s="453">
        <v>0</v>
      </c>
      <c r="AP158" s="453">
        <v>0</v>
      </c>
      <c r="AQ158" s="453">
        <v>0</v>
      </c>
      <c r="AR158" s="453">
        <v>0</v>
      </c>
      <c r="AS158" s="453">
        <v>0</v>
      </c>
      <c r="AT158" s="453">
        <v>0</v>
      </c>
      <c r="AU158" s="453">
        <v>0</v>
      </c>
      <c r="AV158" s="453">
        <v>0</v>
      </c>
      <c r="AW158" s="453">
        <v>0</v>
      </c>
      <c r="AX158" s="453">
        <v>0</v>
      </c>
      <c r="AY158" s="453">
        <v>0</v>
      </c>
      <c r="AZ158" s="453">
        <v>0</v>
      </c>
      <c r="BA158" s="453">
        <v>0</v>
      </c>
      <c r="BB158" s="453">
        <v>0</v>
      </c>
      <c r="BC158" s="453">
        <v>0</v>
      </c>
      <c r="BD158" s="453">
        <v>0</v>
      </c>
      <c r="BE158" s="105">
        <v>0</v>
      </c>
      <c r="BF158" s="453">
        <v>0</v>
      </c>
      <c r="BG158" s="453">
        <v>0</v>
      </c>
      <c r="BH158" s="105">
        <v>0</v>
      </c>
      <c r="BI158" s="453">
        <v>0</v>
      </c>
      <c r="BJ158" s="453">
        <v>0</v>
      </c>
      <c r="BK158" s="105">
        <v>0</v>
      </c>
      <c r="BL158" s="453">
        <v>0</v>
      </c>
      <c r="BM158" s="453">
        <v>0</v>
      </c>
      <c r="BN158" s="453">
        <v>0</v>
      </c>
      <c r="BO158" s="453">
        <v>0</v>
      </c>
      <c r="BP158" s="453">
        <v>0</v>
      </c>
      <c r="BQ158" s="453">
        <v>0</v>
      </c>
      <c r="BR158" s="14">
        <v>0</v>
      </c>
      <c r="BS158" s="14">
        <v>0</v>
      </c>
      <c r="BT158" s="377" t="str">
        <v/>
      </c>
      <c r="BU158" s="105" t="str">
        <v/>
      </c>
      <c r="BV158" s="453" t="str">
        <v/>
      </c>
      <c r="BW158" s="105" t="str">
        <f ca="1"/>
        <v/>
      </c>
    </row>
    <row r="159" spans="1:75" x14ac:dyDescent="0.3">
      <c r="A159" s="1">
        <v>0</v>
      </c>
      <c r="B159" s="106">
        <v>0</v>
      </c>
      <c r="C159" s="14">
        <v>0</v>
      </c>
      <c r="D159" s="14">
        <v>0</v>
      </c>
      <c r="E159" s="14">
        <v>0</v>
      </c>
      <c r="F159" s="453">
        <v>0</v>
      </c>
      <c r="G159" s="377">
        <v>0</v>
      </c>
      <c r="H159" s="453">
        <v>0</v>
      </c>
      <c r="I159" s="453">
        <v>0</v>
      </c>
      <c r="J159" s="453">
        <v>0</v>
      </c>
      <c r="K159" s="453">
        <v>0</v>
      </c>
      <c r="L159" s="453">
        <v>0</v>
      </c>
      <c r="M159" s="453">
        <v>0</v>
      </c>
      <c r="N159" s="453">
        <v>0</v>
      </c>
      <c r="O159" s="453">
        <v>0</v>
      </c>
      <c r="P159" s="14">
        <v>0</v>
      </c>
      <c r="Q159" s="14">
        <v>0</v>
      </c>
      <c r="R159" s="453">
        <v>0</v>
      </c>
      <c r="S159" s="453">
        <v>0</v>
      </c>
      <c r="T159" s="453">
        <v>0</v>
      </c>
      <c r="U159" s="453">
        <v>0</v>
      </c>
      <c r="V159" s="453">
        <v>0</v>
      </c>
      <c r="W159" s="453">
        <v>0</v>
      </c>
      <c r="X159" s="453">
        <v>0</v>
      </c>
      <c r="Y159" s="453">
        <v>0</v>
      </c>
      <c r="Z159" s="453">
        <v>0</v>
      </c>
      <c r="AA159" s="14">
        <v>0</v>
      </c>
      <c r="AB159" s="14">
        <v>0</v>
      </c>
      <c r="AC159" s="453">
        <v>0</v>
      </c>
      <c r="AD159" s="14">
        <v>0</v>
      </c>
      <c r="AE159" s="14">
        <v>0</v>
      </c>
      <c r="AF159" s="14">
        <v>0</v>
      </c>
      <c r="AG159" s="14">
        <v>0</v>
      </c>
      <c r="AH159" s="14">
        <v>0</v>
      </c>
      <c r="AI159" s="14">
        <v>0</v>
      </c>
      <c r="AJ159" s="14">
        <v>0</v>
      </c>
      <c r="AK159" s="14">
        <v>0</v>
      </c>
      <c r="AL159" s="14">
        <v>0</v>
      </c>
      <c r="AM159" s="453">
        <v>0</v>
      </c>
      <c r="AN159" s="453">
        <v>0</v>
      </c>
      <c r="AO159" s="453">
        <v>0</v>
      </c>
      <c r="AP159" s="453">
        <v>0</v>
      </c>
      <c r="AQ159" s="453">
        <v>0</v>
      </c>
      <c r="AR159" s="453">
        <v>0</v>
      </c>
      <c r="AS159" s="453">
        <v>0</v>
      </c>
      <c r="AT159" s="453">
        <v>0</v>
      </c>
      <c r="AU159" s="453">
        <v>0</v>
      </c>
      <c r="AV159" s="453">
        <v>0</v>
      </c>
      <c r="AW159" s="453">
        <v>0</v>
      </c>
      <c r="AX159" s="453">
        <v>0</v>
      </c>
      <c r="AY159" s="453">
        <v>0</v>
      </c>
      <c r="AZ159" s="453">
        <v>0</v>
      </c>
      <c r="BA159" s="453">
        <v>0</v>
      </c>
      <c r="BB159" s="453">
        <v>0</v>
      </c>
      <c r="BC159" s="453">
        <v>0</v>
      </c>
      <c r="BD159" s="453">
        <v>0</v>
      </c>
      <c r="BE159" s="105">
        <v>0</v>
      </c>
      <c r="BF159" s="453">
        <v>0</v>
      </c>
      <c r="BG159" s="453">
        <v>0</v>
      </c>
      <c r="BH159" s="105">
        <v>0</v>
      </c>
      <c r="BI159" s="453">
        <v>0</v>
      </c>
      <c r="BJ159" s="453">
        <v>0</v>
      </c>
      <c r="BK159" s="105">
        <v>0</v>
      </c>
      <c r="BL159" s="453">
        <v>0</v>
      </c>
      <c r="BM159" s="453">
        <v>0</v>
      </c>
      <c r="BN159" s="453">
        <v>0</v>
      </c>
      <c r="BO159" s="453">
        <v>0</v>
      </c>
      <c r="BP159" s="453">
        <v>0</v>
      </c>
      <c r="BQ159" s="453">
        <v>0</v>
      </c>
      <c r="BR159" s="14">
        <v>0</v>
      </c>
      <c r="BS159" s="14">
        <v>0</v>
      </c>
      <c r="BT159" s="377" t="str">
        <v/>
      </c>
      <c r="BU159" s="105" t="str">
        <v/>
      </c>
      <c r="BV159" s="453" t="str">
        <v/>
      </c>
      <c r="BW159" s="105" t="str">
        <f ca="1"/>
        <v/>
      </c>
    </row>
    <row r="160" spans="1:75" x14ac:dyDescent="0.3">
      <c r="A160" s="1">
        <v>0</v>
      </c>
      <c r="B160" s="106">
        <v>0</v>
      </c>
      <c r="C160" s="14">
        <v>0</v>
      </c>
      <c r="D160" s="14">
        <v>0</v>
      </c>
      <c r="E160" s="14">
        <v>0</v>
      </c>
      <c r="F160" s="453">
        <v>0</v>
      </c>
      <c r="G160" s="377">
        <v>0</v>
      </c>
      <c r="H160" s="453">
        <v>0</v>
      </c>
      <c r="I160" s="453">
        <v>0</v>
      </c>
      <c r="J160" s="453">
        <v>0</v>
      </c>
      <c r="K160" s="453">
        <v>0</v>
      </c>
      <c r="L160" s="453">
        <v>0</v>
      </c>
      <c r="M160" s="453">
        <v>0</v>
      </c>
      <c r="N160" s="453">
        <v>0</v>
      </c>
      <c r="O160" s="453">
        <v>0</v>
      </c>
      <c r="P160" s="14">
        <v>0</v>
      </c>
      <c r="Q160" s="14">
        <v>0</v>
      </c>
      <c r="R160" s="453">
        <v>0</v>
      </c>
      <c r="S160" s="453">
        <v>0</v>
      </c>
      <c r="T160" s="453">
        <v>0</v>
      </c>
      <c r="U160" s="453">
        <v>0</v>
      </c>
      <c r="V160" s="453">
        <v>0</v>
      </c>
      <c r="W160" s="453">
        <v>0</v>
      </c>
      <c r="X160" s="453">
        <v>0</v>
      </c>
      <c r="Y160" s="453">
        <v>0</v>
      </c>
      <c r="Z160" s="453">
        <v>0</v>
      </c>
      <c r="AA160" s="14">
        <v>0</v>
      </c>
      <c r="AB160" s="14">
        <v>0</v>
      </c>
      <c r="AC160" s="453">
        <v>0</v>
      </c>
      <c r="AD160" s="14">
        <v>0</v>
      </c>
      <c r="AE160" s="14">
        <v>0</v>
      </c>
      <c r="AF160" s="14">
        <v>0</v>
      </c>
      <c r="AG160" s="14">
        <v>0</v>
      </c>
      <c r="AH160" s="14">
        <v>0</v>
      </c>
      <c r="AI160" s="14">
        <v>0</v>
      </c>
      <c r="AJ160" s="14">
        <v>0</v>
      </c>
      <c r="AK160" s="14">
        <v>0</v>
      </c>
      <c r="AL160" s="14">
        <v>0</v>
      </c>
      <c r="AM160" s="453">
        <v>0</v>
      </c>
      <c r="AN160" s="453">
        <v>0</v>
      </c>
      <c r="AO160" s="453">
        <v>0</v>
      </c>
      <c r="AP160" s="453">
        <v>0</v>
      </c>
      <c r="AQ160" s="453">
        <v>0</v>
      </c>
      <c r="AR160" s="453">
        <v>0</v>
      </c>
      <c r="AS160" s="453">
        <v>0</v>
      </c>
      <c r="AT160" s="453">
        <v>0</v>
      </c>
      <c r="AU160" s="453">
        <v>0</v>
      </c>
      <c r="AV160" s="453">
        <v>0</v>
      </c>
      <c r="AW160" s="453">
        <v>0</v>
      </c>
      <c r="AX160" s="453">
        <v>0</v>
      </c>
      <c r="AY160" s="453">
        <v>0</v>
      </c>
      <c r="AZ160" s="453">
        <v>0</v>
      </c>
      <c r="BA160" s="453">
        <v>0</v>
      </c>
      <c r="BB160" s="453">
        <v>0</v>
      </c>
      <c r="BC160" s="453">
        <v>0</v>
      </c>
      <c r="BD160" s="453">
        <v>0</v>
      </c>
      <c r="BE160" s="105">
        <v>0</v>
      </c>
      <c r="BF160" s="453">
        <v>0</v>
      </c>
      <c r="BG160" s="453">
        <v>0</v>
      </c>
      <c r="BH160" s="105">
        <v>0</v>
      </c>
      <c r="BI160" s="453">
        <v>0</v>
      </c>
      <c r="BJ160" s="453">
        <v>0</v>
      </c>
      <c r="BK160" s="105">
        <v>0</v>
      </c>
      <c r="BL160" s="453">
        <v>0</v>
      </c>
      <c r="BM160" s="453">
        <v>0</v>
      </c>
      <c r="BN160" s="453">
        <v>0</v>
      </c>
      <c r="BO160" s="453">
        <v>0</v>
      </c>
      <c r="BP160" s="453">
        <v>0</v>
      </c>
      <c r="BQ160" s="453">
        <v>0</v>
      </c>
      <c r="BR160" s="14">
        <v>0</v>
      </c>
      <c r="BS160" s="14">
        <v>0</v>
      </c>
      <c r="BT160" s="377" t="str">
        <v/>
      </c>
      <c r="BU160" s="105" t="str">
        <v/>
      </c>
      <c r="BV160" s="453" t="str">
        <v/>
      </c>
      <c r="BW160" s="105" t="str">
        <f ca="1"/>
        <v/>
      </c>
    </row>
    <row r="161" spans="1:75" x14ac:dyDescent="0.3">
      <c r="A161" s="1">
        <v>0</v>
      </c>
      <c r="B161" s="106">
        <v>0</v>
      </c>
      <c r="C161" s="14">
        <v>0</v>
      </c>
      <c r="D161" s="14">
        <v>0</v>
      </c>
      <c r="E161" s="14">
        <v>0</v>
      </c>
      <c r="F161" s="453">
        <v>0</v>
      </c>
      <c r="G161" s="377">
        <v>0</v>
      </c>
      <c r="H161" s="453">
        <v>0</v>
      </c>
      <c r="I161" s="453">
        <v>0</v>
      </c>
      <c r="J161" s="453">
        <v>0</v>
      </c>
      <c r="K161" s="453">
        <v>0</v>
      </c>
      <c r="L161" s="453">
        <v>0</v>
      </c>
      <c r="M161" s="453">
        <v>0</v>
      </c>
      <c r="N161" s="453">
        <v>0</v>
      </c>
      <c r="O161" s="453">
        <v>0</v>
      </c>
      <c r="P161" s="14">
        <v>0</v>
      </c>
      <c r="Q161" s="14">
        <v>0</v>
      </c>
      <c r="R161" s="453">
        <v>0</v>
      </c>
      <c r="S161" s="453">
        <v>0</v>
      </c>
      <c r="T161" s="453">
        <v>0</v>
      </c>
      <c r="U161" s="453">
        <v>0</v>
      </c>
      <c r="V161" s="453">
        <v>0</v>
      </c>
      <c r="W161" s="453">
        <v>0</v>
      </c>
      <c r="X161" s="453">
        <v>0</v>
      </c>
      <c r="Y161" s="453">
        <v>0</v>
      </c>
      <c r="Z161" s="453">
        <v>0</v>
      </c>
      <c r="AA161" s="14">
        <v>0</v>
      </c>
      <c r="AB161" s="14">
        <v>0</v>
      </c>
      <c r="AC161" s="453">
        <v>0</v>
      </c>
      <c r="AD161" s="14">
        <v>0</v>
      </c>
      <c r="AE161" s="14">
        <v>0</v>
      </c>
      <c r="AF161" s="14">
        <v>0</v>
      </c>
      <c r="AG161" s="14">
        <v>0</v>
      </c>
      <c r="AH161" s="14">
        <v>0</v>
      </c>
      <c r="AI161" s="14">
        <v>0</v>
      </c>
      <c r="AJ161" s="14">
        <v>0</v>
      </c>
      <c r="AK161" s="14">
        <v>0</v>
      </c>
      <c r="AL161" s="14">
        <v>0</v>
      </c>
      <c r="AM161" s="453">
        <v>0</v>
      </c>
      <c r="AN161" s="453">
        <v>0</v>
      </c>
      <c r="AO161" s="453">
        <v>0</v>
      </c>
      <c r="AP161" s="453">
        <v>0</v>
      </c>
      <c r="AQ161" s="453">
        <v>0</v>
      </c>
      <c r="AR161" s="453">
        <v>0</v>
      </c>
      <c r="AS161" s="453">
        <v>0</v>
      </c>
      <c r="AT161" s="453">
        <v>0</v>
      </c>
      <c r="AU161" s="453">
        <v>0</v>
      </c>
      <c r="AV161" s="453">
        <v>0</v>
      </c>
      <c r="AW161" s="453">
        <v>0</v>
      </c>
      <c r="AX161" s="453">
        <v>0</v>
      </c>
      <c r="AY161" s="453">
        <v>0</v>
      </c>
      <c r="AZ161" s="453">
        <v>0</v>
      </c>
      <c r="BA161" s="453">
        <v>0</v>
      </c>
      <c r="BB161" s="453">
        <v>0</v>
      </c>
      <c r="BC161" s="453">
        <v>0</v>
      </c>
      <c r="BD161" s="453">
        <v>0</v>
      </c>
      <c r="BE161" s="105">
        <v>0</v>
      </c>
      <c r="BF161" s="453">
        <v>0</v>
      </c>
      <c r="BG161" s="453">
        <v>0</v>
      </c>
      <c r="BH161" s="105">
        <v>0</v>
      </c>
      <c r="BI161" s="453">
        <v>0</v>
      </c>
      <c r="BJ161" s="453">
        <v>0</v>
      </c>
      <c r="BK161" s="105">
        <v>0</v>
      </c>
      <c r="BL161" s="453">
        <v>0</v>
      </c>
      <c r="BM161" s="453">
        <v>0</v>
      </c>
      <c r="BN161" s="453">
        <v>0</v>
      </c>
      <c r="BO161" s="453">
        <v>0</v>
      </c>
      <c r="BP161" s="453">
        <v>0</v>
      </c>
      <c r="BQ161" s="453">
        <v>0</v>
      </c>
      <c r="BR161" s="14">
        <v>0</v>
      </c>
      <c r="BS161" s="14">
        <v>0</v>
      </c>
      <c r="BT161" s="377" t="str">
        <v/>
      </c>
      <c r="BU161" s="105" t="str">
        <v/>
      </c>
      <c r="BV161" s="453" t="str">
        <v/>
      </c>
      <c r="BW161" s="105" t="str">
        <f ca="1"/>
        <v/>
      </c>
    </row>
    <row r="162" spans="1:75" x14ac:dyDescent="0.3">
      <c r="A162" s="1">
        <v>0</v>
      </c>
      <c r="B162" s="106">
        <v>0</v>
      </c>
      <c r="C162" s="14">
        <v>0</v>
      </c>
      <c r="D162" s="14">
        <v>0</v>
      </c>
      <c r="E162" s="14">
        <v>0</v>
      </c>
      <c r="F162" s="453">
        <v>0</v>
      </c>
      <c r="G162" s="377">
        <v>0</v>
      </c>
      <c r="H162" s="453">
        <v>0</v>
      </c>
      <c r="I162" s="453">
        <v>0</v>
      </c>
      <c r="J162" s="453">
        <v>0</v>
      </c>
      <c r="K162" s="453">
        <v>0</v>
      </c>
      <c r="L162" s="453">
        <v>0</v>
      </c>
      <c r="M162" s="453">
        <v>0</v>
      </c>
      <c r="N162" s="453">
        <v>0</v>
      </c>
      <c r="O162" s="453">
        <v>0</v>
      </c>
      <c r="P162" s="14">
        <v>0</v>
      </c>
      <c r="Q162" s="14">
        <v>0</v>
      </c>
      <c r="R162" s="453">
        <v>0</v>
      </c>
      <c r="S162" s="453">
        <v>0</v>
      </c>
      <c r="T162" s="453">
        <v>0</v>
      </c>
      <c r="U162" s="453">
        <v>0</v>
      </c>
      <c r="V162" s="453">
        <v>0</v>
      </c>
      <c r="W162" s="453">
        <v>0</v>
      </c>
      <c r="X162" s="453">
        <v>0</v>
      </c>
      <c r="Y162" s="453">
        <v>0</v>
      </c>
      <c r="Z162" s="453">
        <v>0</v>
      </c>
      <c r="AA162" s="14">
        <v>0</v>
      </c>
      <c r="AB162" s="14">
        <v>0</v>
      </c>
      <c r="AC162" s="453">
        <v>0</v>
      </c>
      <c r="AD162" s="14">
        <v>0</v>
      </c>
      <c r="AE162" s="14">
        <v>0</v>
      </c>
      <c r="AF162" s="14">
        <v>0</v>
      </c>
      <c r="AG162" s="14">
        <v>0</v>
      </c>
      <c r="AH162" s="14">
        <v>0</v>
      </c>
      <c r="AI162" s="14">
        <v>0</v>
      </c>
      <c r="AJ162" s="14">
        <v>0</v>
      </c>
      <c r="AK162" s="14">
        <v>0</v>
      </c>
      <c r="AL162" s="14">
        <v>0</v>
      </c>
      <c r="AM162" s="453">
        <v>0</v>
      </c>
      <c r="AN162" s="453">
        <v>0</v>
      </c>
      <c r="AO162" s="453">
        <v>0</v>
      </c>
      <c r="AP162" s="453">
        <v>0</v>
      </c>
      <c r="AQ162" s="453">
        <v>0</v>
      </c>
      <c r="AR162" s="453">
        <v>0</v>
      </c>
      <c r="AS162" s="453">
        <v>0</v>
      </c>
      <c r="AT162" s="453">
        <v>0</v>
      </c>
      <c r="AU162" s="453">
        <v>0</v>
      </c>
      <c r="AV162" s="453">
        <v>0</v>
      </c>
      <c r="AW162" s="453">
        <v>0</v>
      </c>
      <c r="AX162" s="453">
        <v>0</v>
      </c>
      <c r="AY162" s="453">
        <v>0</v>
      </c>
      <c r="AZ162" s="453">
        <v>0</v>
      </c>
      <c r="BA162" s="453">
        <v>0</v>
      </c>
      <c r="BB162" s="453">
        <v>0</v>
      </c>
      <c r="BC162" s="453">
        <v>0</v>
      </c>
      <c r="BD162" s="453">
        <v>0</v>
      </c>
      <c r="BE162" s="105">
        <v>0</v>
      </c>
      <c r="BF162" s="453">
        <v>0</v>
      </c>
      <c r="BG162" s="453">
        <v>0</v>
      </c>
      <c r="BH162" s="105">
        <v>0</v>
      </c>
      <c r="BI162" s="453">
        <v>0</v>
      </c>
      <c r="BJ162" s="453">
        <v>0</v>
      </c>
      <c r="BK162" s="105">
        <v>0</v>
      </c>
      <c r="BL162" s="453">
        <v>0</v>
      </c>
      <c r="BM162" s="453">
        <v>0</v>
      </c>
      <c r="BN162" s="453">
        <v>0</v>
      </c>
      <c r="BO162" s="453">
        <v>0</v>
      </c>
      <c r="BP162" s="453">
        <v>0</v>
      </c>
      <c r="BQ162" s="453">
        <v>0</v>
      </c>
      <c r="BR162" s="14">
        <v>0</v>
      </c>
      <c r="BS162" s="14">
        <v>0</v>
      </c>
      <c r="BT162" s="377" t="str">
        <v/>
      </c>
      <c r="BU162" s="105" t="str">
        <v/>
      </c>
      <c r="BV162" s="453" t="str">
        <v/>
      </c>
      <c r="BW162" s="105" t="str">
        <f ca="1"/>
        <v/>
      </c>
    </row>
    <row r="163" spans="1:75" x14ac:dyDescent="0.3">
      <c r="A163" s="1">
        <v>0</v>
      </c>
      <c r="B163" s="106">
        <v>0</v>
      </c>
      <c r="C163" s="14">
        <v>0</v>
      </c>
      <c r="D163" s="14">
        <v>0</v>
      </c>
      <c r="E163" s="14">
        <v>0</v>
      </c>
      <c r="F163" s="453">
        <v>0</v>
      </c>
      <c r="G163" s="377">
        <v>0</v>
      </c>
      <c r="H163" s="453">
        <v>0</v>
      </c>
      <c r="I163" s="453">
        <v>0</v>
      </c>
      <c r="J163" s="453">
        <v>0</v>
      </c>
      <c r="K163" s="453">
        <v>0</v>
      </c>
      <c r="L163" s="453">
        <v>0</v>
      </c>
      <c r="M163" s="453">
        <v>0</v>
      </c>
      <c r="N163" s="453">
        <v>0</v>
      </c>
      <c r="O163" s="453">
        <v>0</v>
      </c>
      <c r="P163" s="14">
        <v>0</v>
      </c>
      <c r="Q163" s="14">
        <v>0</v>
      </c>
      <c r="R163" s="453">
        <v>0</v>
      </c>
      <c r="S163" s="453">
        <v>0</v>
      </c>
      <c r="T163" s="453">
        <v>0</v>
      </c>
      <c r="U163" s="453">
        <v>0</v>
      </c>
      <c r="V163" s="453">
        <v>0</v>
      </c>
      <c r="W163" s="453">
        <v>0</v>
      </c>
      <c r="X163" s="453">
        <v>0</v>
      </c>
      <c r="Y163" s="453">
        <v>0</v>
      </c>
      <c r="Z163" s="453">
        <v>0</v>
      </c>
      <c r="AA163" s="14">
        <v>0</v>
      </c>
      <c r="AB163" s="14">
        <v>0</v>
      </c>
      <c r="AC163" s="453">
        <v>0</v>
      </c>
      <c r="AD163" s="14">
        <v>0</v>
      </c>
      <c r="AE163" s="14">
        <v>0</v>
      </c>
      <c r="AF163" s="14">
        <v>0</v>
      </c>
      <c r="AG163" s="14">
        <v>0</v>
      </c>
      <c r="AH163" s="14">
        <v>0</v>
      </c>
      <c r="AI163" s="14">
        <v>0</v>
      </c>
      <c r="AJ163" s="14">
        <v>0</v>
      </c>
      <c r="AK163" s="14">
        <v>0</v>
      </c>
      <c r="AL163" s="14">
        <v>0</v>
      </c>
      <c r="AM163" s="453">
        <v>0</v>
      </c>
      <c r="AN163" s="453">
        <v>0</v>
      </c>
      <c r="AO163" s="453">
        <v>0</v>
      </c>
      <c r="AP163" s="453">
        <v>0</v>
      </c>
      <c r="AQ163" s="453">
        <v>0</v>
      </c>
      <c r="AR163" s="453">
        <v>0</v>
      </c>
      <c r="AS163" s="453">
        <v>0</v>
      </c>
      <c r="AT163" s="453">
        <v>0</v>
      </c>
      <c r="AU163" s="453">
        <v>0</v>
      </c>
      <c r="AV163" s="453">
        <v>0</v>
      </c>
      <c r="AW163" s="453">
        <v>0</v>
      </c>
      <c r="AX163" s="453">
        <v>0</v>
      </c>
      <c r="AY163" s="453">
        <v>0</v>
      </c>
      <c r="AZ163" s="453">
        <v>0</v>
      </c>
      <c r="BA163" s="453">
        <v>0</v>
      </c>
      <c r="BB163" s="453">
        <v>0</v>
      </c>
      <c r="BC163" s="453">
        <v>0</v>
      </c>
      <c r="BD163" s="453">
        <v>0</v>
      </c>
      <c r="BE163" s="105">
        <v>0</v>
      </c>
      <c r="BF163" s="453">
        <v>0</v>
      </c>
      <c r="BG163" s="453">
        <v>0</v>
      </c>
      <c r="BH163" s="105">
        <v>0</v>
      </c>
      <c r="BI163" s="453">
        <v>0</v>
      </c>
      <c r="BJ163" s="453">
        <v>0</v>
      </c>
      <c r="BK163" s="105">
        <v>0</v>
      </c>
      <c r="BL163" s="453">
        <v>0</v>
      </c>
      <c r="BM163" s="453">
        <v>0</v>
      </c>
      <c r="BN163" s="453">
        <v>0</v>
      </c>
      <c r="BO163" s="453">
        <v>0</v>
      </c>
      <c r="BP163" s="453">
        <v>0</v>
      </c>
      <c r="BQ163" s="453">
        <v>0</v>
      </c>
      <c r="BR163" s="14">
        <v>0</v>
      </c>
      <c r="BS163" s="14">
        <v>0</v>
      </c>
      <c r="BT163" s="377" t="str">
        <v/>
      </c>
      <c r="BU163" s="105" t="str">
        <v/>
      </c>
      <c r="BV163" s="453" t="str">
        <v/>
      </c>
      <c r="BW163" s="105" t="str">
        <f ca="1"/>
        <v/>
      </c>
    </row>
    <row r="164" spans="1:75" x14ac:dyDescent="0.3">
      <c r="A164" s="1">
        <v>0</v>
      </c>
      <c r="B164" s="106">
        <v>0</v>
      </c>
      <c r="C164" s="14">
        <v>0</v>
      </c>
      <c r="D164" s="14">
        <v>0</v>
      </c>
      <c r="E164" s="14">
        <v>0</v>
      </c>
      <c r="F164" s="453">
        <v>0</v>
      </c>
      <c r="G164" s="377">
        <v>0</v>
      </c>
      <c r="H164" s="453">
        <v>0</v>
      </c>
      <c r="I164" s="453">
        <v>0</v>
      </c>
      <c r="J164" s="453">
        <v>0</v>
      </c>
      <c r="K164" s="453">
        <v>0</v>
      </c>
      <c r="L164" s="453">
        <v>0</v>
      </c>
      <c r="M164" s="453">
        <v>0</v>
      </c>
      <c r="N164" s="453">
        <v>0</v>
      </c>
      <c r="O164" s="453">
        <v>0</v>
      </c>
      <c r="P164" s="14">
        <v>0</v>
      </c>
      <c r="Q164" s="14">
        <v>0</v>
      </c>
      <c r="R164" s="453">
        <v>0</v>
      </c>
      <c r="S164" s="453">
        <v>0</v>
      </c>
      <c r="T164" s="453">
        <v>0</v>
      </c>
      <c r="U164" s="453">
        <v>0</v>
      </c>
      <c r="V164" s="453">
        <v>0</v>
      </c>
      <c r="W164" s="453">
        <v>0</v>
      </c>
      <c r="X164" s="453">
        <v>0</v>
      </c>
      <c r="Y164" s="453">
        <v>0</v>
      </c>
      <c r="Z164" s="453">
        <v>0</v>
      </c>
      <c r="AA164" s="14">
        <v>0</v>
      </c>
      <c r="AB164" s="14">
        <v>0</v>
      </c>
      <c r="AC164" s="453">
        <v>0</v>
      </c>
      <c r="AD164" s="14">
        <v>0</v>
      </c>
      <c r="AE164" s="14">
        <v>0</v>
      </c>
      <c r="AF164" s="14">
        <v>0</v>
      </c>
      <c r="AG164" s="14">
        <v>0</v>
      </c>
      <c r="AH164" s="14">
        <v>0</v>
      </c>
      <c r="AI164" s="14">
        <v>0</v>
      </c>
      <c r="AJ164" s="14">
        <v>0</v>
      </c>
      <c r="AK164" s="14">
        <v>0</v>
      </c>
      <c r="AL164" s="14">
        <v>0</v>
      </c>
      <c r="AM164" s="453">
        <v>0</v>
      </c>
      <c r="AN164" s="453">
        <v>0</v>
      </c>
      <c r="AO164" s="453">
        <v>0</v>
      </c>
      <c r="AP164" s="453">
        <v>0</v>
      </c>
      <c r="AQ164" s="453">
        <v>0</v>
      </c>
      <c r="AR164" s="453">
        <v>0</v>
      </c>
      <c r="AS164" s="453">
        <v>0</v>
      </c>
      <c r="AT164" s="453">
        <v>0</v>
      </c>
      <c r="AU164" s="453">
        <v>0</v>
      </c>
      <c r="AV164" s="453">
        <v>0</v>
      </c>
      <c r="AW164" s="453">
        <v>0</v>
      </c>
      <c r="AX164" s="453">
        <v>0</v>
      </c>
      <c r="AY164" s="453">
        <v>0</v>
      </c>
      <c r="AZ164" s="453">
        <v>0</v>
      </c>
      <c r="BA164" s="453">
        <v>0</v>
      </c>
      <c r="BB164" s="453">
        <v>0</v>
      </c>
      <c r="BC164" s="453">
        <v>0</v>
      </c>
      <c r="BD164" s="453">
        <v>0</v>
      </c>
      <c r="BE164" s="105">
        <v>0</v>
      </c>
      <c r="BF164" s="453">
        <v>0</v>
      </c>
      <c r="BG164" s="453">
        <v>0</v>
      </c>
      <c r="BH164" s="105">
        <v>0</v>
      </c>
      <c r="BI164" s="453">
        <v>0</v>
      </c>
      <c r="BJ164" s="453">
        <v>0</v>
      </c>
      <c r="BK164" s="105">
        <v>0</v>
      </c>
      <c r="BL164" s="453">
        <v>0</v>
      </c>
      <c r="BM164" s="453">
        <v>0</v>
      </c>
      <c r="BN164" s="453">
        <v>0</v>
      </c>
      <c r="BO164" s="453">
        <v>0</v>
      </c>
      <c r="BP164" s="453">
        <v>0</v>
      </c>
      <c r="BQ164" s="453">
        <v>0</v>
      </c>
      <c r="BR164" s="14">
        <v>0</v>
      </c>
      <c r="BS164" s="14">
        <v>0</v>
      </c>
      <c r="BT164" s="377" t="str">
        <v/>
      </c>
      <c r="BU164" s="105" t="str">
        <v/>
      </c>
      <c r="BV164" s="453" t="str">
        <v/>
      </c>
      <c r="BW164" s="105" t="str">
        <f ca="1"/>
        <v/>
      </c>
    </row>
    <row r="165" spans="1:75" x14ac:dyDescent="0.3">
      <c r="A165" s="1">
        <v>0</v>
      </c>
      <c r="B165" s="106">
        <v>0</v>
      </c>
      <c r="C165" s="14">
        <v>0</v>
      </c>
      <c r="D165" s="14">
        <v>0</v>
      </c>
      <c r="E165" s="14">
        <v>0</v>
      </c>
      <c r="F165" s="453">
        <v>0</v>
      </c>
      <c r="G165" s="377">
        <v>0</v>
      </c>
      <c r="H165" s="453">
        <v>0</v>
      </c>
      <c r="I165" s="453">
        <v>0</v>
      </c>
      <c r="J165" s="453">
        <v>0</v>
      </c>
      <c r="K165" s="453">
        <v>0</v>
      </c>
      <c r="L165" s="453">
        <v>0</v>
      </c>
      <c r="M165" s="453">
        <v>0</v>
      </c>
      <c r="N165" s="453">
        <v>0</v>
      </c>
      <c r="O165" s="453">
        <v>0</v>
      </c>
      <c r="P165" s="14">
        <v>0</v>
      </c>
      <c r="Q165" s="14">
        <v>0</v>
      </c>
      <c r="R165" s="453">
        <v>0</v>
      </c>
      <c r="S165" s="453">
        <v>0</v>
      </c>
      <c r="T165" s="453">
        <v>0</v>
      </c>
      <c r="U165" s="453">
        <v>0</v>
      </c>
      <c r="V165" s="453">
        <v>0</v>
      </c>
      <c r="W165" s="453">
        <v>0</v>
      </c>
      <c r="X165" s="453">
        <v>0</v>
      </c>
      <c r="Y165" s="453">
        <v>0</v>
      </c>
      <c r="Z165" s="453">
        <v>0</v>
      </c>
      <c r="AA165" s="14">
        <v>0</v>
      </c>
      <c r="AB165" s="14">
        <v>0</v>
      </c>
      <c r="AC165" s="453">
        <v>0</v>
      </c>
      <c r="AD165" s="14">
        <v>0</v>
      </c>
      <c r="AE165" s="14">
        <v>0</v>
      </c>
      <c r="AF165" s="14">
        <v>0</v>
      </c>
      <c r="AG165" s="14">
        <v>0</v>
      </c>
      <c r="AH165" s="14">
        <v>0</v>
      </c>
      <c r="AI165" s="14">
        <v>0</v>
      </c>
      <c r="AJ165" s="14">
        <v>0</v>
      </c>
      <c r="AK165" s="14">
        <v>0</v>
      </c>
      <c r="AL165" s="14">
        <v>0</v>
      </c>
      <c r="AM165" s="453">
        <v>0</v>
      </c>
      <c r="AN165" s="453">
        <v>0</v>
      </c>
      <c r="AO165" s="453">
        <v>0</v>
      </c>
      <c r="AP165" s="453">
        <v>0</v>
      </c>
      <c r="AQ165" s="453">
        <v>0</v>
      </c>
      <c r="AR165" s="453">
        <v>0</v>
      </c>
      <c r="AS165" s="453">
        <v>0</v>
      </c>
      <c r="AT165" s="453">
        <v>0</v>
      </c>
      <c r="AU165" s="453">
        <v>0</v>
      </c>
      <c r="AV165" s="453">
        <v>0</v>
      </c>
      <c r="AW165" s="453">
        <v>0</v>
      </c>
      <c r="AX165" s="453">
        <v>0</v>
      </c>
      <c r="AY165" s="453">
        <v>0</v>
      </c>
      <c r="AZ165" s="453">
        <v>0</v>
      </c>
      <c r="BA165" s="453">
        <v>0</v>
      </c>
      <c r="BB165" s="453">
        <v>0</v>
      </c>
      <c r="BC165" s="453">
        <v>0</v>
      </c>
      <c r="BD165" s="453">
        <v>0</v>
      </c>
      <c r="BE165" s="105">
        <v>0</v>
      </c>
      <c r="BF165" s="453">
        <v>0</v>
      </c>
      <c r="BG165" s="453">
        <v>0</v>
      </c>
      <c r="BH165" s="105">
        <v>0</v>
      </c>
      <c r="BI165" s="453">
        <v>0</v>
      </c>
      <c r="BJ165" s="453">
        <v>0</v>
      </c>
      <c r="BK165" s="105">
        <v>0</v>
      </c>
      <c r="BL165" s="453">
        <v>0</v>
      </c>
      <c r="BM165" s="453">
        <v>0</v>
      </c>
      <c r="BN165" s="453">
        <v>0</v>
      </c>
      <c r="BO165" s="453">
        <v>0</v>
      </c>
      <c r="BP165" s="453">
        <v>0</v>
      </c>
      <c r="BQ165" s="453">
        <v>0</v>
      </c>
      <c r="BR165" s="14">
        <v>0</v>
      </c>
      <c r="BS165" s="14">
        <v>0</v>
      </c>
      <c r="BT165" s="377" t="str">
        <v/>
      </c>
      <c r="BU165" s="105" t="str">
        <v/>
      </c>
      <c r="BV165" s="453" t="str">
        <v/>
      </c>
      <c r="BW165" s="105" t="str">
        <f ca="1"/>
        <v/>
      </c>
    </row>
    <row r="166" spans="1:75" x14ac:dyDescent="0.3">
      <c r="A166" s="1">
        <v>0</v>
      </c>
      <c r="B166" s="106">
        <v>0</v>
      </c>
      <c r="C166" s="14">
        <v>0</v>
      </c>
      <c r="D166" s="14">
        <v>0</v>
      </c>
      <c r="E166" s="14">
        <v>0</v>
      </c>
      <c r="F166" s="453">
        <v>0</v>
      </c>
      <c r="G166" s="377">
        <v>0</v>
      </c>
      <c r="H166" s="453">
        <v>0</v>
      </c>
      <c r="I166" s="453">
        <v>0</v>
      </c>
      <c r="J166" s="453">
        <v>0</v>
      </c>
      <c r="K166" s="453">
        <v>0</v>
      </c>
      <c r="L166" s="453">
        <v>0</v>
      </c>
      <c r="M166" s="453">
        <v>0</v>
      </c>
      <c r="N166" s="453">
        <v>0</v>
      </c>
      <c r="O166" s="453">
        <v>0</v>
      </c>
      <c r="P166" s="14">
        <v>0</v>
      </c>
      <c r="Q166" s="14">
        <v>0</v>
      </c>
      <c r="R166" s="453">
        <v>0</v>
      </c>
      <c r="S166" s="453">
        <v>0</v>
      </c>
      <c r="T166" s="453">
        <v>0</v>
      </c>
      <c r="U166" s="453">
        <v>0</v>
      </c>
      <c r="V166" s="453">
        <v>0</v>
      </c>
      <c r="W166" s="453">
        <v>0</v>
      </c>
      <c r="X166" s="453">
        <v>0</v>
      </c>
      <c r="Y166" s="453">
        <v>0</v>
      </c>
      <c r="Z166" s="453">
        <v>0</v>
      </c>
      <c r="AA166" s="14">
        <v>0</v>
      </c>
      <c r="AB166" s="14">
        <v>0</v>
      </c>
      <c r="AC166" s="453">
        <v>0</v>
      </c>
      <c r="AD166" s="14">
        <v>0</v>
      </c>
      <c r="AE166" s="14">
        <v>0</v>
      </c>
      <c r="AF166" s="14">
        <v>0</v>
      </c>
      <c r="AG166" s="14">
        <v>0</v>
      </c>
      <c r="AH166" s="14">
        <v>0</v>
      </c>
      <c r="AI166" s="14">
        <v>0</v>
      </c>
      <c r="AJ166" s="14">
        <v>0</v>
      </c>
      <c r="AK166" s="14">
        <v>0</v>
      </c>
      <c r="AL166" s="14">
        <v>0</v>
      </c>
      <c r="AM166" s="453">
        <v>0</v>
      </c>
      <c r="AN166" s="453">
        <v>0</v>
      </c>
      <c r="AO166" s="453">
        <v>0</v>
      </c>
      <c r="AP166" s="453">
        <v>0</v>
      </c>
      <c r="AQ166" s="453">
        <v>0</v>
      </c>
      <c r="AR166" s="453">
        <v>0</v>
      </c>
      <c r="AS166" s="453">
        <v>0</v>
      </c>
      <c r="AT166" s="453">
        <v>0</v>
      </c>
      <c r="AU166" s="453">
        <v>0</v>
      </c>
      <c r="AV166" s="453">
        <v>0</v>
      </c>
      <c r="AW166" s="453">
        <v>0</v>
      </c>
      <c r="AX166" s="453">
        <v>0</v>
      </c>
      <c r="AY166" s="453">
        <v>0</v>
      </c>
      <c r="AZ166" s="453">
        <v>0</v>
      </c>
      <c r="BA166" s="453">
        <v>0</v>
      </c>
      <c r="BB166" s="453">
        <v>0</v>
      </c>
      <c r="BC166" s="453">
        <v>0</v>
      </c>
      <c r="BD166" s="453">
        <v>0</v>
      </c>
      <c r="BE166" s="105">
        <v>0</v>
      </c>
      <c r="BF166" s="453">
        <v>0</v>
      </c>
      <c r="BG166" s="453">
        <v>0</v>
      </c>
      <c r="BH166" s="105">
        <v>0</v>
      </c>
      <c r="BI166" s="453">
        <v>0</v>
      </c>
      <c r="BJ166" s="453">
        <v>0</v>
      </c>
      <c r="BK166" s="105">
        <v>0</v>
      </c>
      <c r="BL166" s="453">
        <v>0</v>
      </c>
      <c r="BM166" s="453">
        <v>0</v>
      </c>
      <c r="BN166" s="453">
        <v>0</v>
      </c>
      <c r="BO166" s="453">
        <v>0</v>
      </c>
      <c r="BP166" s="453">
        <v>0</v>
      </c>
      <c r="BQ166" s="453">
        <v>0</v>
      </c>
      <c r="BR166" s="14">
        <v>0</v>
      </c>
      <c r="BS166" s="14">
        <v>0</v>
      </c>
      <c r="BT166" s="377" t="str">
        <v/>
      </c>
      <c r="BU166" s="105" t="str">
        <v/>
      </c>
      <c r="BV166" s="453" t="str">
        <v/>
      </c>
      <c r="BW166" s="105" t="str">
        <f ca="1"/>
        <v/>
      </c>
    </row>
    <row r="167" spans="1:75" x14ac:dyDescent="0.3">
      <c r="A167" s="1">
        <v>0</v>
      </c>
      <c r="B167" s="106">
        <v>0</v>
      </c>
      <c r="C167" s="14">
        <v>0</v>
      </c>
      <c r="D167" s="14">
        <v>0</v>
      </c>
      <c r="E167" s="14">
        <v>0</v>
      </c>
      <c r="F167" s="453">
        <v>0</v>
      </c>
      <c r="G167" s="377">
        <v>0</v>
      </c>
      <c r="H167" s="453">
        <v>0</v>
      </c>
      <c r="I167" s="453">
        <v>0</v>
      </c>
      <c r="J167" s="453">
        <v>0</v>
      </c>
      <c r="K167" s="453">
        <v>0</v>
      </c>
      <c r="L167" s="453">
        <v>0</v>
      </c>
      <c r="M167" s="453">
        <v>0</v>
      </c>
      <c r="N167" s="453">
        <v>0</v>
      </c>
      <c r="O167" s="453">
        <v>0</v>
      </c>
      <c r="P167" s="14">
        <v>0</v>
      </c>
      <c r="Q167" s="14">
        <v>0</v>
      </c>
      <c r="R167" s="453">
        <v>0</v>
      </c>
      <c r="S167" s="453">
        <v>0</v>
      </c>
      <c r="T167" s="453">
        <v>0</v>
      </c>
      <c r="U167" s="453">
        <v>0</v>
      </c>
      <c r="V167" s="453">
        <v>0</v>
      </c>
      <c r="W167" s="453">
        <v>0</v>
      </c>
      <c r="X167" s="453">
        <v>0</v>
      </c>
      <c r="Y167" s="453">
        <v>0</v>
      </c>
      <c r="Z167" s="453">
        <v>0</v>
      </c>
      <c r="AA167" s="14">
        <v>0</v>
      </c>
      <c r="AB167" s="14">
        <v>0</v>
      </c>
      <c r="AC167" s="453">
        <v>0</v>
      </c>
      <c r="AD167" s="14">
        <v>0</v>
      </c>
      <c r="AE167" s="14">
        <v>0</v>
      </c>
      <c r="AF167" s="14">
        <v>0</v>
      </c>
      <c r="AG167" s="14">
        <v>0</v>
      </c>
      <c r="AH167" s="14">
        <v>0</v>
      </c>
      <c r="AI167" s="14">
        <v>0</v>
      </c>
      <c r="AJ167" s="14">
        <v>0</v>
      </c>
      <c r="AK167" s="14">
        <v>0</v>
      </c>
      <c r="AL167" s="14">
        <v>0</v>
      </c>
      <c r="AM167" s="453">
        <v>0</v>
      </c>
      <c r="AN167" s="453">
        <v>0</v>
      </c>
      <c r="AO167" s="453">
        <v>0</v>
      </c>
      <c r="AP167" s="453">
        <v>0</v>
      </c>
      <c r="AQ167" s="453">
        <v>0</v>
      </c>
      <c r="AR167" s="453">
        <v>0</v>
      </c>
      <c r="AS167" s="453">
        <v>0</v>
      </c>
      <c r="AT167" s="453">
        <v>0</v>
      </c>
      <c r="AU167" s="453">
        <v>0</v>
      </c>
      <c r="AV167" s="453">
        <v>0</v>
      </c>
      <c r="AW167" s="453">
        <v>0</v>
      </c>
      <c r="AX167" s="453">
        <v>0</v>
      </c>
      <c r="AY167" s="453">
        <v>0</v>
      </c>
      <c r="AZ167" s="453">
        <v>0</v>
      </c>
      <c r="BA167" s="453">
        <v>0</v>
      </c>
      <c r="BB167" s="453">
        <v>0</v>
      </c>
      <c r="BC167" s="453">
        <v>0</v>
      </c>
      <c r="BD167" s="453">
        <v>0</v>
      </c>
      <c r="BE167" s="105">
        <v>0</v>
      </c>
      <c r="BF167" s="453">
        <v>0</v>
      </c>
      <c r="BG167" s="453">
        <v>0</v>
      </c>
      <c r="BH167" s="105">
        <v>0</v>
      </c>
      <c r="BI167" s="453">
        <v>0</v>
      </c>
      <c r="BJ167" s="453">
        <v>0</v>
      </c>
      <c r="BK167" s="105">
        <v>0</v>
      </c>
      <c r="BL167" s="453">
        <v>0</v>
      </c>
      <c r="BM167" s="453">
        <v>0</v>
      </c>
      <c r="BN167" s="453">
        <v>0</v>
      </c>
      <c r="BO167" s="453">
        <v>0</v>
      </c>
      <c r="BP167" s="453">
        <v>0</v>
      </c>
      <c r="BQ167" s="453">
        <v>0</v>
      </c>
      <c r="BR167" s="14">
        <v>0</v>
      </c>
      <c r="BS167" s="14">
        <v>0</v>
      </c>
      <c r="BT167" s="377" t="str">
        <v/>
      </c>
      <c r="BU167" s="105" t="str">
        <v/>
      </c>
      <c r="BV167" s="453" t="str">
        <v/>
      </c>
      <c r="BW167" s="105" t="str">
        <f ca="1"/>
        <v/>
      </c>
    </row>
    <row r="168" spans="1:75" x14ac:dyDescent="0.3">
      <c r="A168" s="1">
        <v>0</v>
      </c>
      <c r="B168" s="106">
        <v>0</v>
      </c>
      <c r="C168" s="14">
        <v>0</v>
      </c>
      <c r="D168" s="14">
        <v>0</v>
      </c>
      <c r="E168" s="14">
        <v>0</v>
      </c>
      <c r="F168" s="453">
        <v>0</v>
      </c>
      <c r="G168" s="377">
        <v>0</v>
      </c>
      <c r="H168" s="453">
        <v>0</v>
      </c>
      <c r="I168" s="453">
        <v>0</v>
      </c>
      <c r="J168" s="453">
        <v>0</v>
      </c>
      <c r="K168" s="453">
        <v>0</v>
      </c>
      <c r="L168" s="453">
        <v>0</v>
      </c>
      <c r="M168" s="453">
        <v>0</v>
      </c>
      <c r="N168" s="453">
        <v>0</v>
      </c>
      <c r="O168" s="453">
        <v>0</v>
      </c>
      <c r="P168" s="14">
        <v>0</v>
      </c>
      <c r="Q168" s="14">
        <v>0</v>
      </c>
      <c r="R168" s="453">
        <v>0</v>
      </c>
      <c r="S168" s="453">
        <v>0</v>
      </c>
      <c r="T168" s="453">
        <v>0</v>
      </c>
      <c r="U168" s="453">
        <v>0</v>
      </c>
      <c r="V168" s="453">
        <v>0</v>
      </c>
      <c r="W168" s="453">
        <v>0</v>
      </c>
      <c r="X168" s="453">
        <v>0</v>
      </c>
      <c r="Y168" s="453">
        <v>0</v>
      </c>
      <c r="Z168" s="453">
        <v>0</v>
      </c>
      <c r="AA168" s="14">
        <v>0</v>
      </c>
      <c r="AB168" s="14">
        <v>0</v>
      </c>
      <c r="AC168" s="453">
        <v>0</v>
      </c>
      <c r="AD168" s="14">
        <v>0</v>
      </c>
      <c r="AE168" s="14">
        <v>0</v>
      </c>
      <c r="AF168" s="14">
        <v>0</v>
      </c>
      <c r="AG168" s="14">
        <v>0</v>
      </c>
      <c r="AH168" s="14">
        <v>0</v>
      </c>
      <c r="AI168" s="14">
        <v>0</v>
      </c>
      <c r="AJ168" s="14">
        <v>0</v>
      </c>
      <c r="AK168" s="14">
        <v>0</v>
      </c>
      <c r="AL168" s="14">
        <v>0</v>
      </c>
      <c r="AM168" s="453">
        <v>0</v>
      </c>
      <c r="AN168" s="453">
        <v>0</v>
      </c>
      <c r="AO168" s="453">
        <v>0</v>
      </c>
      <c r="AP168" s="453">
        <v>0</v>
      </c>
      <c r="AQ168" s="453">
        <v>0</v>
      </c>
      <c r="AR168" s="453">
        <v>0</v>
      </c>
      <c r="AS168" s="453">
        <v>0</v>
      </c>
      <c r="AT168" s="453">
        <v>0</v>
      </c>
      <c r="AU168" s="453">
        <v>0</v>
      </c>
      <c r="AV168" s="453">
        <v>0</v>
      </c>
      <c r="AW168" s="453">
        <v>0</v>
      </c>
      <c r="AX168" s="453">
        <v>0</v>
      </c>
      <c r="AY168" s="453">
        <v>0</v>
      </c>
      <c r="AZ168" s="453">
        <v>0</v>
      </c>
      <c r="BA168" s="453">
        <v>0</v>
      </c>
      <c r="BB168" s="453">
        <v>0</v>
      </c>
      <c r="BC168" s="453">
        <v>0</v>
      </c>
      <c r="BD168" s="453">
        <v>0</v>
      </c>
      <c r="BE168" s="105">
        <v>0</v>
      </c>
      <c r="BF168" s="453">
        <v>0</v>
      </c>
      <c r="BG168" s="453">
        <v>0</v>
      </c>
      <c r="BH168" s="105">
        <v>0</v>
      </c>
      <c r="BI168" s="453">
        <v>0</v>
      </c>
      <c r="BJ168" s="453">
        <v>0</v>
      </c>
      <c r="BK168" s="105">
        <v>0</v>
      </c>
      <c r="BL168" s="453">
        <v>0</v>
      </c>
      <c r="BM168" s="453">
        <v>0</v>
      </c>
      <c r="BN168" s="453">
        <v>0</v>
      </c>
      <c r="BO168" s="453">
        <v>0</v>
      </c>
      <c r="BP168" s="453">
        <v>0</v>
      </c>
      <c r="BQ168" s="453">
        <v>0</v>
      </c>
      <c r="BR168" s="14">
        <v>0</v>
      </c>
      <c r="BS168" s="14">
        <v>0</v>
      </c>
      <c r="BT168" s="377" t="str">
        <v/>
      </c>
      <c r="BU168" s="105" t="str">
        <v/>
      </c>
      <c r="BV168" s="453" t="str">
        <v/>
      </c>
      <c r="BW168" s="105" t="str">
        <f ca="1"/>
        <v/>
      </c>
    </row>
    <row r="169" spans="1:75" x14ac:dyDescent="0.3">
      <c r="A169" s="1">
        <v>0</v>
      </c>
      <c r="B169" s="106">
        <v>0</v>
      </c>
      <c r="C169" s="14">
        <v>0</v>
      </c>
      <c r="D169" s="14">
        <v>0</v>
      </c>
      <c r="E169" s="14">
        <v>0</v>
      </c>
      <c r="F169" s="453">
        <v>0</v>
      </c>
      <c r="G169" s="377">
        <v>0</v>
      </c>
      <c r="H169" s="453">
        <v>0</v>
      </c>
      <c r="I169" s="453">
        <v>0</v>
      </c>
      <c r="J169" s="453">
        <v>0</v>
      </c>
      <c r="K169" s="453">
        <v>0</v>
      </c>
      <c r="L169" s="453">
        <v>0</v>
      </c>
      <c r="M169" s="453">
        <v>0</v>
      </c>
      <c r="N169" s="453">
        <v>0</v>
      </c>
      <c r="O169" s="453">
        <v>0</v>
      </c>
      <c r="P169" s="14">
        <v>0</v>
      </c>
      <c r="Q169" s="14">
        <v>0</v>
      </c>
      <c r="R169" s="453">
        <v>0</v>
      </c>
      <c r="S169" s="453">
        <v>0</v>
      </c>
      <c r="T169" s="453">
        <v>0</v>
      </c>
      <c r="U169" s="453">
        <v>0</v>
      </c>
      <c r="V169" s="453">
        <v>0</v>
      </c>
      <c r="W169" s="453">
        <v>0</v>
      </c>
      <c r="X169" s="453">
        <v>0</v>
      </c>
      <c r="Y169" s="453">
        <v>0</v>
      </c>
      <c r="Z169" s="453">
        <v>0</v>
      </c>
      <c r="AA169" s="14">
        <v>0</v>
      </c>
      <c r="AB169" s="14">
        <v>0</v>
      </c>
      <c r="AC169" s="453">
        <v>0</v>
      </c>
      <c r="AD169" s="14">
        <v>0</v>
      </c>
      <c r="AE169" s="14">
        <v>0</v>
      </c>
      <c r="AF169" s="14">
        <v>0</v>
      </c>
      <c r="AG169" s="14">
        <v>0</v>
      </c>
      <c r="AH169" s="14">
        <v>0</v>
      </c>
      <c r="AI169" s="14">
        <v>0</v>
      </c>
      <c r="AJ169" s="14">
        <v>0</v>
      </c>
      <c r="AK169" s="14">
        <v>0</v>
      </c>
      <c r="AL169" s="14">
        <v>0</v>
      </c>
      <c r="AM169" s="453">
        <v>0</v>
      </c>
      <c r="AN169" s="453">
        <v>0</v>
      </c>
      <c r="AO169" s="453">
        <v>0</v>
      </c>
      <c r="AP169" s="453">
        <v>0</v>
      </c>
      <c r="AQ169" s="453">
        <v>0</v>
      </c>
      <c r="AR169" s="453">
        <v>0</v>
      </c>
      <c r="AS169" s="453">
        <v>0</v>
      </c>
      <c r="AT169" s="453">
        <v>0</v>
      </c>
      <c r="AU169" s="453">
        <v>0</v>
      </c>
      <c r="AV169" s="453">
        <v>0</v>
      </c>
      <c r="AW169" s="453">
        <v>0</v>
      </c>
      <c r="AX169" s="453">
        <v>0</v>
      </c>
      <c r="AY169" s="453">
        <v>0</v>
      </c>
      <c r="AZ169" s="453">
        <v>0</v>
      </c>
      <c r="BA169" s="453">
        <v>0</v>
      </c>
      <c r="BB169" s="453">
        <v>0</v>
      </c>
      <c r="BC169" s="453">
        <v>0</v>
      </c>
      <c r="BD169" s="453">
        <v>0</v>
      </c>
      <c r="BE169" s="105">
        <v>0</v>
      </c>
      <c r="BF169" s="453">
        <v>0</v>
      </c>
      <c r="BG169" s="453">
        <v>0</v>
      </c>
      <c r="BH169" s="105">
        <v>0</v>
      </c>
      <c r="BI169" s="453">
        <v>0</v>
      </c>
      <c r="BJ169" s="453">
        <v>0</v>
      </c>
      <c r="BK169" s="105">
        <v>0</v>
      </c>
      <c r="BL169" s="453">
        <v>0</v>
      </c>
      <c r="BM169" s="453">
        <v>0</v>
      </c>
      <c r="BN169" s="453">
        <v>0</v>
      </c>
      <c r="BO169" s="453">
        <v>0</v>
      </c>
      <c r="BP169" s="453">
        <v>0</v>
      </c>
      <c r="BQ169" s="453">
        <v>0</v>
      </c>
      <c r="BR169" s="14">
        <v>0</v>
      </c>
      <c r="BS169" s="14">
        <v>0</v>
      </c>
      <c r="BT169" s="377" t="str">
        <v/>
      </c>
      <c r="BU169" s="105" t="str">
        <v/>
      </c>
      <c r="BV169" s="453" t="str">
        <v/>
      </c>
      <c r="BW169" s="105" t="str">
        <f ca="1"/>
        <v/>
      </c>
    </row>
    <row r="170" spans="1:75" x14ac:dyDescent="0.3">
      <c r="A170" s="1">
        <v>0</v>
      </c>
      <c r="B170" s="106">
        <v>0</v>
      </c>
      <c r="C170" s="14">
        <v>0</v>
      </c>
      <c r="D170" s="14">
        <v>0</v>
      </c>
      <c r="E170" s="14">
        <v>0</v>
      </c>
      <c r="F170" s="453">
        <v>0</v>
      </c>
      <c r="G170" s="377">
        <v>0</v>
      </c>
      <c r="H170" s="453">
        <v>0</v>
      </c>
      <c r="I170" s="453">
        <v>0</v>
      </c>
      <c r="J170" s="453">
        <v>0</v>
      </c>
      <c r="K170" s="453">
        <v>0</v>
      </c>
      <c r="L170" s="453">
        <v>0</v>
      </c>
      <c r="M170" s="453">
        <v>0</v>
      </c>
      <c r="N170" s="453">
        <v>0</v>
      </c>
      <c r="O170" s="453">
        <v>0</v>
      </c>
      <c r="P170" s="14">
        <v>0</v>
      </c>
      <c r="Q170" s="14">
        <v>0</v>
      </c>
      <c r="R170" s="453">
        <v>0</v>
      </c>
      <c r="S170" s="453">
        <v>0</v>
      </c>
      <c r="T170" s="453">
        <v>0</v>
      </c>
      <c r="U170" s="453">
        <v>0</v>
      </c>
      <c r="V170" s="453">
        <v>0</v>
      </c>
      <c r="W170" s="453">
        <v>0</v>
      </c>
      <c r="X170" s="453">
        <v>0</v>
      </c>
      <c r="Y170" s="453">
        <v>0</v>
      </c>
      <c r="Z170" s="453">
        <v>0</v>
      </c>
      <c r="AA170" s="14">
        <v>0</v>
      </c>
      <c r="AB170" s="14">
        <v>0</v>
      </c>
      <c r="AC170" s="453">
        <v>0</v>
      </c>
      <c r="AD170" s="14">
        <v>0</v>
      </c>
      <c r="AE170" s="14">
        <v>0</v>
      </c>
      <c r="AF170" s="14">
        <v>0</v>
      </c>
      <c r="AG170" s="14">
        <v>0</v>
      </c>
      <c r="AH170" s="14">
        <v>0</v>
      </c>
      <c r="AI170" s="14">
        <v>0</v>
      </c>
      <c r="AJ170" s="14">
        <v>0</v>
      </c>
      <c r="AK170" s="14">
        <v>0</v>
      </c>
      <c r="AL170" s="14">
        <v>0</v>
      </c>
      <c r="AM170" s="453">
        <v>0</v>
      </c>
      <c r="AN170" s="453">
        <v>0</v>
      </c>
      <c r="AO170" s="453">
        <v>0</v>
      </c>
      <c r="AP170" s="453">
        <v>0</v>
      </c>
      <c r="AQ170" s="453">
        <v>0</v>
      </c>
      <c r="AR170" s="453">
        <v>0</v>
      </c>
      <c r="AS170" s="453">
        <v>0</v>
      </c>
      <c r="AT170" s="453">
        <v>0</v>
      </c>
      <c r="AU170" s="453">
        <v>0</v>
      </c>
      <c r="AV170" s="453">
        <v>0</v>
      </c>
      <c r="AW170" s="453">
        <v>0</v>
      </c>
      <c r="AX170" s="453">
        <v>0</v>
      </c>
      <c r="AY170" s="453">
        <v>0</v>
      </c>
      <c r="AZ170" s="453">
        <v>0</v>
      </c>
      <c r="BA170" s="453">
        <v>0</v>
      </c>
      <c r="BB170" s="453">
        <v>0</v>
      </c>
      <c r="BC170" s="453">
        <v>0</v>
      </c>
      <c r="BD170" s="453">
        <v>0</v>
      </c>
      <c r="BE170" s="105">
        <v>0</v>
      </c>
      <c r="BF170" s="453">
        <v>0</v>
      </c>
      <c r="BG170" s="453">
        <v>0</v>
      </c>
      <c r="BH170" s="105">
        <v>0</v>
      </c>
      <c r="BI170" s="453">
        <v>0</v>
      </c>
      <c r="BJ170" s="453">
        <v>0</v>
      </c>
      <c r="BK170" s="105">
        <v>0</v>
      </c>
      <c r="BL170" s="453">
        <v>0</v>
      </c>
      <c r="BM170" s="453">
        <v>0</v>
      </c>
      <c r="BN170" s="453">
        <v>0</v>
      </c>
      <c r="BO170" s="453">
        <v>0</v>
      </c>
      <c r="BP170" s="453">
        <v>0</v>
      </c>
      <c r="BQ170" s="453">
        <v>0</v>
      </c>
      <c r="BR170" s="14">
        <v>0</v>
      </c>
      <c r="BS170" s="14">
        <v>0</v>
      </c>
      <c r="BT170" s="377" t="str">
        <v/>
      </c>
      <c r="BU170" s="105" t="str">
        <v/>
      </c>
      <c r="BV170" s="453" t="str">
        <v/>
      </c>
      <c r="BW170" s="105" t="str">
        <f ca="1"/>
        <v/>
      </c>
    </row>
    <row r="171" spans="1:75" x14ac:dyDescent="0.3">
      <c r="A171" s="1">
        <v>0</v>
      </c>
      <c r="B171" s="106">
        <v>0</v>
      </c>
      <c r="C171" s="14">
        <v>0</v>
      </c>
      <c r="D171" s="14">
        <v>0</v>
      </c>
      <c r="E171" s="14">
        <v>0</v>
      </c>
      <c r="F171" s="453">
        <v>0</v>
      </c>
      <c r="G171" s="377">
        <v>0</v>
      </c>
      <c r="H171" s="453">
        <v>0</v>
      </c>
      <c r="I171" s="453">
        <v>0</v>
      </c>
      <c r="J171" s="453">
        <v>0</v>
      </c>
      <c r="K171" s="453">
        <v>0</v>
      </c>
      <c r="L171" s="453">
        <v>0</v>
      </c>
      <c r="M171" s="453">
        <v>0</v>
      </c>
      <c r="N171" s="453">
        <v>0</v>
      </c>
      <c r="O171" s="453">
        <v>0</v>
      </c>
      <c r="P171" s="14">
        <v>0</v>
      </c>
      <c r="Q171" s="14">
        <v>0</v>
      </c>
      <c r="R171" s="453">
        <v>0</v>
      </c>
      <c r="S171" s="453">
        <v>0</v>
      </c>
      <c r="T171" s="453">
        <v>0</v>
      </c>
      <c r="U171" s="453">
        <v>0</v>
      </c>
      <c r="V171" s="453">
        <v>0</v>
      </c>
      <c r="W171" s="453">
        <v>0</v>
      </c>
      <c r="X171" s="453">
        <v>0</v>
      </c>
      <c r="Y171" s="453">
        <v>0</v>
      </c>
      <c r="Z171" s="453">
        <v>0</v>
      </c>
      <c r="AA171" s="14">
        <v>0</v>
      </c>
      <c r="AB171" s="14">
        <v>0</v>
      </c>
      <c r="AC171" s="453">
        <v>0</v>
      </c>
      <c r="AD171" s="14">
        <v>0</v>
      </c>
      <c r="AE171" s="14">
        <v>0</v>
      </c>
      <c r="AF171" s="14">
        <v>0</v>
      </c>
      <c r="AG171" s="14">
        <v>0</v>
      </c>
      <c r="AH171" s="14">
        <v>0</v>
      </c>
      <c r="AI171" s="14">
        <v>0</v>
      </c>
      <c r="AJ171" s="14">
        <v>0</v>
      </c>
      <c r="AK171" s="14">
        <v>0</v>
      </c>
      <c r="AL171" s="14">
        <v>0</v>
      </c>
      <c r="AM171" s="453">
        <v>0</v>
      </c>
      <c r="AN171" s="453">
        <v>0</v>
      </c>
      <c r="AO171" s="453">
        <v>0</v>
      </c>
      <c r="AP171" s="453">
        <v>0</v>
      </c>
      <c r="AQ171" s="453">
        <v>0</v>
      </c>
      <c r="AR171" s="453">
        <v>0</v>
      </c>
      <c r="AS171" s="453">
        <v>0</v>
      </c>
      <c r="AT171" s="453">
        <v>0</v>
      </c>
      <c r="AU171" s="453">
        <v>0</v>
      </c>
      <c r="AV171" s="453">
        <v>0</v>
      </c>
      <c r="AW171" s="453">
        <v>0</v>
      </c>
      <c r="AX171" s="453">
        <v>0</v>
      </c>
      <c r="AY171" s="453">
        <v>0</v>
      </c>
      <c r="AZ171" s="453">
        <v>0</v>
      </c>
      <c r="BA171" s="453">
        <v>0</v>
      </c>
      <c r="BB171" s="453">
        <v>0</v>
      </c>
      <c r="BC171" s="453">
        <v>0</v>
      </c>
      <c r="BD171" s="453">
        <v>0</v>
      </c>
      <c r="BE171" s="105">
        <v>0</v>
      </c>
      <c r="BF171" s="453">
        <v>0</v>
      </c>
      <c r="BG171" s="453">
        <v>0</v>
      </c>
      <c r="BH171" s="105">
        <v>0</v>
      </c>
      <c r="BI171" s="453">
        <v>0</v>
      </c>
      <c r="BJ171" s="453">
        <v>0</v>
      </c>
      <c r="BK171" s="105">
        <v>0</v>
      </c>
      <c r="BL171" s="453">
        <v>0</v>
      </c>
      <c r="BM171" s="453">
        <v>0</v>
      </c>
      <c r="BN171" s="453">
        <v>0</v>
      </c>
      <c r="BO171" s="453">
        <v>0</v>
      </c>
      <c r="BP171" s="453">
        <v>0</v>
      </c>
      <c r="BQ171" s="453">
        <v>0</v>
      </c>
      <c r="BR171" s="14">
        <v>0</v>
      </c>
      <c r="BS171" s="14">
        <v>0</v>
      </c>
      <c r="BT171" s="377" t="str">
        <v/>
      </c>
      <c r="BU171" s="105" t="str">
        <v/>
      </c>
      <c r="BV171" s="453" t="str">
        <v/>
      </c>
      <c r="BW171" s="105" t="str">
        <f ca="1"/>
        <v/>
      </c>
    </row>
    <row r="172" spans="1:75" x14ac:dyDescent="0.3">
      <c r="A172" s="1">
        <v>0</v>
      </c>
      <c r="B172" s="106">
        <v>0</v>
      </c>
      <c r="C172" s="14">
        <v>0</v>
      </c>
      <c r="D172" s="14">
        <v>0</v>
      </c>
      <c r="E172" s="14">
        <v>0</v>
      </c>
      <c r="F172" s="453">
        <v>0</v>
      </c>
      <c r="G172" s="377">
        <v>0</v>
      </c>
      <c r="H172" s="453">
        <v>0</v>
      </c>
      <c r="I172" s="453">
        <v>0</v>
      </c>
      <c r="J172" s="453">
        <v>0</v>
      </c>
      <c r="K172" s="453">
        <v>0</v>
      </c>
      <c r="L172" s="453">
        <v>0</v>
      </c>
      <c r="M172" s="453">
        <v>0</v>
      </c>
      <c r="N172" s="453">
        <v>0</v>
      </c>
      <c r="O172" s="453">
        <v>0</v>
      </c>
      <c r="P172" s="14">
        <v>0</v>
      </c>
      <c r="Q172" s="14">
        <v>0</v>
      </c>
      <c r="R172" s="453">
        <v>0</v>
      </c>
      <c r="S172" s="453">
        <v>0</v>
      </c>
      <c r="T172" s="453">
        <v>0</v>
      </c>
      <c r="U172" s="453">
        <v>0</v>
      </c>
      <c r="V172" s="453">
        <v>0</v>
      </c>
      <c r="W172" s="453">
        <v>0</v>
      </c>
      <c r="X172" s="453">
        <v>0</v>
      </c>
      <c r="Y172" s="453">
        <v>0</v>
      </c>
      <c r="Z172" s="453">
        <v>0</v>
      </c>
      <c r="AA172" s="14">
        <v>0</v>
      </c>
      <c r="AB172" s="14">
        <v>0</v>
      </c>
      <c r="AC172" s="453">
        <v>0</v>
      </c>
      <c r="AD172" s="14">
        <v>0</v>
      </c>
      <c r="AE172" s="14">
        <v>0</v>
      </c>
      <c r="AF172" s="14">
        <v>0</v>
      </c>
      <c r="AG172" s="14">
        <v>0</v>
      </c>
      <c r="AH172" s="14">
        <v>0</v>
      </c>
      <c r="AI172" s="14">
        <v>0</v>
      </c>
      <c r="AJ172" s="14">
        <v>0</v>
      </c>
      <c r="AK172" s="14">
        <v>0</v>
      </c>
      <c r="AL172" s="14">
        <v>0</v>
      </c>
      <c r="AM172" s="453">
        <v>0</v>
      </c>
      <c r="AN172" s="453">
        <v>0</v>
      </c>
      <c r="AO172" s="453">
        <v>0</v>
      </c>
      <c r="AP172" s="453">
        <v>0</v>
      </c>
      <c r="AQ172" s="453">
        <v>0</v>
      </c>
      <c r="AR172" s="453">
        <v>0</v>
      </c>
      <c r="AS172" s="453">
        <v>0</v>
      </c>
      <c r="AT172" s="453">
        <v>0</v>
      </c>
      <c r="AU172" s="453">
        <v>0</v>
      </c>
      <c r="AV172" s="453">
        <v>0</v>
      </c>
      <c r="AW172" s="453">
        <v>0</v>
      </c>
      <c r="AX172" s="453">
        <v>0</v>
      </c>
      <c r="AY172" s="453">
        <v>0</v>
      </c>
      <c r="AZ172" s="453">
        <v>0</v>
      </c>
      <c r="BA172" s="453">
        <v>0</v>
      </c>
      <c r="BB172" s="453">
        <v>0</v>
      </c>
      <c r="BC172" s="453">
        <v>0</v>
      </c>
      <c r="BD172" s="453">
        <v>0</v>
      </c>
      <c r="BE172" s="105">
        <v>0</v>
      </c>
      <c r="BF172" s="453">
        <v>0</v>
      </c>
      <c r="BG172" s="453">
        <v>0</v>
      </c>
      <c r="BH172" s="105">
        <v>0</v>
      </c>
      <c r="BI172" s="453">
        <v>0</v>
      </c>
      <c r="BJ172" s="453">
        <v>0</v>
      </c>
      <c r="BK172" s="105">
        <v>0</v>
      </c>
      <c r="BL172" s="453">
        <v>0</v>
      </c>
      <c r="BM172" s="453">
        <v>0</v>
      </c>
      <c r="BN172" s="453">
        <v>0</v>
      </c>
      <c r="BO172" s="453">
        <v>0</v>
      </c>
      <c r="BP172" s="453">
        <v>0</v>
      </c>
      <c r="BQ172" s="453">
        <v>0</v>
      </c>
      <c r="BR172" s="14">
        <v>0</v>
      </c>
      <c r="BS172" s="14">
        <v>0</v>
      </c>
      <c r="BT172" s="377" t="str">
        <v/>
      </c>
      <c r="BU172" s="105" t="str">
        <v/>
      </c>
      <c r="BV172" s="453" t="str">
        <v/>
      </c>
      <c r="BW172" s="105" t="str">
        <f ca="1"/>
        <v/>
      </c>
    </row>
    <row r="173" spans="1:75" x14ac:dyDescent="0.3">
      <c r="A173" s="1">
        <v>0</v>
      </c>
      <c r="B173" s="106">
        <v>0</v>
      </c>
      <c r="C173" s="14">
        <v>0</v>
      </c>
      <c r="D173" s="14">
        <v>0</v>
      </c>
      <c r="E173" s="14">
        <v>0</v>
      </c>
      <c r="F173" s="453">
        <v>0</v>
      </c>
      <c r="G173" s="377">
        <v>0</v>
      </c>
      <c r="H173" s="453">
        <v>0</v>
      </c>
      <c r="I173" s="453">
        <v>0</v>
      </c>
      <c r="J173" s="453">
        <v>0</v>
      </c>
      <c r="K173" s="453">
        <v>0</v>
      </c>
      <c r="L173" s="453">
        <v>0</v>
      </c>
      <c r="M173" s="453">
        <v>0</v>
      </c>
      <c r="N173" s="453">
        <v>0</v>
      </c>
      <c r="O173" s="453">
        <v>0</v>
      </c>
      <c r="P173" s="14">
        <v>0</v>
      </c>
      <c r="Q173" s="14">
        <v>0</v>
      </c>
      <c r="R173" s="453">
        <v>0</v>
      </c>
      <c r="S173" s="453">
        <v>0</v>
      </c>
      <c r="T173" s="453">
        <v>0</v>
      </c>
      <c r="U173" s="453">
        <v>0</v>
      </c>
      <c r="V173" s="453">
        <v>0</v>
      </c>
      <c r="W173" s="453">
        <v>0</v>
      </c>
      <c r="X173" s="453">
        <v>0</v>
      </c>
      <c r="Y173" s="453">
        <v>0</v>
      </c>
      <c r="Z173" s="453">
        <v>0</v>
      </c>
      <c r="AA173" s="14">
        <v>0</v>
      </c>
      <c r="AB173" s="14">
        <v>0</v>
      </c>
      <c r="AC173" s="453">
        <v>0</v>
      </c>
      <c r="AD173" s="14">
        <v>0</v>
      </c>
      <c r="AE173" s="14">
        <v>0</v>
      </c>
      <c r="AF173" s="14">
        <v>0</v>
      </c>
      <c r="AG173" s="14">
        <v>0</v>
      </c>
      <c r="AH173" s="14">
        <v>0</v>
      </c>
      <c r="AI173" s="14">
        <v>0</v>
      </c>
      <c r="AJ173" s="14">
        <v>0</v>
      </c>
      <c r="AK173" s="14">
        <v>0</v>
      </c>
      <c r="AL173" s="14">
        <v>0</v>
      </c>
      <c r="AM173" s="453">
        <v>0</v>
      </c>
      <c r="AN173" s="453">
        <v>0</v>
      </c>
      <c r="AO173" s="453">
        <v>0</v>
      </c>
      <c r="AP173" s="453">
        <v>0</v>
      </c>
      <c r="AQ173" s="453">
        <v>0</v>
      </c>
      <c r="AR173" s="453">
        <v>0</v>
      </c>
      <c r="AS173" s="453">
        <v>0</v>
      </c>
      <c r="AT173" s="453">
        <v>0</v>
      </c>
      <c r="AU173" s="453">
        <v>0</v>
      </c>
      <c r="AV173" s="453">
        <v>0</v>
      </c>
      <c r="AW173" s="453">
        <v>0</v>
      </c>
      <c r="AX173" s="453">
        <v>0</v>
      </c>
      <c r="AY173" s="453">
        <v>0</v>
      </c>
      <c r="AZ173" s="453">
        <v>0</v>
      </c>
      <c r="BA173" s="453">
        <v>0</v>
      </c>
      <c r="BB173" s="453">
        <v>0</v>
      </c>
      <c r="BC173" s="453">
        <v>0</v>
      </c>
      <c r="BD173" s="453">
        <v>0</v>
      </c>
      <c r="BE173" s="105">
        <v>0</v>
      </c>
      <c r="BF173" s="453">
        <v>0</v>
      </c>
      <c r="BG173" s="453">
        <v>0</v>
      </c>
      <c r="BH173" s="105">
        <v>0</v>
      </c>
      <c r="BI173" s="453">
        <v>0</v>
      </c>
      <c r="BJ173" s="453">
        <v>0</v>
      </c>
      <c r="BK173" s="105">
        <v>0</v>
      </c>
      <c r="BL173" s="453">
        <v>0</v>
      </c>
      <c r="BM173" s="453">
        <v>0</v>
      </c>
      <c r="BN173" s="453">
        <v>0</v>
      </c>
      <c r="BO173" s="453">
        <v>0</v>
      </c>
      <c r="BP173" s="453">
        <v>0</v>
      </c>
      <c r="BQ173" s="453">
        <v>0</v>
      </c>
      <c r="BR173" s="14">
        <v>0</v>
      </c>
      <c r="BS173" s="14">
        <v>0</v>
      </c>
      <c r="BT173" s="377" t="str">
        <v/>
      </c>
      <c r="BU173" s="105" t="str">
        <v/>
      </c>
      <c r="BV173" s="453" t="str">
        <v/>
      </c>
      <c r="BW173" s="105" t="str">
        <f ca="1"/>
        <v/>
      </c>
    </row>
    <row r="174" spans="1:75" x14ac:dyDescent="0.3">
      <c r="A174" s="1">
        <v>0</v>
      </c>
      <c r="B174" s="106">
        <v>0</v>
      </c>
      <c r="C174" s="14">
        <v>0</v>
      </c>
      <c r="D174" s="14">
        <v>0</v>
      </c>
      <c r="E174" s="14">
        <v>0</v>
      </c>
      <c r="F174" s="453">
        <v>0</v>
      </c>
      <c r="G174" s="377">
        <v>0</v>
      </c>
      <c r="H174" s="453">
        <v>0</v>
      </c>
      <c r="I174" s="453">
        <v>0</v>
      </c>
      <c r="J174" s="453">
        <v>0</v>
      </c>
      <c r="K174" s="453">
        <v>0</v>
      </c>
      <c r="L174" s="453">
        <v>0</v>
      </c>
      <c r="M174" s="453">
        <v>0</v>
      </c>
      <c r="N174" s="453">
        <v>0</v>
      </c>
      <c r="O174" s="453">
        <v>0</v>
      </c>
      <c r="P174" s="14">
        <v>0</v>
      </c>
      <c r="Q174" s="14">
        <v>0</v>
      </c>
      <c r="R174" s="453">
        <v>0</v>
      </c>
      <c r="S174" s="453">
        <v>0</v>
      </c>
      <c r="T174" s="453">
        <v>0</v>
      </c>
      <c r="U174" s="453">
        <v>0</v>
      </c>
      <c r="V174" s="453">
        <v>0</v>
      </c>
      <c r="W174" s="453">
        <v>0</v>
      </c>
      <c r="X174" s="453">
        <v>0</v>
      </c>
      <c r="Y174" s="453">
        <v>0</v>
      </c>
      <c r="Z174" s="453">
        <v>0</v>
      </c>
      <c r="AA174" s="14">
        <v>0</v>
      </c>
      <c r="AB174" s="14">
        <v>0</v>
      </c>
      <c r="AC174" s="453">
        <v>0</v>
      </c>
      <c r="AD174" s="14">
        <v>0</v>
      </c>
      <c r="AE174" s="14">
        <v>0</v>
      </c>
      <c r="AF174" s="14">
        <v>0</v>
      </c>
      <c r="AG174" s="14">
        <v>0</v>
      </c>
      <c r="AH174" s="14">
        <v>0</v>
      </c>
      <c r="AI174" s="14">
        <v>0</v>
      </c>
      <c r="AJ174" s="14">
        <v>0</v>
      </c>
      <c r="AK174" s="14">
        <v>0</v>
      </c>
      <c r="AL174" s="14">
        <v>0</v>
      </c>
      <c r="AM174" s="453">
        <v>0</v>
      </c>
      <c r="AN174" s="453">
        <v>0</v>
      </c>
      <c r="AO174" s="453">
        <v>0</v>
      </c>
      <c r="AP174" s="453">
        <v>0</v>
      </c>
      <c r="AQ174" s="453">
        <v>0</v>
      </c>
      <c r="AR174" s="453">
        <v>0</v>
      </c>
      <c r="AS174" s="453">
        <v>0</v>
      </c>
      <c r="AT174" s="453">
        <v>0</v>
      </c>
      <c r="AU174" s="453">
        <v>0</v>
      </c>
      <c r="AV174" s="453">
        <v>0</v>
      </c>
      <c r="AW174" s="453">
        <v>0</v>
      </c>
      <c r="AX174" s="453">
        <v>0</v>
      </c>
      <c r="AY174" s="453">
        <v>0</v>
      </c>
      <c r="AZ174" s="453">
        <v>0</v>
      </c>
      <c r="BA174" s="453">
        <v>0</v>
      </c>
      <c r="BB174" s="453">
        <v>0</v>
      </c>
      <c r="BC174" s="453">
        <v>0</v>
      </c>
      <c r="BD174" s="453">
        <v>0</v>
      </c>
      <c r="BE174" s="105">
        <v>0</v>
      </c>
      <c r="BF174" s="453">
        <v>0</v>
      </c>
      <c r="BG174" s="453">
        <v>0</v>
      </c>
      <c r="BH174" s="105">
        <v>0</v>
      </c>
      <c r="BI174" s="453">
        <v>0</v>
      </c>
      <c r="BJ174" s="453">
        <v>0</v>
      </c>
      <c r="BK174" s="105">
        <v>0</v>
      </c>
      <c r="BL174" s="453">
        <v>0</v>
      </c>
      <c r="BM174" s="453">
        <v>0</v>
      </c>
      <c r="BN174" s="453">
        <v>0</v>
      </c>
      <c r="BO174" s="453">
        <v>0</v>
      </c>
      <c r="BP174" s="453">
        <v>0</v>
      </c>
      <c r="BQ174" s="453">
        <v>0</v>
      </c>
      <c r="BR174" s="14">
        <v>0</v>
      </c>
      <c r="BS174" s="14">
        <v>0</v>
      </c>
      <c r="BT174" s="377" t="str">
        <v/>
      </c>
      <c r="BU174" s="105" t="str">
        <v/>
      </c>
      <c r="BV174" s="453" t="str">
        <v/>
      </c>
      <c r="BW174" s="105" t="str">
        <f ca="1"/>
        <v/>
      </c>
    </row>
    <row r="175" spans="1:75" x14ac:dyDescent="0.3">
      <c r="A175" s="1">
        <v>0</v>
      </c>
      <c r="B175" s="106">
        <v>0</v>
      </c>
      <c r="C175" s="14">
        <v>0</v>
      </c>
      <c r="D175" s="14">
        <v>0</v>
      </c>
      <c r="E175" s="14">
        <v>0</v>
      </c>
      <c r="F175" s="453">
        <v>0</v>
      </c>
      <c r="G175" s="377">
        <v>0</v>
      </c>
      <c r="H175" s="453">
        <v>0</v>
      </c>
      <c r="I175" s="453">
        <v>0</v>
      </c>
      <c r="J175" s="453">
        <v>0</v>
      </c>
      <c r="K175" s="453">
        <v>0</v>
      </c>
      <c r="L175" s="453">
        <v>0</v>
      </c>
      <c r="M175" s="453">
        <v>0</v>
      </c>
      <c r="N175" s="453">
        <v>0</v>
      </c>
      <c r="O175" s="453">
        <v>0</v>
      </c>
      <c r="P175" s="14">
        <v>0</v>
      </c>
      <c r="Q175" s="14">
        <v>0</v>
      </c>
      <c r="R175" s="453">
        <v>0</v>
      </c>
      <c r="S175" s="453">
        <v>0</v>
      </c>
      <c r="T175" s="453">
        <v>0</v>
      </c>
      <c r="U175" s="453">
        <v>0</v>
      </c>
      <c r="V175" s="453">
        <v>0</v>
      </c>
      <c r="W175" s="453">
        <v>0</v>
      </c>
      <c r="X175" s="453">
        <v>0</v>
      </c>
      <c r="Y175" s="453">
        <v>0</v>
      </c>
      <c r="Z175" s="453">
        <v>0</v>
      </c>
      <c r="AA175" s="14">
        <v>0</v>
      </c>
      <c r="AB175" s="14">
        <v>0</v>
      </c>
      <c r="AC175" s="453">
        <v>0</v>
      </c>
      <c r="AD175" s="14">
        <v>0</v>
      </c>
      <c r="AE175" s="14">
        <v>0</v>
      </c>
      <c r="AF175" s="14">
        <v>0</v>
      </c>
      <c r="AG175" s="14">
        <v>0</v>
      </c>
      <c r="AH175" s="14">
        <v>0</v>
      </c>
      <c r="AI175" s="14">
        <v>0</v>
      </c>
      <c r="AJ175" s="14">
        <v>0</v>
      </c>
      <c r="AK175" s="14">
        <v>0</v>
      </c>
      <c r="AL175" s="14">
        <v>0</v>
      </c>
      <c r="AM175" s="453">
        <v>0</v>
      </c>
      <c r="AN175" s="453">
        <v>0</v>
      </c>
      <c r="AO175" s="453">
        <v>0</v>
      </c>
      <c r="AP175" s="453">
        <v>0</v>
      </c>
      <c r="AQ175" s="453">
        <v>0</v>
      </c>
      <c r="AR175" s="453">
        <v>0</v>
      </c>
      <c r="AS175" s="453">
        <v>0</v>
      </c>
      <c r="AT175" s="453">
        <v>0</v>
      </c>
      <c r="AU175" s="453">
        <v>0</v>
      </c>
      <c r="AV175" s="453">
        <v>0</v>
      </c>
      <c r="AW175" s="453">
        <v>0</v>
      </c>
      <c r="AX175" s="453">
        <v>0</v>
      </c>
      <c r="AY175" s="453">
        <v>0</v>
      </c>
      <c r="AZ175" s="453">
        <v>0</v>
      </c>
      <c r="BA175" s="453">
        <v>0</v>
      </c>
      <c r="BB175" s="453">
        <v>0</v>
      </c>
      <c r="BC175" s="453">
        <v>0</v>
      </c>
      <c r="BD175" s="453">
        <v>0</v>
      </c>
      <c r="BE175" s="105">
        <v>0</v>
      </c>
      <c r="BF175" s="453">
        <v>0</v>
      </c>
      <c r="BG175" s="453">
        <v>0</v>
      </c>
      <c r="BH175" s="105">
        <v>0</v>
      </c>
      <c r="BI175" s="453">
        <v>0</v>
      </c>
      <c r="BJ175" s="453">
        <v>0</v>
      </c>
      <c r="BK175" s="105">
        <v>0</v>
      </c>
      <c r="BL175" s="453">
        <v>0</v>
      </c>
      <c r="BM175" s="453">
        <v>0</v>
      </c>
      <c r="BN175" s="453">
        <v>0</v>
      </c>
      <c r="BO175" s="453">
        <v>0</v>
      </c>
      <c r="BP175" s="453">
        <v>0</v>
      </c>
      <c r="BQ175" s="453">
        <v>0</v>
      </c>
      <c r="BR175" s="14">
        <v>0</v>
      </c>
      <c r="BS175" s="14">
        <v>0</v>
      </c>
      <c r="BT175" s="377" t="str">
        <v/>
      </c>
      <c r="BU175" s="105" t="str">
        <v/>
      </c>
      <c r="BV175" s="453" t="str">
        <v/>
      </c>
      <c r="BW175" s="105" t="str">
        <f ca="1"/>
        <v/>
      </c>
    </row>
    <row r="176" spans="1:75" x14ac:dyDescent="0.3">
      <c r="A176" s="1">
        <v>0</v>
      </c>
      <c r="B176" s="106">
        <v>0</v>
      </c>
      <c r="C176" s="14">
        <v>0</v>
      </c>
      <c r="D176" s="14">
        <v>0</v>
      </c>
      <c r="E176" s="14">
        <v>0</v>
      </c>
      <c r="F176" s="453">
        <v>0</v>
      </c>
      <c r="G176" s="377">
        <v>0</v>
      </c>
      <c r="H176" s="453">
        <v>0</v>
      </c>
      <c r="I176" s="453">
        <v>0</v>
      </c>
      <c r="J176" s="453">
        <v>0</v>
      </c>
      <c r="K176" s="453">
        <v>0</v>
      </c>
      <c r="L176" s="453">
        <v>0</v>
      </c>
      <c r="M176" s="453">
        <v>0</v>
      </c>
      <c r="N176" s="453">
        <v>0</v>
      </c>
      <c r="O176" s="453">
        <v>0</v>
      </c>
      <c r="P176" s="14">
        <v>0</v>
      </c>
      <c r="Q176" s="14">
        <v>0</v>
      </c>
      <c r="R176" s="453">
        <v>0</v>
      </c>
      <c r="S176" s="453">
        <v>0</v>
      </c>
      <c r="T176" s="453">
        <v>0</v>
      </c>
      <c r="U176" s="453">
        <v>0</v>
      </c>
      <c r="V176" s="453">
        <v>0</v>
      </c>
      <c r="W176" s="453">
        <v>0</v>
      </c>
      <c r="X176" s="453">
        <v>0</v>
      </c>
      <c r="Y176" s="453">
        <v>0</v>
      </c>
      <c r="Z176" s="453">
        <v>0</v>
      </c>
      <c r="AA176" s="14">
        <v>0</v>
      </c>
      <c r="AB176" s="14">
        <v>0</v>
      </c>
      <c r="AC176" s="453">
        <v>0</v>
      </c>
      <c r="AD176" s="14">
        <v>0</v>
      </c>
      <c r="AE176" s="14">
        <v>0</v>
      </c>
      <c r="AF176" s="14">
        <v>0</v>
      </c>
      <c r="AG176" s="14">
        <v>0</v>
      </c>
      <c r="AH176" s="14">
        <v>0</v>
      </c>
      <c r="AI176" s="14">
        <v>0</v>
      </c>
      <c r="AJ176" s="14">
        <v>0</v>
      </c>
      <c r="AK176" s="14">
        <v>0</v>
      </c>
      <c r="AL176" s="14">
        <v>0</v>
      </c>
      <c r="AM176" s="453">
        <v>0</v>
      </c>
      <c r="AN176" s="453">
        <v>0</v>
      </c>
      <c r="AO176" s="453">
        <v>0</v>
      </c>
      <c r="AP176" s="453">
        <v>0</v>
      </c>
      <c r="AQ176" s="453">
        <v>0</v>
      </c>
      <c r="AR176" s="453">
        <v>0</v>
      </c>
      <c r="AS176" s="453">
        <v>0</v>
      </c>
      <c r="AT176" s="453">
        <v>0</v>
      </c>
      <c r="AU176" s="453">
        <v>0</v>
      </c>
      <c r="AV176" s="453">
        <v>0</v>
      </c>
      <c r="AW176" s="453">
        <v>0</v>
      </c>
      <c r="AX176" s="453">
        <v>0</v>
      </c>
      <c r="AY176" s="453">
        <v>0</v>
      </c>
      <c r="AZ176" s="453">
        <v>0</v>
      </c>
      <c r="BA176" s="453">
        <v>0</v>
      </c>
      <c r="BB176" s="453">
        <v>0</v>
      </c>
      <c r="BC176" s="453">
        <v>0</v>
      </c>
      <c r="BD176" s="453">
        <v>0</v>
      </c>
      <c r="BE176" s="105">
        <v>0</v>
      </c>
      <c r="BF176" s="453">
        <v>0</v>
      </c>
      <c r="BG176" s="453">
        <v>0</v>
      </c>
      <c r="BH176" s="105">
        <v>0</v>
      </c>
      <c r="BI176" s="453">
        <v>0</v>
      </c>
      <c r="BJ176" s="453">
        <v>0</v>
      </c>
      <c r="BK176" s="105">
        <v>0</v>
      </c>
      <c r="BL176" s="453">
        <v>0</v>
      </c>
      <c r="BM176" s="453">
        <v>0</v>
      </c>
      <c r="BN176" s="453">
        <v>0</v>
      </c>
      <c r="BO176" s="453">
        <v>0</v>
      </c>
      <c r="BP176" s="453">
        <v>0</v>
      </c>
      <c r="BQ176" s="453">
        <v>0</v>
      </c>
      <c r="BR176" s="14">
        <v>0</v>
      </c>
      <c r="BS176" s="14">
        <v>0</v>
      </c>
      <c r="BT176" s="377" t="str">
        <v/>
      </c>
      <c r="BU176" s="105" t="str">
        <v/>
      </c>
      <c r="BV176" s="453" t="str">
        <v/>
      </c>
      <c r="BW176" s="105" t="str">
        <f ca="1"/>
        <v/>
      </c>
    </row>
    <row r="177" spans="1:75" x14ac:dyDescent="0.3">
      <c r="A177" s="1">
        <v>0</v>
      </c>
      <c r="B177" s="106">
        <v>0</v>
      </c>
      <c r="C177" s="14">
        <v>0</v>
      </c>
      <c r="D177" s="14">
        <v>0</v>
      </c>
      <c r="E177" s="14">
        <v>0</v>
      </c>
      <c r="F177" s="453">
        <v>0</v>
      </c>
      <c r="G177" s="377">
        <v>0</v>
      </c>
      <c r="H177" s="453">
        <v>0</v>
      </c>
      <c r="I177" s="453">
        <v>0</v>
      </c>
      <c r="J177" s="453">
        <v>0</v>
      </c>
      <c r="K177" s="453">
        <v>0</v>
      </c>
      <c r="L177" s="453">
        <v>0</v>
      </c>
      <c r="M177" s="453">
        <v>0</v>
      </c>
      <c r="N177" s="453">
        <v>0</v>
      </c>
      <c r="O177" s="453">
        <v>0</v>
      </c>
      <c r="P177" s="14">
        <v>0</v>
      </c>
      <c r="Q177" s="14">
        <v>0</v>
      </c>
      <c r="R177" s="453">
        <v>0</v>
      </c>
      <c r="S177" s="453">
        <v>0</v>
      </c>
      <c r="T177" s="453">
        <v>0</v>
      </c>
      <c r="U177" s="453">
        <v>0</v>
      </c>
      <c r="V177" s="453">
        <v>0</v>
      </c>
      <c r="W177" s="453">
        <v>0</v>
      </c>
      <c r="X177" s="453">
        <v>0</v>
      </c>
      <c r="Y177" s="453">
        <v>0</v>
      </c>
      <c r="Z177" s="453">
        <v>0</v>
      </c>
      <c r="AA177" s="14">
        <v>0</v>
      </c>
      <c r="AB177" s="14">
        <v>0</v>
      </c>
      <c r="AC177" s="453">
        <v>0</v>
      </c>
      <c r="AD177" s="14">
        <v>0</v>
      </c>
      <c r="AE177" s="14">
        <v>0</v>
      </c>
      <c r="AF177" s="14">
        <v>0</v>
      </c>
      <c r="AG177" s="14">
        <v>0</v>
      </c>
      <c r="AH177" s="14">
        <v>0</v>
      </c>
      <c r="AI177" s="14">
        <v>0</v>
      </c>
      <c r="AJ177" s="14">
        <v>0</v>
      </c>
      <c r="AK177" s="14">
        <v>0</v>
      </c>
      <c r="AL177" s="14">
        <v>0</v>
      </c>
      <c r="AM177" s="453">
        <v>0</v>
      </c>
      <c r="AN177" s="453">
        <v>0</v>
      </c>
      <c r="AO177" s="453">
        <v>0</v>
      </c>
      <c r="AP177" s="453">
        <v>0</v>
      </c>
      <c r="AQ177" s="453">
        <v>0</v>
      </c>
      <c r="AR177" s="453">
        <v>0</v>
      </c>
      <c r="AS177" s="453">
        <v>0</v>
      </c>
      <c r="AT177" s="453">
        <v>0</v>
      </c>
      <c r="AU177" s="453">
        <v>0</v>
      </c>
      <c r="AV177" s="453">
        <v>0</v>
      </c>
      <c r="AW177" s="453">
        <v>0</v>
      </c>
      <c r="AX177" s="453">
        <v>0</v>
      </c>
      <c r="AY177" s="453">
        <v>0</v>
      </c>
      <c r="AZ177" s="453">
        <v>0</v>
      </c>
      <c r="BA177" s="453">
        <v>0</v>
      </c>
      <c r="BB177" s="453">
        <v>0</v>
      </c>
      <c r="BC177" s="453">
        <v>0</v>
      </c>
      <c r="BD177" s="453">
        <v>0</v>
      </c>
      <c r="BE177" s="105">
        <v>0</v>
      </c>
      <c r="BF177" s="453">
        <v>0</v>
      </c>
      <c r="BG177" s="453">
        <v>0</v>
      </c>
      <c r="BH177" s="105">
        <v>0</v>
      </c>
      <c r="BI177" s="453">
        <v>0</v>
      </c>
      <c r="BJ177" s="453">
        <v>0</v>
      </c>
      <c r="BK177" s="105">
        <v>0</v>
      </c>
      <c r="BL177" s="453">
        <v>0</v>
      </c>
      <c r="BM177" s="453">
        <v>0</v>
      </c>
      <c r="BN177" s="453">
        <v>0</v>
      </c>
      <c r="BO177" s="453">
        <v>0</v>
      </c>
      <c r="BP177" s="453">
        <v>0</v>
      </c>
      <c r="BQ177" s="453">
        <v>0</v>
      </c>
      <c r="BR177" s="14">
        <v>0</v>
      </c>
      <c r="BS177" s="14">
        <v>0</v>
      </c>
      <c r="BT177" s="377" t="str">
        <v/>
      </c>
      <c r="BU177" s="105" t="str">
        <v/>
      </c>
      <c r="BV177" s="453" t="str">
        <v/>
      </c>
      <c r="BW177" s="105" t="str">
        <f ca="1"/>
        <v/>
      </c>
    </row>
    <row r="178" spans="1:75" x14ac:dyDescent="0.3">
      <c r="A178" s="1">
        <v>0</v>
      </c>
      <c r="B178" s="106">
        <v>0</v>
      </c>
      <c r="C178" s="14">
        <v>0</v>
      </c>
      <c r="D178" s="14">
        <v>0</v>
      </c>
      <c r="E178" s="14">
        <v>0</v>
      </c>
      <c r="F178" s="453">
        <v>0</v>
      </c>
      <c r="G178" s="377">
        <v>0</v>
      </c>
      <c r="H178" s="453">
        <v>0</v>
      </c>
      <c r="I178" s="453">
        <v>0</v>
      </c>
      <c r="J178" s="453">
        <v>0</v>
      </c>
      <c r="K178" s="453">
        <v>0</v>
      </c>
      <c r="L178" s="453">
        <v>0</v>
      </c>
      <c r="M178" s="453">
        <v>0</v>
      </c>
      <c r="N178" s="453">
        <v>0</v>
      </c>
      <c r="O178" s="453">
        <v>0</v>
      </c>
      <c r="P178" s="14">
        <v>0</v>
      </c>
      <c r="Q178" s="14">
        <v>0</v>
      </c>
      <c r="R178" s="453">
        <v>0</v>
      </c>
      <c r="S178" s="453">
        <v>0</v>
      </c>
      <c r="T178" s="453">
        <v>0</v>
      </c>
      <c r="U178" s="453">
        <v>0</v>
      </c>
      <c r="V178" s="453">
        <v>0</v>
      </c>
      <c r="W178" s="453">
        <v>0</v>
      </c>
      <c r="X178" s="453">
        <v>0</v>
      </c>
      <c r="Y178" s="453">
        <v>0</v>
      </c>
      <c r="Z178" s="453">
        <v>0</v>
      </c>
      <c r="AA178" s="14">
        <v>0</v>
      </c>
      <c r="AB178" s="14">
        <v>0</v>
      </c>
      <c r="AC178" s="453">
        <v>0</v>
      </c>
      <c r="AD178" s="14">
        <v>0</v>
      </c>
      <c r="AE178" s="14">
        <v>0</v>
      </c>
      <c r="AF178" s="14">
        <v>0</v>
      </c>
      <c r="AG178" s="14">
        <v>0</v>
      </c>
      <c r="AH178" s="14">
        <v>0</v>
      </c>
      <c r="AI178" s="14">
        <v>0</v>
      </c>
      <c r="AJ178" s="14">
        <v>0</v>
      </c>
      <c r="AK178" s="14">
        <v>0</v>
      </c>
      <c r="AL178" s="14">
        <v>0</v>
      </c>
      <c r="AM178" s="453">
        <v>0</v>
      </c>
      <c r="AN178" s="453">
        <v>0</v>
      </c>
      <c r="AO178" s="453">
        <v>0</v>
      </c>
      <c r="AP178" s="453">
        <v>0</v>
      </c>
      <c r="AQ178" s="453">
        <v>0</v>
      </c>
      <c r="AR178" s="453">
        <v>0</v>
      </c>
      <c r="AS178" s="453">
        <v>0</v>
      </c>
      <c r="AT178" s="453">
        <v>0</v>
      </c>
      <c r="AU178" s="453">
        <v>0</v>
      </c>
      <c r="AV178" s="453">
        <v>0</v>
      </c>
      <c r="AW178" s="453">
        <v>0</v>
      </c>
      <c r="AX178" s="453">
        <v>0</v>
      </c>
      <c r="AY178" s="453">
        <v>0</v>
      </c>
      <c r="AZ178" s="453">
        <v>0</v>
      </c>
      <c r="BA178" s="453">
        <v>0</v>
      </c>
      <c r="BB178" s="453">
        <v>0</v>
      </c>
      <c r="BC178" s="453">
        <v>0</v>
      </c>
      <c r="BD178" s="453">
        <v>0</v>
      </c>
      <c r="BE178" s="105">
        <v>0</v>
      </c>
      <c r="BF178" s="453">
        <v>0</v>
      </c>
      <c r="BG178" s="453">
        <v>0</v>
      </c>
      <c r="BH178" s="105">
        <v>0</v>
      </c>
      <c r="BI178" s="453">
        <v>0</v>
      </c>
      <c r="BJ178" s="453">
        <v>0</v>
      </c>
      <c r="BK178" s="105">
        <v>0</v>
      </c>
      <c r="BL178" s="453">
        <v>0</v>
      </c>
      <c r="BM178" s="453">
        <v>0</v>
      </c>
      <c r="BN178" s="453">
        <v>0</v>
      </c>
      <c r="BO178" s="453">
        <v>0</v>
      </c>
      <c r="BP178" s="453">
        <v>0</v>
      </c>
      <c r="BQ178" s="453">
        <v>0</v>
      </c>
      <c r="BR178" s="14">
        <v>0</v>
      </c>
      <c r="BS178" s="14">
        <v>0</v>
      </c>
      <c r="BT178" s="377" t="str">
        <v/>
      </c>
      <c r="BU178" s="105" t="str">
        <v/>
      </c>
      <c r="BV178" s="453" t="str">
        <v/>
      </c>
      <c r="BW178" s="105" t="str">
        <f ca="1"/>
        <v/>
      </c>
    </row>
    <row r="179" spans="1:75" x14ac:dyDescent="0.3">
      <c r="A179" s="1">
        <v>0</v>
      </c>
      <c r="B179" s="106">
        <v>0</v>
      </c>
      <c r="C179" s="14">
        <v>0</v>
      </c>
      <c r="D179" s="14">
        <v>0</v>
      </c>
      <c r="E179" s="14">
        <v>0</v>
      </c>
      <c r="F179" s="453">
        <v>0</v>
      </c>
      <c r="G179" s="377">
        <v>0</v>
      </c>
      <c r="H179" s="453">
        <v>0</v>
      </c>
      <c r="I179" s="453">
        <v>0</v>
      </c>
      <c r="J179" s="453">
        <v>0</v>
      </c>
      <c r="K179" s="453">
        <v>0</v>
      </c>
      <c r="L179" s="453">
        <v>0</v>
      </c>
      <c r="M179" s="453">
        <v>0</v>
      </c>
      <c r="N179" s="453">
        <v>0</v>
      </c>
      <c r="O179" s="453">
        <v>0</v>
      </c>
      <c r="P179" s="14">
        <v>0</v>
      </c>
      <c r="Q179" s="14">
        <v>0</v>
      </c>
      <c r="R179" s="453">
        <v>0</v>
      </c>
      <c r="S179" s="453">
        <v>0</v>
      </c>
      <c r="T179" s="453">
        <v>0</v>
      </c>
      <c r="U179" s="453">
        <v>0</v>
      </c>
      <c r="V179" s="453">
        <v>0</v>
      </c>
      <c r="W179" s="453">
        <v>0</v>
      </c>
      <c r="X179" s="453">
        <v>0</v>
      </c>
      <c r="Y179" s="453">
        <v>0</v>
      </c>
      <c r="Z179" s="453">
        <v>0</v>
      </c>
      <c r="AA179" s="14">
        <v>0</v>
      </c>
      <c r="AB179" s="14">
        <v>0</v>
      </c>
      <c r="AC179" s="453">
        <v>0</v>
      </c>
      <c r="AD179" s="14">
        <v>0</v>
      </c>
      <c r="AE179" s="14">
        <v>0</v>
      </c>
      <c r="AF179" s="14">
        <v>0</v>
      </c>
      <c r="AG179" s="14">
        <v>0</v>
      </c>
      <c r="AH179" s="14">
        <v>0</v>
      </c>
      <c r="AI179" s="14">
        <v>0</v>
      </c>
      <c r="AJ179" s="14">
        <v>0</v>
      </c>
      <c r="AK179" s="14">
        <v>0</v>
      </c>
      <c r="AL179" s="14">
        <v>0</v>
      </c>
      <c r="AM179" s="453">
        <v>0</v>
      </c>
      <c r="AN179" s="453">
        <v>0</v>
      </c>
      <c r="AO179" s="453">
        <v>0</v>
      </c>
      <c r="AP179" s="453">
        <v>0</v>
      </c>
      <c r="AQ179" s="453">
        <v>0</v>
      </c>
      <c r="AR179" s="453">
        <v>0</v>
      </c>
      <c r="AS179" s="453">
        <v>0</v>
      </c>
      <c r="AT179" s="453">
        <v>0</v>
      </c>
      <c r="AU179" s="453">
        <v>0</v>
      </c>
      <c r="AV179" s="453">
        <v>0</v>
      </c>
      <c r="AW179" s="453">
        <v>0</v>
      </c>
      <c r="AX179" s="453">
        <v>0</v>
      </c>
      <c r="AY179" s="453">
        <v>0</v>
      </c>
      <c r="AZ179" s="453">
        <v>0</v>
      </c>
      <c r="BA179" s="453">
        <v>0</v>
      </c>
      <c r="BB179" s="453">
        <v>0</v>
      </c>
      <c r="BC179" s="453">
        <v>0</v>
      </c>
      <c r="BD179" s="453">
        <v>0</v>
      </c>
      <c r="BE179" s="105">
        <v>0</v>
      </c>
      <c r="BF179" s="453">
        <v>0</v>
      </c>
      <c r="BG179" s="453">
        <v>0</v>
      </c>
      <c r="BH179" s="105">
        <v>0</v>
      </c>
      <c r="BI179" s="453">
        <v>0</v>
      </c>
      <c r="BJ179" s="453">
        <v>0</v>
      </c>
      <c r="BK179" s="105">
        <v>0</v>
      </c>
      <c r="BL179" s="453">
        <v>0</v>
      </c>
      <c r="BM179" s="453">
        <v>0</v>
      </c>
      <c r="BN179" s="453">
        <v>0</v>
      </c>
      <c r="BO179" s="453">
        <v>0</v>
      </c>
      <c r="BP179" s="453">
        <v>0</v>
      </c>
      <c r="BQ179" s="453">
        <v>0</v>
      </c>
      <c r="BR179" s="14">
        <v>0</v>
      </c>
      <c r="BS179" s="14">
        <v>0</v>
      </c>
      <c r="BT179" s="377" t="str">
        <v/>
      </c>
      <c r="BU179" s="105" t="str">
        <v/>
      </c>
      <c r="BV179" s="453" t="str">
        <v/>
      </c>
      <c r="BW179" s="105" t="str">
        <f ca="1"/>
        <v/>
      </c>
    </row>
    <row r="180" spans="1:75" x14ac:dyDescent="0.3">
      <c r="A180" s="1">
        <v>0</v>
      </c>
      <c r="B180" s="106">
        <v>0</v>
      </c>
      <c r="C180" s="14">
        <v>0</v>
      </c>
      <c r="D180" s="14">
        <v>0</v>
      </c>
      <c r="E180" s="14">
        <v>0</v>
      </c>
      <c r="F180" s="453">
        <v>0</v>
      </c>
      <c r="G180" s="377">
        <v>0</v>
      </c>
      <c r="H180" s="453">
        <v>0</v>
      </c>
      <c r="I180" s="453">
        <v>0</v>
      </c>
      <c r="J180" s="453">
        <v>0</v>
      </c>
      <c r="K180" s="453">
        <v>0</v>
      </c>
      <c r="L180" s="453">
        <v>0</v>
      </c>
      <c r="M180" s="453">
        <v>0</v>
      </c>
      <c r="N180" s="453">
        <v>0</v>
      </c>
      <c r="O180" s="453">
        <v>0</v>
      </c>
      <c r="P180" s="14">
        <v>0</v>
      </c>
      <c r="Q180" s="14">
        <v>0</v>
      </c>
      <c r="R180" s="453">
        <v>0</v>
      </c>
      <c r="S180" s="453">
        <v>0</v>
      </c>
      <c r="T180" s="453">
        <v>0</v>
      </c>
      <c r="U180" s="453">
        <v>0</v>
      </c>
      <c r="V180" s="453">
        <v>0</v>
      </c>
      <c r="W180" s="453">
        <v>0</v>
      </c>
      <c r="X180" s="453">
        <v>0</v>
      </c>
      <c r="Y180" s="453">
        <v>0</v>
      </c>
      <c r="Z180" s="453">
        <v>0</v>
      </c>
      <c r="AA180" s="14">
        <v>0</v>
      </c>
      <c r="AB180" s="14">
        <v>0</v>
      </c>
      <c r="AC180" s="453">
        <v>0</v>
      </c>
      <c r="AD180" s="14">
        <v>0</v>
      </c>
      <c r="AE180" s="14">
        <v>0</v>
      </c>
      <c r="AF180" s="14">
        <v>0</v>
      </c>
      <c r="AG180" s="14">
        <v>0</v>
      </c>
      <c r="AH180" s="14">
        <v>0</v>
      </c>
      <c r="AI180" s="14">
        <v>0</v>
      </c>
      <c r="AJ180" s="14">
        <v>0</v>
      </c>
      <c r="AK180" s="14">
        <v>0</v>
      </c>
      <c r="AL180" s="14">
        <v>0</v>
      </c>
      <c r="AM180" s="453">
        <v>0</v>
      </c>
      <c r="AN180" s="453">
        <v>0</v>
      </c>
      <c r="AO180" s="453">
        <v>0</v>
      </c>
      <c r="AP180" s="453">
        <v>0</v>
      </c>
      <c r="AQ180" s="453">
        <v>0</v>
      </c>
      <c r="AR180" s="453">
        <v>0</v>
      </c>
      <c r="AS180" s="453">
        <v>0</v>
      </c>
      <c r="AT180" s="453">
        <v>0</v>
      </c>
      <c r="AU180" s="453">
        <v>0</v>
      </c>
      <c r="AV180" s="453">
        <v>0</v>
      </c>
      <c r="AW180" s="453">
        <v>0</v>
      </c>
      <c r="AX180" s="453">
        <v>0</v>
      </c>
      <c r="AY180" s="453">
        <v>0</v>
      </c>
      <c r="AZ180" s="453">
        <v>0</v>
      </c>
      <c r="BA180" s="453">
        <v>0</v>
      </c>
      <c r="BB180" s="453">
        <v>0</v>
      </c>
      <c r="BC180" s="453">
        <v>0</v>
      </c>
      <c r="BD180" s="453">
        <v>0</v>
      </c>
      <c r="BE180" s="105">
        <v>0</v>
      </c>
      <c r="BF180" s="453">
        <v>0</v>
      </c>
      <c r="BG180" s="453">
        <v>0</v>
      </c>
      <c r="BH180" s="105">
        <v>0</v>
      </c>
      <c r="BI180" s="453">
        <v>0</v>
      </c>
      <c r="BJ180" s="453">
        <v>0</v>
      </c>
      <c r="BK180" s="105">
        <v>0</v>
      </c>
      <c r="BL180" s="453">
        <v>0</v>
      </c>
      <c r="BM180" s="453">
        <v>0</v>
      </c>
      <c r="BN180" s="453">
        <v>0</v>
      </c>
      <c r="BO180" s="453">
        <v>0</v>
      </c>
      <c r="BP180" s="453">
        <v>0</v>
      </c>
      <c r="BQ180" s="453">
        <v>0</v>
      </c>
      <c r="BR180" s="14">
        <v>0</v>
      </c>
      <c r="BS180" s="14">
        <v>0</v>
      </c>
      <c r="BT180" s="377" t="str">
        <v/>
      </c>
      <c r="BU180" s="105" t="str">
        <v/>
      </c>
      <c r="BV180" s="453" t="str">
        <v/>
      </c>
      <c r="BW180" s="105" t="str">
        <f ca="1"/>
        <v/>
      </c>
    </row>
    <row r="181" spans="1:75" x14ac:dyDescent="0.3">
      <c r="A181" s="1">
        <v>0</v>
      </c>
      <c r="B181" s="106">
        <v>0</v>
      </c>
      <c r="C181" s="14">
        <v>0</v>
      </c>
      <c r="D181" s="14">
        <v>0</v>
      </c>
      <c r="E181" s="14">
        <v>0</v>
      </c>
      <c r="F181" s="453">
        <v>0</v>
      </c>
      <c r="G181" s="377">
        <v>0</v>
      </c>
      <c r="H181" s="453">
        <v>0</v>
      </c>
      <c r="I181" s="453">
        <v>0</v>
      </c>
      <c r="J181" s="453">
        <v>0</v>
      </c>
      <c r="K181" s="453">
        <v>0</v>
      </c>
      <c r="L181" s="453">
        <v>0</v>
      </c>
      <c r="M181" s="453">
        <v>0</v>
      </c>
      <c r="N181" s="453">
        <v>0</v>
      </c>
      <c r="O181" s="453">
        <v>0</v>
      </c>
      <c r="P181" s="14">
        <v>0</v>
      </c>
      <c r="Q181" s="14">
        <v>0</v>
      </c>
      <c r="R181" s="453">
        <v>0</v>
      </c>
      <c r="S181" s="453">
        <v>0</v>
      </c>
      <c r="T181" s="453">
        <v>0</v>
      </c>
      <c r="U181" s="453">
        <v>0</v>
      </c>
      <c r="V181" s="453">
        <v>0</v>
      </c>
      <c r="W181" s="453">
        <v>0</v>
      </c>
      <c r="X181" s="453">
        <v>0</v>
      </c>
      <c r="Y181" s="453">
        <v>0</v>
      </c>
      <c r="Z181" s="453">
        <v>0</v>
      </c>
      <c r="AA181" s="14">
        <v>0</v>
      </c>
      <c r="AB181" s="14">
        <v>0</v>
      </c>
      <c r="AC181" s="453">
        <v>0</v>
      </c>
      <c r="AD181" s="14">
        <v>0</v>
      </c>
      <c r="AE181" s="14">
        <v>0</v>
      </c>
      <c r="AF181" s="14">
        <v>0</v>
      </c>
      <c r="AG181" s="14">
        <v>0</v>
      </c>
      <c r="AH181" s="14">
        <v>0</v>
      </c>
      <c r="AI181" s="14">
        <v>0</v>
      </c>
      <c r="AJ181" s="14">
        <v>0</v>
      </c>
      <c r="AK181" s="14">
        <v>0</v>
      </c>
      <c r="AL181" s="14">
        <v>0</v>
      </c>
      <c r="AM181" s="453">
        <v>0</v>
      </c>
      <c r="AN181" s="453">
        <v>0</v>
      </c>
      <c r="AO181" s="453">
        <v>0</v>
      </c>
      <c r="AP181" s="453">
        <v>0</v>
      </c>
      <c r="AQ181" s="453">
        <v>0</v>
      </c>
      <c r="AR181" s="453">
        <v>0</v>
      </c>
      <c r="AS181" s="453">
        <v>0</v>
      </c>
      <c r="AT181" s="453">
        <v>0</v>
      </c>
      <c r="AU181" s="453">
        <v>0</v>
      </c>
      <c r="AV181" s="453">
        <v>0</v>
      </c>
      <c r="AW181" s="453">
        <v>0</v>
      </c>
      <c r="AX181" s="453">
        <v>0</v>
      </c>
      <c r="AY181" s="453">
        <v>0</v>
      </c>
      <c r="AZ181" s="453">
        <v>0</v>
      </c>
      <c r="BA181" s="453">
        <v>0</v>
      </c>
      <c r="BB181" s="453">
        <v>0</v>
      </c>
      <c r="BC181" s="453">
        <v>0</v>
      </c>
      <c r="BD181" s="453">
        <v>0</v>
      </c>
      <c r="BE181" s="105">
        <v>0</v>
      </c>
      <c r="BF181" s="453">
        <v>0</v>
      </c>
      <c r="BG181" s="453">
        <v>0</v>
      </c>
      <c r="BH181" s="105">
        <v>0</v>
      </c>
      <c r="BI181" s="453">
        <v>0</v>
      </c>
      <c r="BJ181" s="453">
        <v>0</v>
      </c>
      <c r="BK181" s="105">
        <v>0</v>
      </c>
      <c r="BL181" s="453">
        <v>0</v>
      </c>
      <c r="BM181" s="453">
        <v>0</v>
      </c>
      <c r="BN181" s="453">
        <v>0</v>
      </c>
      <c r="BO181" s="453">
        <v>0</v>
      </c>
      <c r="BP181" s="453">
        <v>0</v>
      </c>
      <c r="BQ181" s="453">
        <v>0</v>
      </c>
      <c r="BR181" s="14">
        <v>0</v>
      </c>
      <c r="BS181" s="14">
        <v>0</v>
      </c>
      <c r="BT181" s="377" t="str">
        <v/>
      </c>
      <c r="BU181" s="105" t="str">
        <v/>
      </c>
      <c r="BV181" s="453" t="str">
        <v/>
      </c>
      <c r="BW181" s="105" t="str">
        <f ca="1"/>
        <v/>
      </c>
    </row>
    <row r="182" spans="1:75" x14ac:dyDescent="0.3">
      <c r="A182" s="1">
        <v>0</v>
      </c>
      <c r="B182" s="106">
        <v>0</v>
      </c>
      <c r="C182" s="14">
        <v>0</v>
      </c>
      <c r="D182" s="14">
        <v>0</v>
      </c>
      <c r="E182" s="14">
        <v>0</v>
      </c>
      <c r="F182" s="453">
        <v>0</v>
      </c>
      <c r="G182" s="377">
        <v>0</v>
      </c>
      <c r="H182" s="453">
        <v>0</v>
      </c>
      <c r="I182" s="453">
        <v>0</v>
      </c>
      <c r="J182" s="453">
        <v>0</v>
      </c>
      <c r="K182" s="453">
        <v>0</v>
      </c>
      <c r="L182" s="453">
        <v>0</v>
      </c>
      <c r="M182" s="453">
        <v>0</v>
      </c>
      <c r="N182" s="453">
        <v>0</v>
      </c>
      <c r="O182" s="453">
        <v>0</v>
      </c>
      <c r="P182" s="14">
        <v>0</v>
      </c>
      <c r="Q182" s="14">
        <v>0</v>
      </c>
      <c r="R182" s="453">
        <v>0</v>
      </c>
      <c r="S182" s="453">
        <v>0</v>
      </c>
      <c r="T182" s="453">
        <v>0</v>
      </c>
      <c r="U182" s="453">
        <v>0</v>
      </c>
      <c r="V182" s="453">
        <v>0</v>
      </c>
      <c r="W182" s="453">
        <v>0</v>
      </c>
      <c r="X182" s="453">
        <v>0</v>
      </c>
      <c r="Y182" s="453">
        <v>0</v>
      </c>
      <c r="Z182" s="453">
        <v>0</v>
      </c>
      <c r="AA182" s="14">
        <v>0</v>
      </c>
      <c r="AB182" s="14">
        <v>0</v>
      </c>
      <c r="AC182" s="453">
        <v>0</v>
      </c>
      <c r="AD182" s="14">
        <v>0</v>
      </c>
      <c r="AE182" s="14">
        <v>0</v>
      </c>
      <c r="AF182" s="14">
        <v>0</v>
      </c>
      <c r="AG182" s="14">
        <v>0</v>
      </c>
      <c r="AH182" s="14">
        <v>0</v>
      </c>
      <c r="AI182" s="14">
        <v>0</v>
      </c>
      <c r="AJ182" s="14">
        <v>0</v>
      </c>
      <c r="AK182" s="14">
        <v>0</v>
      </c>
      <c r="AL182" s="14">
        <v>0</v>
      </c>
      <c r="AM182" s="453">
        <v>0</v>
      </c>
      <c r="AN182" s="453">
        <v>0</v>
      </c>
      <c r="AO182" s="453">
        <v>0</v>
      </c>
      <c r="AP182" s="453">
        <v>0</v>
      </c>
      <c r="AQ182" s="453">
        <v>0</v>
      </c>
      <c r="AR182" s="453">
        <v>0</v>
      </c>
      <c r="AS182" s="453">
        <v>0</v>
      </c>
      <c r="AT182" s="453">
        <v>0</v>
      </c>
      <c r="AU182" s="453">
        <v>0</v>
      </c>
      <c r="AV182" s="453">
        <v>0</v>
      </c>
      <c r="AW182" s="453">
        <v>0</v>
      </c>
      <c r="AX182" s="453">
        <v>0</v>
      </c>
      <c r="AY182" s="453">
        <v>0</v>
      </c>
      <c r="AZ182" s="453">
        <v>0</v>
      </c>
      <c r="BA182" s="453">
        <v>0</v>
      </c>
      <c r="BB182" s="453">
        <v>0</v>
      </c>
      <c r="BC182" s="453">
        <v>0</v>
      </c>
      <c r="BD182" s="453">
        <v>0</v>
      </c>
      <c r="BE182" s="105">
        <v>0</v>
      </c>
      <c r="BF182" s="453">
        <v>0</v>
      </c>
      <c r="BG182" s="453">
        <v>0</v>
      </c>
      <c r="BH182" s="105">
        <v>0</v>
      </c>
      <c r="BI182" s="453">
        <v>0</v>
      </c>
      <c r="BJ182" s="453">
        <v>0</v>
      </c>
      <c r="BK182" s="105">
        <v>0</v>
      </c>
      <c r="BL182" s="453">
        <v>0</v>
      </c>
      <c r="BM182" s="453">
        <v>0</v>
      </c>
      <c r="BN182" s="453">
        <v>0</v>
      </c>
      <c r="BO182" s="453">
        <v>0</v>
      </c>
      <c r="BP182" s="453">
        <v>0</v>
      </c>
      <c r="BQ182" s="453">
        <v>0</v>
      </c>
      <c r="BR182" s="14">
        <v>0</v>
      </c>
      <c r="BS182" s="14">
        <v>0</v>
      </c>
      <c r="BT182" s="377" t="str">
        <v/>
      </c>
      <c r="BU182" s="105" t="str">
        <v/>
      </c>
      <c r="BV182" s="453" t="str">
        <v/>
      </c>
      <c r="BW182" s="105" t="str">
        <f ca="1"/>
        <v/>
      </c>
    </row>
    <row r="183" spans="1:75" x14ac:dyDescent="0.3">
      <c r="A183" s="1">
        <v>0</v>
      </c>
      <c r="B183" s="106">
        <v>0</v>
      </c>
      <c r="C183" s="14">
        <v>0</v>
      </c>
      <c r="D183" s="14">
        <v>0</v>
      </c>
      <c r="E183" s="14">
        <v>0</v>
      </c>
      <c r="F183" s="453">
        <v>0</v>
      </c>
      <c r="G183" s="377">
        <v>0</v>
      </c>
      <c r="H183" s="453">
        <v>0</v>
      </c>
      <c r="I183" s="453">
        <v>0</v>
      </c>
      <c r="J183" s="453">
        <v>0</v>
      </c>
      <c r="K183" s="453">
        <v>0</v>
      </c>
      <c r="L183" s="453">
        <v>0</v>
      </c>
      <c r="M183" s="453">
        <v>0</v>
      </c>
      <c r="N183" s="453">
        <v>0</v>
      </c>
      <c r="O183" s="453">
        <v>0</v>
      </c>
      <c r="P183" s="14">
        <v>0</v>
      </c>
      <c r="Q183" s="14">
        <v>0</v>
      </c>
      <c r="R183" s="453">
        <v>0</v>
      </c>
      <c r="S183" s="453">
        <v>0</v>
      </c>
      <c r="T183" s="453">
        <v>0</v>
      </c>
      <c r="U183" s="453">
        <v>0</v>
      </c>
      <c r="V183" s="453">
        <v>0</v>
      </c>
      <c r="W183" s="453">
        <v>0</v>
      </c>
      <c r="X183" s="453">
        <v>0</v>
      </c>
      <c r="Y183" s="453">
        <v>0</v>
      </c>
      <c r="Z183" s="453">
        <v>0</v>
      </c>
      <c r="AA183" s="14">
        <v>0</v>
      </c>
      <c r="AB183" s="14">
        <v>0</v>
      </c>
      <c r="AC183" s="453">
        <v>0</v>
      </c>
      <c r="AD183" s="14">
        <v>0</v>
      </c>
      <c r="AE183" s="14">
        <v>0</v>
      </c>
      <c r="AF183" s="14">
        <v>0</v>
      </c>
      <c r="AG183" s="14">
        <v>0</v>
      </c>
      <c r="AH183" s="14">
        <v>0</v>
      </c>
      <c r="AI183" s="14">
        <v>0</v>
      </c>
      <c r="AJ183" s="14">
        <v>0</v>
      </c>
      <c r="AK183" s="14">
        <v>0</v>
      </c>
      <c r="AL183" s="14">
        <v>0</v>
      </c>
      <c r="AM183" s="453">
        <v>0</v>
      </c>
      <c r="AN183" s="453">
        <v>0</v>
      </c>
      <c r="AO183" s="453">
        <v>0</v>
      </c>
      <c r="AP183" s="453">
        <v>0</v>
      </c>
      <c r="AQ183" s="453">
        <v>0</v>
      </c>
      <c r="AR183" s="453">
        <v>0</v>
      </c>
      <c r="AS183" s="453">
        <v>0</v>
      </c>
      <c r="AT183" s="453">
        <v>0</v>
      </c>
      <c r="AU183" s="453">
        <v>0</v>
      </c>
      <c r="AV183" s="453">
        <v>0</v>
      </c>
      <c r="AW183" s="453">
        <v>0</v>
      </c>
      <c r="AX183" s="453">
        <v>0</v>
      </c>
      <c r="AY183" s="453">
        <v>0</v>
      </c>
      <c r="AZ183" s="453">
        <v>0</v>
      </c>
      <c r="BA183" s="453">
        <v>0</v>
      </c>
      <c r="BB183" s="453">
        <v>0</v>
      </c>
      <c r="BC183" s="453">
        <v>0</v>
      </c>
      <c r="BD183" s="453">
        <v>0</v>
      </c>
      <c r="BE183" s="105">
        <v>0</v>
      </c>
      <c r="BF183" s="453">
        <v>0</v>
      </c>
      <c r="BG183" s="453">
        <v>0</v>
      </c>
      <c r="BH183" s="105">
        <v>0</v>
      </c>
      <c r="BI183" s="453">
        <v>0</v>
      </c>
      <c r="BJ183" s="453">
        <v>0</v>
      </c>
      <c r="BK183" s="105">
        <v>0</v>
      </c>
      <c r="BL183" s="453">
        <v>0</v>
      </c>
      <c r="BM183" s="453">
        <v>0</v>
      </c>
      <c r="BN183" s="453">
        <v>0</v>
      </c>
      <c r="BO183" s="453">
        <v>0</v>
      </c>
      <c r="BP183" s="453">
        <v>0</v>
      </c>
      <c r="BQ183" s="453">
        <v>0</v>
      </c>
      <c r="BR183" s="14">
        <v>0</v>
      </c>
      <c r="BS183" s="14">
        <v>0</v>
      </c>
      <c r="BT183" s="377" t="str">
        <v/>
      </c>
      <c r="BU183" s="105" t="str">
        <v/>
      </c>
      <c r="BV183" s="453" t="str">
        <v/>
      </c>
      <c r="BW183" s="105" t="str">
        <f ca="1"/>
        <v/>
      </c>
    </row>
    <row r="184" spans="1:75" x14ac:dyDescent="0.3">
      <c r="A184" s="1">
        <v>0</v>
      </c>
      <c r="B184" s="106">
        <v>0</v>
      </c>
      <c r="C184" s="14">
        <v>0</v>
      </c>
      <c r="D184" s="14">
        <v>0</v>
      </c>
      <c r="E184" s="14">
        <v>0</v>
      </c>
      <c r="F184" s="453">
        <v>0</v>
      </c>
      <c r="G184" s="377">
        <v>0</v>
      </c>
      <c r="H184" s="453">
        <v>0</v>
      </c>
      <c r="I184" s="453">
        <v>0</v>
      </c>
      <c r="J184" s="453">
        <v>0</v>
      </c>
      <c r="K184" s="453">
        <v>0</v>
      </c>
      <c r="L184" s="453">
        <v>0</v>
      </c>
      <c r="M184" s="453">
        <v>0</v>
      </c>
      <c r="N184" s="453">
        <v>0</v>
      </c>
      <c r="O184" s="453">
        <v>0</v>
      </c>
      <c r="P184" s="14">
        <v>0</v>
      </c>
      <c r="Q184" s="14">
        <v>0</v>
      </c>
      <c r="R184" s="453">
        <v>0</v>
      </c>
      <c r="S184" s="453">
        <v>0</v>
      </c>
      <c r="T184" s="453">
        <v>0</v>
      </c>
      <c r="U184" s="453">
        <v>0</v>
      </c>
      <c r="V184" s="453">
        <v>0</v>
      </c>
      <c r="W184" s="453">
        <v>0</v>
      </c>
      <c r="X184" s="453">
        <v>0</v>
      </c>
      <c r="Y184" s="453">
        <v>0</v>
      </c>
      <c r="Z184" s="453">
        <v>0</v>
      </c>
      <c r="AA184" s="14">
        <v>0</v>
      </c>
      <c r="AB184" s="14">
        <v>0</v>
      </c>
      <c r="AC184" s="453">
        <v>0</v>
      </c>
      <c r="AD184" s="14">
        <v>0</v>
      </c>
      <c r="AE184" s="14">
        <v>0</v>
      </c>
      <c r="AF184" s="14">
        <v>0</v>
      </c>
      <c r="AG184" s="14">
        <v>0</v>
      </c>
      <c r="AH184" s="14">
        <v>0</v>
      </c>
      <c r="AI184" s="14">
        <v>0</v>
      </c>
      <c r="AJ184" s="14">
        <v>0</v>
      </c>
      <c r="AK184" s="14">
        <v>0</v>
      </c>
      <c r="AL184" s="14">
        <v>0</v>
      </c>
      <c r="AM184" s="453">
        <v>0</v>
      </c>
      <c r="AN184" s="453">
        <v>0</v>
      </c>
      <c r="AO184" s="453">
        <v>0</v>
      </c>
      <c r="AP184" s="453">
        <v>0</v>
      </c>
      <c r="AQ184" s="453">
        <v>0</v>
      </c>
      <c r="AR184" s="453">
        <v>0</v>
      </c>
      <c r="AS184" s="453">
        <v>0</v>
      </c>
      <c r="AT184" s="453">
        <v>0</v>
      </c>
      <c r="AU184" s="453">
        <v>0</v>
      </c>
      <c r="AV184" s="453">
        <v>0</v>
      </c>
      <c r="AW184" s="453">
        <v>0</v>
      </c>
      <c r="AX184" s="453">
        <v>0</v>
      </c>
      <c r="AY184" s="453">
        <v>0</v>
      </c>
      <c r="AZ184" s="453">
        <v>0</v>
      </c>
      <c r="BA184" s="453">
        <v>0</v>
      </c>
      <c r="BB184" s="453">
        <v>0</v>
      </c>
      <c r="BC184" s="453">
        <v>0</v>
      </c>
      <c r="BD184" s="453">
        <v>0</v>
      </c>
      <c r="BE184" s="105">
        <v>0</v>
      </c>
      <c r="BF184" s="453">
        <v>0</v>
      </c>
      <c r="BG184" s="453">
        <v>0</v>
      </c>
      <c r="BH184" s="105">
        <v>0</v>
      </c>
      <c r="BI184" s="453">
        <v>0</v>
      </c>
      <c r="BJ184" s="453">
        <v>0</v>
      </c>
      <c r="BK184" s="105">
        <v>0</v>
      </c>
      <c r="BL184" s="453">
        <v>0</v>
      </c>
      <c r="BM184" s="453">
        <v>0</v>
      </c>
      <c r="BN184" s="453">
        <v>0</v>
      </c>
      <c r="BO184" s="453">
        <v>0</v>
      </c>
      <c r="BP184" s="453">
        <v>0</v>
      </c>
      <c r="BQ184" s="453">
        <v>0</v>
      </c>
      <c r="BR184" s="14">
        <v>0</v>
      </c>
      <c r="BS184" s="14">
        <v>0</v>
      </c>
      <c r="BT184" s="377" t="str">
        <v/>
      </c>
      <c r="BU184" s="105" t="str">
        <v/>
      </c>
      <c r="BV184" s="453" t="str">
        <v/>
      </c>
      <c r="BW184" s="105" t="str">
        <f ca="1"/>
        <v/>
      </c>
    </row>
    <row r="185" spans="1:75" x14ac:dyDescent="0.3">
      <c r="A185" s="1">
        <v>0</v>
      </c>
      <c r="B185" s="106">
        <v>0</v>
      </c>
      <c r="C185" s="14">
        <v>0</v>
      </c>
      <c r="D185" s="14">
        <v>0</v>
      </c>
      <c r="E185" s="14">
        <v>0</v>
      </c>
      <c r="F185" s="453">
        <v>0</v>
      </c>
      <c r="G185" s="377">
        <v>0</v>
      </c>
      <c r="H185" s="453">
        <v>0</v>
      </c>
      <c r="I185" s="453">
        <v>0</v>
      </c>
      <c r="J185" s="453">
        <v>0</v>
      </c>
      <c r="K185" s="453">
        <v>0</v>
      </c>
      <c r="L185" s="453">
        <v>0</v>
      </c>
      <c r="M185" s="453">
        <v>0</v>
      </c>
      <c r="N185" s="453">
        <v>0</v>
      </c>
      <c r="O185" s="453">
        <v>0</v>
      </c>
      <c r="P185" s="14">
        <v>0</v>
      </c>
      <c r="Q185" s="14">
        <v>0</v>
      </c>
      <c r="R185" s="453">
        <v>0</v>
      </c>
      <c r="S185" s="453">
        <v>0</v>
      </c>
      <c r="T185" s="453">
        <v>0</v>
      </c>
      <c r="U185" s="453">
        <v>0</v>
      </c>
      <c r="V185" s="453">
        <v>0</v>
      </c>
      <c r="W185" s="453">
        <v>0</v>
      </c>
      <c r="X185" s="453">
        <v>0</v>
      </c>
      <c r="Y185" s="453">
        <v>0</v>
      </c>
      <c r="Z185" s="453">
        <v>0</v>
      </c>
      <c r="AA185" s="14">
        <v>0</v>
      </c>
      <c r="AB185" s="14">
        <v>0</v>
      </c>
      <c r="AC185" s="453">
        <v>0</v>
      </c>
      <c r="AD185" s="14">
        <v>0</v>
      </c>
      <c r="AE185" s="14">
        <v>0</v>
      </c>
      <c r="AF185" s="14">
        <v>0</v>
      </c>
      <c r="AG185" s="14">
        <v>0</v>
      </c>
      <c r="AH185" s="14">
        <v>0</v>
      </c>
      <c r="AI185" s="14">
        <v>0</v>
      </c>
      <c r="AJ185" s="14">
        <v>0</v>
      </c>
      <c r="AK185" s="14">
        <v>0</v>
      </c>
      <c r="AL185" s="14">
        <v>0</v>
      </c>
      <c r="AM185" s="453">
        <v>0</v>
      </c>
      <c r="AN185" s="453">
        <v>0</v>
      </c>
      <c r="AO185" s="453">
        <v>0</v>
      </c>
      <c r="AP185" s="453">
        <v>0</v>
      </c>
      <c r="AQ185" s="453">
        <v>0</v>
      </c>
      <c r="AR185" s="453">
        <v>0</v>
      </c>
      <c r="AS185" s="453">
        <v>0</v>
      </c>
      <c r="AT185" s="453">
        <v>0</v>
      </c>
      <c r="AU185" s="453">
        <v>0</v>
      </c>
      <c r="AV185" s="453">
        <v>0</v>
      </c>
      <c r="AW185" s="453">
        <v>0</v>
      </c>
      <c r="AX185" s="453">
        <v>0</v>
      </c>
      <c r="AY185" s="453">
        <v>0</v>
      </c>
      <c r="AZ185" s="453">
        <v>0</v>
      </c>
      <c r="BA185" s="453">
        <v>0</v>
      </c>
      <c r="BB185" s="453">
        <v>0</v>
      </c>
      <c r="BC185" s="453">
        <v>0</v>
      </c>
      <c r="BD185" s="453">
        <v>0</v>
      </c>
      <c r="BE185" s="105">
        <v>0</v>
      </c>
      <c r="BF185" s="453">
        <v>0</v>
      </c>
      <c r="BG185" s="453">
        <v>0</v>
      </c>
      <c r="BH185" s="105">
        <v>0</v>
      </c>
      <c r="BI185" s="453">
        <v>0</v>
      </c>
      <c r="BJ185" s="453">
        <v>0</v>
      </c>
      <c r="BK185" s="105">
        <v>0</v>
      </c>
      <c r="BL185" s="453">
        <v>0</v>
      </c>
      <c r="BM185" s="453">
        <v>0</v>
      </c>
      <c r="BN185" s="453">
        <v>0</v>
      </c>
      <c r="BO185" s="453">
        <v>0</v>
      </c>
      <c r="BP185" s="453">
        <v>0</v>
      </c>
      <c r="BQ185" s="453">
        <v>0</v>
      </c>
      <c r="BR185" s="14">
        <v>0</v>
      </c>
      <c r="BS185" s="14">
        <v>0</v>
      </c>
      <c r="BT185" s="377" t="str">
        <v/>
      </c>
      <c r="BU185" s="105" t="str">
        <v/>
      </c>
      <c r="BV185" s="453" t="str">
        <v/>
      </c>
      <c r="BW185" s="105" t="str">
        <f ca="1"/>
        <v/>
      </c>
    </row>
    <row r="186" spans="1:75" x14ac:dyDescent="0.3">
      <c r="A186" s="1">
        <v>0</v>
      </c>
      <c r="B186" s="106">
        <v>0</v>
      </c>
      <c r="C186" s="14">
        <v>0</v>
      </c>
      <c r="D186" s="14">
        <v>0</v>
      </c>
      <c r="E186" s="14">
        <v>0</v>
      </c>
      <c r="F186" s="453">
        <v>0</v>
      </c>
      <c r="G186" s="377">
        <v>0</v>
      </c>
      <c r="H186" s="453">
        <v>0</v>
      </c>
      <c r="I186" s="453">
        <v>0</v>
      </c>
      <c r="J186" s="453">
        <v>0</v>
      </c>
      <c r="K186" s="453">
        <v>0</v>
      </c>
      <c r="L186" s="453">
        <v>0</v>
      </c>
      <c r="M186" s="453">
        <v>0</v>
      </c>
      <c r="N186" s="453">
        <v>0</v>
      </c>
      <c r="O186" s="453">
        <v>0</v>
      </c>
      <c r="P186" s="14">
        <v>0</v>
      </c>
      <c r="Q186" s="14">
        <v>0</v>
      </c>
      <c r="R186" s="453">
        <v>0</v>
      </c>
      <c r="S186" s="453">
        <v>0</v>
      </c>
      <c r="T186" s="453">
        <v>0</v>
      </c>
      <c r="U186" s="453">
        <v>0</v>
      </c>
      <c r="V186" s="453">
        <v>0</v>
      </c>
      <c r="W186" s="453">
        <v>0</v>
      </c>
      <c r="X186" s="453">
        <v>0</v>
      </c>
      <c r="Y186" s="453">
        <v>0</v>
      </c>
      <c r="Z186" s="453">
        <v>0</v>
      </c>
      <c r="AA186" s="14">
        <v>0</v>
      </c>
      <c r="AB186" s="14">
        <v>0</v>
      </c>
      <c r="AC186" s="453">
        <v>0</v>
      </c>
      <c r="AD186" s="14">
        <v>0</v>
      </c>
      <c r="AE186" s="14">
        <v>0</v>
      </c>
      <c r="AF186" s="14">
        <v>0</v>
      </c>
      <c r="AG186" s="14">
        <v>0</v>
      </c>
      <c r="AH186" s="14">
        <v>0</v>
      </c>
      <c r="AI186" s="14">
        <v>0</v>
      </c>
      <c r="AJ186" s="14">
        <v>0</v>
      </c>
      <c r="AK186" s="14">
        <v>0</v>
      </c>
      <c r="AL186" s="14">
        <v>0</v>
      </c>
      <c r="AM186" s="453">
        <v>0</v>
      </c>
      <c r="AN186" s="453">
        <v>0</v>
      </c>
      <c r="AO186" s="453">
        <v>0</v>
      </c>
      <c r="AP186" s="453">
        <v>0</v>
      </c>
      <c r="AQ186" s="453">
        <v>0</v>
      </c>
      <c r="AR186" s="453">
        <v>0</v>
      </c>
      <c r="AS186" s="453">
        <v>0</v>
      </c>
      <c r="AT186" s="453">
        <v>0</v>
      </c>
      <c r="AU186" s="453">
        <v>0</v>
      </c>
      <c r="AV186" s="453">
        <v>0</v>
      </c>
      <c r="AW186" s="453">
        <v>0</v>
      </c>
      <c r="AX186" s="453">
        <v>0</v>
      </c>
      <c r="AY186" s="453">
        <v>0</v>
      </c>
      <c r="AZ186" s="453">
        <v>0</v>
      </c>
      <c r="BA186" s="453">
        <v>0</v>
      </c>
      <c r="BB186" s="453">
        <v>0</v>
      </c>
      <c r="BC186" s="453">
        <v>0</v>
      </c>
      <c r="BD186" s="453">
        <v>0</v>
      </c>
      <c r="BE186" s="105">
        <v>0</v>
      </c>
      <c r="BF186" s="453">
        <v>0</v>
      </c>
      <c r="BG186" s="453">
        <v>0</v>
      </c>
      <c r="BH186" s="105">
        <v>0</v>
      </c>
      <c r="BI186" s="453">
        <v>0</v>
      </c>
      <c r="BJ186" s="453">
        <v>0</v>
      </c>
      <c r="BK186" s="105">
        <v>0</v>
      </c>
      <c r="BL186" s="453">
        <v>0</v>
      </c>
      <c r="BM186" s="453">
        <v>0</v>
      </c>
      <c r="BN186" s="453">
        <v>0</v>
      </c>
      <c r="BO186" s="453">
        <v>0</v>
      </c>
      <c r="BP186" s="453">
        <v>0</v>
      </c>
      <c r="BQ186" s="453">
        <v>0</v>
      </c>
      <c r="BR186" s="14">
        <v>0</v>
      </c>
      <c r="BS186" s="14">
        <v>0</v>
      </c>
      <c r="BT186" s="377" t="str">
        <v/>
      </c>
      <c r="BU186" s="105" t="str">
        <v/>
      </c>
      <c r="BV186" s="453" t="str">
        <v/>
      </c>
      <c r="BW186" s="105" t="str">
        <f ca="1"/>
        <v/>
      </c>
    </row>
    <row r="187" spans="1:75" x14ac:dyDescent="0.3">
      <c r="A187" s="1">
        <v>0</v>
      </c>
      <c r="B187" s="106">
        <v>0</v>
      </c>
      <c r="C187" s="14">
        <v>0</v>
      </c>
      <c r="D187" s="14">
        <v>0</v>
      </c>
      <c r="E187" s="14">
        <v>0</v>
      </c>
      <c r="F187" s="453">
        <v>0</v>
      </c>
      <c r="G187" s="377">
        <v>0</v>
      </c>
      <c r="H187" s="453">
        <v>0</v>
      </c>
      <c r="I187" s="453">
        <v>0</v>
      </c>
      <c r="J187" s="453">
        <v>0</v>
      </c>
      <c r="K187" s="453">
        <v>0</v>
      </c>
      <c r="L187" s="453">
        <v>0</v>
      </c>
      <c r="M187" s="453">
        <v>0</v>
      </c>
      <c r="N187" s="453">
        <v>0</v>
      </c>
      <c r="O187" s="453">
        <v>0</v>
      </c>
      <c r="P187" s="14">
        <v>0</v>
      </c>
      <c r="Q187" s="14">
        <v>0</v>
      </c>
      <c r="R187" s="453">
        <v>0</v>
      </c>
      <c r="S187" s="453">
        <v>0</v>
      </c>
      <c r="T187" s="453">
        <v>0</v>
      </c>
      <c r="U187" s="453">
        <v>0</v>
      </c>
      <c r="V187" s="453">
        <v>0</v>
      </c>
      <c r="W187" s="453">
        <v>0</v>
      </c>
      <c r="X187" s="453">
        <v>0</v>
      </c>
      <c r="Y187" s="453">
        <v>0</v>
      </c>
      <c r="Z187" s="453">
        <v>0</v>
      </c>
      <c r="AA187" s="14">
        <v>0</v>
      </c>
      <c r="AB187" s="14">
        <v>0</v>
      </c>
      <c r="AC187" s="453">
        <v>0</v>
      </c>
      <c r="AD187" s="14">
        <v>0</v>
      </c>
      <c r="AE187" s="14">
        <v>0</v>
      </c>
      <c r="AF187" s="14">
        <v>0</v>
      </c>
      <c r="AG187" s="14">
        <v>0</v>
      </c>
      <c r="AH187" s="14">
        <v>0</v>
      </c>
      <c r="AI187" s="14">
        <v>0</v>
      </c>
      <c r="AJ187" s="14">
        <v>0</v>
      </c>
      <c r="AK187" s="14">
        <v>0</v>
      </c>
      <c r="AL187" s="14">
        <v>0</v>
      </c>
      <c r="AM187" s="453">
        <v>0</v>
      </c>
      <c r="AN187" s="453">
        <v>0</v>
      </c>
      <c r="AO187" s="453">
        <v>0</v>
      </c>
      <c r="AP187" s="453">
        <v>0</v>
      </c>
      <c r="AQ187" s="453">
        <v>0</v>
      </c>
      <c r="AR187" s="453">
        <v>0</v>
      </c>
      <c r="AS187" s="453">
        <v>0</v>
      </c>
      <c r="AT187" s="453">
        <v>0</v>
      </c>
      <c r="AU187" s="453">
        <v>0</v>
      </c>
      <c r="AV187" s="453">
        <v>0</v>
      </c>
      <c r="AW187" s="453">
        <v>0</v>
      </c>
      <c r="AX187" s="453">
        <v>0</v>
      </c>
      <c r="AY187" s="453">
        <v>0</v>
      </c>
      <c r="AZ187" s="453">
        <v>0</v>
      </c>
      <c r="BA187" s="453">
        <v>0</v>
      </c>
      <c r="BB187" s="453">
        <v>0</v>
      </c>
      <c r="BC187" s="453">
        <v>0</v>
      </c>
      <c r="BD187" s="453">
        <v>0</v>
      </c>
      <c r="BE187" s="105">
        <v>0</v>
      </c>
      <c r="BF187" s="453">
        <v>0</v>
      </c>
      <c r="BG187" s="453">
        <v>0</v>
      </c>
      <c r="BH187" s="105">
        <v>0</v>
      </c>
      <c r="BI187" s="453">
        <v>0</v>
      </c>
      <c r="BJ187" s="453">
        <v>0</v>
      </c>
      <c r="BK187" s="105">
        <v>0</v>
      </c>
      <c r="BL187" s="453">
        <v>0</v>
      </c>
      <c r="BM187" s="453">
        <v>0</v>
      </c>
      <c r="BN187" s="453">
        <v>0</v>
      </c>
      <c r="BO187" s="453">
        <v>0</v>
      </c>
      <c r="BP187" s="453">
        <v>0</v>
      </c>
      <c r="BQ187" s="453">
        <v>0</v>
      </c>
      <c r="BR187" s="14">
        <v>0</v>
      </c>
      <c r="BS187" s="14">
        <v>0</v>
      </c>
      <c r="BT187" s="377" t="str">
        <v/>
      </c>
      <c r="BU187" s="105" t="str">
        <v/>
      </c>
      <c r="BV187" s="453" t="str">
        <v/>
      </c>
      <c r="BW187" s="105" t="str">
        <f ca="1"/>
        <v/>
      </c>
    </row>
    <row r="188" spans="1:75" x14ac:dyDescent="0.3">
      <c r="A188" s="1">
        <v>0</v>
      </c>
      <c r="B188" s="106">
        <v>0</v>
      </c>
      <c r="C188" s="14">
        <v>0</v>
      </c>
      <c r="D188" s="14">
        <v>0</v>
      </c>
      <c r="E188" s="14">
        <v>0</v>
      </c>
      <c r="F188" s="453">
        <v>0</v>
      </c>
      <c r="G188" s="377">
        <v>0</v>
      </c>
      <c r="H188" s="453">
        <v>0</v>
      </c>
      <c r="I188" s="453">
        <v>0</v>
      </c>
      <c r="J188" s="453">
        <v>0</v>
      </c>
      <c r="K188" s="453">
        <v>0</v>
      </c>
      <c r="L188" s="453">
        <v>0</v>
      </c>
      <c r="M188" s="453">
        <v>0</v>
      </c>
      <c r="N188" s="453">
        <v>0</v>
      </c>
      <c r="O188" s="453">
        <v>0</v>
      </c>
      <c r="P188" s="14">
        <v>0</v>
      </c>
      <c r="Q188" s="14">
        <v>0</v>
      </c>
      <c r="R188" s="453">
        <v>0</v>
      </c>
      <c r="S188" s="453">
        <v>0</v>
      </c>
      <c r="T188" s="453">
        <v>0</v>
      </c>
      <c r="U188" s="453">
        <v>0</v>
      </c>
      <c r="V188" s="453">
        <v>0</v>
      </c>
      <c r="W188" s="453">
        <v>0</v>
      </c>
      <c r="X188" s="453">
        <v>0</v>
      </c>
      <c r="Y188" s="453">
        <v>0</v>
      </c>
      <c r="Z188" s="453">
        <v>0</v>
      </c>
      <c r="AA188" s="14">
        <v>0</v>
      </c>
      <c r="AB188" s="14">
        <v>0</v>
      </c>
      <c r="AC188" s="453">
        <v>0</v>
      </c>
      <c r="AD188" s="14">
        <v>0</v>
      </c>
      <c r="AE188" s="14">
        <v>0</v>
      </c>
      <c r="AF188" s="14">
        <v>0</v>
      </c>
      <c r="AG188" s="14">
        <v>0</v>
      </c>
      <c r="AH188" s="14">
        <v>0</v>
      </c>
      <c r="AI188" s="14">
        <v>0</v>
      </c>
      <c r="AJ188" s="14">
        <v>0</v>
      </c>
      <c r="AK188" s="14">
        <v>0</v>
      </c>
      <c r="AL188" s="14">
        <v>0</v>
      </c>
      <c r="AM188" s="453">
        <v>0</v>
      </c>
      <c r="AN188" s="453">
        <v>0</v>
      </c>
      <c r="AO188" s="453">
        <v>0</v>
      </c>
      <c r="AP188" s="453">
        <v>0</v>
      </c>
      <c r="AQ188" s="453">
        <v>0</v>
      </c>
      <c r="AR188" s="453">
        <v>0</v>
      </c>
      <c r="AS188" s="453">
        <v>0</v>
      </c>
      <c r="AT188" s="453">
        <v>0</v>
      </c>
      <c r="AU188" s="453">
        <v>0</v>
      </c>
      <c r="AV188" s="453">
        <v>0</v>
      </c>
      <c r="AW188" s="453">
        <v>0</v>
      </c>
      <c r="AX188" s="453">
        <v>0</v>
      </c>
      <c r="AY188" s="453">
        <v>0</v>
      </c>
      <c r="AZ188" s="453">
        <v>0</v>
      </c>
      <c r="BA188" s="453">
        <v>0</v>
      </c>
      <c r="BB188" s="453">
        <v>0</v>
      </c>
      <c r="BC188" s="453">
        <v>0</v>
      </c>
      <c r="BD188" s="453">
        <v>0</v>
      </c>
      <c r="BE188" s="105">
        <v>0</v>
      </c>
      <c r="BF188" s="453">
        <v>0</v>
      </c>
      <c r="BG188" s="453">
        <v>0</v>
      </c>
      <c r="BH188" s="105">
        <v>0</v>
      </c>
      <c r="BI188" s="453">
        <v>0</v>
      </c>
      <c r="BJ188" s="453">
        <v>0</v>
      </c>
      <c r="BK188" s="105">
        <v>0</v>
      </c>
      <c r="BL188" s="453">
        <v>0</v>
      </c>
      <c r="BM188" s="453">
        <v>0</v>
      </c>
      <c r="BN188" s="453">
        <v>0</v>
      </c>
      <c r="BO188" s="453">
        <v>0</v>
      </c>
      <c r="BP188" s="453">
        <v>0</v>
      </c>
      <c r="BQ188" s="453">
        <v>0</v>
      </c>
      <c r="BR188" s="14">
        <v>0</v>
      </c>
      <c r="BS188" s="14">
        <v>0</v>
      </c>
      <c r="BT188" s="377" t="str">
        <v/>
      </c>
      <c r="BU188" s="105" t="str">
        <v/>
      </c>
      <c r="BV188" s="453" t="str">
        <v/>
      </c>
      <c r="BW188" s="105" t="str">
        <f ca="1"/>
        <v/>
      </c>
    </row>
    <row r="189" spans="1:75" x14ac:dyDescent="0.3">
      <c r="A189" s="1">
        <v>0</v>
      </c>
      <c r="B189" s="106">
        <v>0</v>
      </c>
      <c r="C189" s="14">
        <v>0</v>
      </c>
      <c r="D189" s="14">
        <v>0</v>
      </c>
      <c r="E189" s="14">
        <v>0</v>
      </c>
      <c r="F189" s="453">
        <v>0</v>
      </c>
      <c r="G189" s="377">
        <v>0</v>
      </c>
      <c r="H189" s="453">
        <v>0</v>
      </c>
      <c r="I189" s="453">
        <v>0</v>
      </c>
      <c r="J189" s="453">
        <v>0</v>
      </c>
      <c r="K189" s="453">
        <v>0</v>
      </c>
      <c r="L189" s="453">
        <v>0</v>
      </c>
      <c r="M189" s="453">
        <v>0</v>
      </c>
      <c r="N189" s="453">
        <v>0</v>
      </c>
      <c r="O189" s="453">
        <v>0</v>
      </c>
      <c r="P189" s="14">
        <v>0</v>
      </c>
      <c r="Q189" s="14">
        <v>0</v>
      </c>
      <c r="R189" s="453">
        <v>0</v>
      </c>
      <c r="S189" s="453">
        <v>0</v>
      </c>
      <c r="T189" s="453">
        <v>0</v>
      </c>
      <c r="U189" s="453">
        <v>0</v>
      </c>
      <c r="V189" s="453">
        <v>0</v>
      </c>
      <c r="W189" s="453">
        <v>0</v>
      </c>
      <c r="X189" s="453">
        <v>0</v>
      </c>
      <c r="Y189" s="453">
        <v>0</v>
      </c>
      <c r="Z189" s="453">
        <v>0</v>
      </c>
      <c r="AA189" s="14">
        <v>0</v>
      </c>
      <c r="AB189" s="14">
        <v>0</v>
      </c>
      <c r="AC189" s="453">
        <v>0</v>
      </c>
      <c r="AD189" s="14">
        <v>0</v>
      </c>
      <c r="AE189" s="14">
        <v>0</v>
      </c>
      <c r="AF189" s="14">
        <v>0</v>
      </c>
      <c r="AG189" s="14">
        <v>0</v>
      </c>
      <c r="AH189" s="14">
        <v>0</v>
      </c>
      <c r="AI189" s="14">
        <v>0</v>
      </c>
      <c r="AJ189" s="14">
        <v>0</v>
      </c>
      <c r="AK189" s="14">
        <v>0</v>
      </c>
      <c r="AL189" s="14">
        <v>0</v>
      </c>
      <c r="AM189" s="453">
        <v>0</v>
      </c>
      <c r="AN189" s="453">
        <v>0</v>
      </c>
      <c r="AO189" s="453">
        <v>0</v>
      </c>
      <c r="AP189" s="453">
        <v>0</v>
      </c>
      <c r="AQ189" s="453">
        <v>0</v>
      </c>
      <c r="AR189" s="453">
        <v>0</v>
      </c>
      <c r="AS189" s="453">
        <v>0</v>
      </c>
      <c r="AT189" s="453">
        <v>0</v>
      </c>
      <c r="AU189" s="453">
        <v>0</v>
      </c>
      <c r="AV189" s="453">
        <v>0</v>
      </c>
      <c r="AW189" s="453">
        <v>0</v>
      </c>
      <c r="AX189" s="453">
        <v>0</v>
      </c>
      <c r="AY189" s="453">
        <v>0</v>
      </c>
      <c r="AZ189" s="453">
        <v>0</v>
      </c>
      <c r="BA189" s="453">
        <v>0</v>
      </c>
      <c r="BB189" s="453">
        <v>0</v>
      </c>
      <c r="BC189" s="453">
        <v>0</v>
      </c>
      <c r="BD189" s="453">
        <v>0</v>
      </c>
      <c r="BE189" s="105">
        <v>0</v>
      </c>
      <c r="BF189" s="453">
        <v>0</v>
      </c>
      <c r="BG189" s="453">
        <v>0</v>
      </c>
      <c r="BH189" s="105">
        <v>0</v>
      </c>
      <c r="BI189" s="453">
        <v>0</v>
      </c>
      <c r="BJ189" s="453">
        <v>0</v>
      </c>
      <c r="BK189" s="105">
        <v>0</v>
      </c>
      <c r="BL189" s="453">
        <v>0</v>
      </c>
      <c r="BM189" s="453">
        <v>0</v>
      </c>
      <c r="BN189" s="453">
        <v>0</v>
      </c>
      <c r="BO189" s="453">
        <v>0</v>
      </c>
      <c r="BP189" s="453">
        <v>0</v>
      </c>
      <c r="BQ189" s="453">
        <v>0</v>
      </c>
      <c r="BR189" s="14">
        <v>0</v>
      </c>
      <c r="BS189" s="14">
        <v>0</v>
      </c>
      <c r="BT189" s="377" t="str">
        <v/>
      </c>
      <c r="BU189" s="105" t="str">
        <v/>
      </c>
      <c r="BV189" s="453" t="str">
        <v/>
      </c>
      <c r="BW189" s="105" t="str">
        <f ca="1"/>
        <v/>
      </c>
    </row>
    <row r="190" spans="1:75" x14ac:dyDescent="0.3">
      <c r="A190" s="1">
        <v>0</v>
      </c>
      <c r="B190" s="106">
        <v>0</v>
      </c>
      <c r="C190" s="14">
        <v>0</v>
      </c>
      <c r="D190" s="14">
        <v>0</v>
      </c>
      <c r="E190" s="14">
        <v>0</v>
      </c>
      <c r="F190" s="453">
        <v>0</v>
      </c>
      <c r="G190" s="377">
        <v>0</v>
      </c>
      <c r="H190" s="453">
        <v>0</v>
      </c>
      <c r="I190" s="453">
        <v>0</v>
      </c>
      <c r="J190" s="453">
        <v>0</v>
      </c>
      <c r="K190" s="453">
        <v>0</v>
      </c>
      <c r="L190" s="453">
        <v>0</v>
      </c>
      <c r="M190" s="453">
        <v>0</v>
      </c>
      <c r="N190" s="453">
        <v>0</v>
      </c>
      <c r="O190" s="453">
        <v>0</v>
      </c>
      <c r="P190" s="14">
        <v>0</v>
      </c>
      <c r="Q190" s="14">
        <v>0</v>
      </c>
      <c r="R190" s="453">
        <v>0</v>
      </c>
      <c r="S190" s="453">
        <v>0</v>
      </c>
      <c r="T190" s="453">
        <v>0</v>
      </c>
      <c r="U190" s="453">
        <v>0</v>
      </c>
      <c r="V190" s="453">
        <v>0</v>
      </c>
      <c r="W190" s="453">
        <v>0</v>
      </c>
      <c r="X190" s="453">
        <v>0</v>
      </c>
      <c r="Y190" s="453">
        <v>0</v>
      </c>
      <c r="Z190" s="453">
        <v>0</v>
      </c>
      <c r="AA190" s="14">
        <v>0</v>
      </c>
      <c r="AB190" s="14">
        <v>0</v>
      </c>
      <c r="AC190" s="453">
        <v>0</v>
      </c>
      <c r="AD190" s="14">
        <v>0</v>
      </c>
      <c r="AE190" s="14">
        <v>0</v>
      </c>
      <c r="AF190" s="14">
        <v>0</v>
      </c>
      <c r="AG190" s="14">
        <v>0</v>
      </c>
      <c r="AH190" s="14">
        <v>0</v>
      </c>
      <c r="AI190" s="14">
        <v>0</v>
      </c>
      <c r="AJ190" s="14">
        <v>0</v>
      </c>
      <c r="AK190" s="14">
        <v>0</v>
      </c>
      <c r="AL190" s="14">
        <v>0</v>
      </c>
      <c r="AM190" s="453">
        <v>0</v>
      </c>
      <c r="AN190" s="453">
        <v>0</v>
      </c>
      <c r="AO190" s="453">
        <v>0</v>
      </c>
      <c r="AP190" s="453">
        <v>0</v>
      </c>
      <c r="AQ190" s="453">
        <v>0</v>
      </c>
      <c r="AR190" s="453">
        <v>0</v>
      </c>
      <c r="AS190" s="453">
        <v>0</v>
      </c>
      <c r="AT190" s="453">
        <v>0</v>
      </c>
      <c r="AU190" s="453">
        <v>0</v>
      </c>
      <c r="AV190" s="453">
        <v>0</v>
      </c>
      <c r="AW190" s="453">
        <v>0</v>
      </c>
      <c r="AX190" s="453">
        <v>0</v>
      </c>
      <c r="AY190" s="453">
        <v>0</v>
      </c>
      <c r="AZ190" s="453">
        <v>0</v>
      </c>
      <c r="BA190" s="453">
        <v>0</v>
      </c>
      <c r="BB190" s="453">
        <v>0</v>
      </c>
      <c r="BC190" s="453">
        <v>0</v>
      </c>
      <c r="BD190" s="453">
        <v>0</v>
      </c>
      <c r="BE190" s="105">
        <v>0</v>
      </c>
      <c r="BF190" s="453">
        <v>0</v>
      </c>
      <c r="BG190" s="453">
        <v>0</v>
      </c>
      <c r="BH190" s="105">
        <v>0</v>
      </c>
      <c r="BI190" s="453">
        <v>0</v>
      </c>
      <c r="BJ190" s="453">
        <v>0</v>
      </c>
      <c r="BK190" s="105">
        <v>0</v>
      </c>
      <c r="BL190" s="453">
        <v>0</v>
      </c>
      <c r="BM190" s="453">
        <v>0</v>
      </c>
      <c r="BN190" s="453">
        <v>0</v>
      </c>
      <c r="BO190" s="453">
        <v>0</v>
      </c>
      <c r="BP190" s="453">
        <v>0</v>
      </c>
      <c r="BQ190" s="453">
        <v>0</v>
      </c>
      <c r="BR190" s="14">
        <v>0</v>
      </c>
      <c r="BS190" s="14">
        <v>0</v>
      </c>
      <c r="BT190" s="377" t="str">
        <v/>
      </c>
      <c r="BU190" s="105" t="str">
        <v/>
      </c>
      <c r="BV190" s="453" t="str">
        <v/>
      </c>
      <c r="BW190" s="105" t="str">
        <f ca="1"/>
        <v/>
      </c>
    </row>
    <row r="191" spans="1:75" x14ac:dyDescent="0.3">
      <c r="A191" s="1">
        <v>0</v>
      </c>
      <c r="B191" s="106">
        <v>0</v>
      </c>
      <c r="C191" s="14">
        <v>0</v>
      </c>
      <c r="D191" s="14">
        <v>0</v>
      </c>
      <c r="E191" s="14">
        <v>0</v>
      </c>
      <c r="F191" s="453">
        <v>0</v>
      </c>
      <c r="G191" s="377">
        <v>0</v>
      </c>
      <c r="H191" s="453">
        <v>0</v>
      </c>
      <c r="I191" s="453">
        <v>0</v>
      </c>
      <c r="J191" s="453">
        <v>0</v>
      </c>
      <c r="K191" s="453">
        <v>0</v>
      </c>
      <c r="L191" s="453">
        <v>0</v>
      </c>
      <c r="M191" s="453">
        <v>0</v>
      </c>
      <c r="N191" s="453">
        <v>0</v>
      </c>
      <c r="O191" s="453">
        <v>0</v>
      </c>
      <c r="P191" s="14">
        <v>0</v>
      </c>
      <c r="Q191" s="14">
        <v>0</v>
      </c>
      <c r="R191" s="453">
        <v>0</v>
      </c>
      <c r="S191" s="453">
        <v>0</v>
      </c>
      <c r="T191" s="453">
        <v>0</v>
      </c>
      <c r="U191" s="453">
        <v>0</v>
      </c>
      <c r="V191" s="453">
        <v>0</v>
      </c>
      <c r="W191" s="453">
        <v>0</v>
      </c>
      <c r="X191" s="453">
        <v>0</v>
      </c>
      <c r="Y191" s="453">
        <v>0</v>
      </c>
      <c r="Z191" s="453">
        <v>0</v>
      </c>
      <c r="AA191" s="14">
        <v>0</v>
      </c>
      <c r="AB191" s="14">
        <v>0</v>
      </c>
      <c r="AC191" s="453">
        <v>0</v>
      </c>
      <c r="AD191" s="14">
        <v>0</v>
      </c>
      <c r="AE191" s="14">
        <v>0</v>
      </c>
      <c r="AF191" s="14">
        <v>0</v>
      </c>
      <c r="AG191" s="14">
        <v>0</v>
      </c>
      <c r="AH191" s="14">
        <v>0</v>
      </c>
      <c r="AI191" s="14">
        <v>0</v>
      </c>
      <c r="AJ191" s="14">
        <v>0</v>
      </c>
      <c r="AK191" s="14">
        <v>0</v>
      </c>
      <c r="AL191" s="14">
        <v>0</v>
      </c>
      <c r="AM191" s="453">
        <v>0</v>
      </c>
      <c r="AN191" s="453">
        <v>0</v>
      </c>
      <c r="AO191" s="453">
        <v>0</v>
      </c>
      <c r="AP191" s="453">
        <v>0</v>
      </c>
      <c r="AQ191" s="453">
        <v>0</v>
      </c>
      <c r="AR191" s="453">
        <v>0</v>
      </c>
      <c r="AS191" s="453">
        <v>0</v>
      </c>
      <c r="AT191" s="453">
        <v>0</v>
      </c>
      <c r="AU191" s="453">
        <v>0</v>
      </c>
      <c r="AV191" s="453">
        <v>0</v>
      </c>
      <c r="AW191" s="453">
        <v>0</v>
      </c>
      <c r="AX191" s="453">
        <v>0</v>
      </c>
      <c r="AY191" s="453">
        <v>0</v>
      </c>
      <c r="AZ191" s="453">
        <v>0</v>
      </c>
      <c r="BA191" s="453">
        <v>0</v>
      </c>
      <c r="BB191" s="453">
        <v>0</v>
      </c>
      <c r="BC191" s="453">
        <v>0</v>
      </c>
      <c r="BD191" s="453">
        <v>0</v>
      </c>
      <c r="BE191" s="105">
        <v>0</v>
      </c>
      <c r="BF191" s="453">
        <v>0</v>
      </c>
      <c r="BG191" s="453">
        <v>0</v>
      </c>
      <c r="BH191" s="105">
        <v>0</v>
      </c>
      <c r="BI191" s="453">
        <v>0</v>
      </c>
      <c r="BJ191" s="453">
        <v>0</v>
      </c>
      <c r="BK191" s="105">
        <v>0</v>
      </c>
      <c r="BL191" s="453">
        <v>0</v>
      </c>
      <c r="BM191" s="453">
        <v>0</v>
      </c>
      <c r="BN191" s="453">
        <v>0</v>
      </c>
      <c r="BO191" s="453">
        <v>0</v>
      </c>
      <c r="BP191" s="453">
        <v>0</v>
      </c>
      <c r="BQ191" s="453">
        <v>0</v>
      </c>
      <c r="BR191" s="14">
        <v>0</v>
      </c>
      <c r="BS191" s="14">
        <v>0</v>
      </c>
      <c r="BT191" s="377" t="str">
        <v/>
      </c>
      <c r="BU191" s="105" t="str">
        <v/>
      </c>
      <c r="BV191" s="453" t="str">
        <v/>
      </c>
      <c r="BW191" s="105" t="str">
        <f ca="1"/>
        <v/>
      </c>
    </row>
    <row r="192" spans="1:75" x14ac:dyDescent="0.3">
      <c r="A192" s="1">
        <v>0</v>
      </c>
      <c r="B192" s="106">
        <v>0</v>
      </c>
      <c r="C192" s="14">
        <v>0</v>
      </c>
      <c r="D192" s="14">
        <v>0</v>
      </c>
      <c r="E192" s="14">
        <v>0</v>
      </c>
      <c r="F192" s="453">
        <v>0</v>
      </c>
      <c r="G192" s="377">
        <v>0</v>
      </c>
      <c r="H192" s="453">
        <v>0</v>
      </c>
      <c r="I192" s="453">
        <v>0</v>
      </c>
      <c r="J192" s="453">
        <v>0</v>
      </c>
      <c r="K192" s="453">
        <v>0</v>
      </c>
      <c r="L192" s="453">
        <v>0</v>
      </c>
      <c r="M192" s="453">
        <v>0</v>
      </c>
      <c r="N192" s="453">
        <v>0</v>
      </c>
      <c r="O192" s="453">
        <v>0</v>
      </c>
      <c r="P192" s="14">
        <v>0</v>
      </c>
      <c r="Q192" s="14">
        <v>0</v>
      </c>
      <c r="R192" s="453">
        <v>0</v>
      </c>
      <c r="S192" s="453">
        <v>0</v>
      </c>
      <c r="T192" s="453">
        <v>0</v>
      </c>
      <c r="U192" s="453">
        <v>0</v>
      </c>
      <c r="V192" s="453">
        <v>0</v>
      </c>
      <c r="W192" s="453">
        <v>0</v>
      </c>
      <c r="X192" s="453">
        <v>0</v>
      </c>
      <c r="Y192" s="453">
        <v>0</v>
      </c>
      <c r="Z192" s="453">
        <v>0</v>
      </c>
      <c r="AA192" s="14">
        <v>0</v>
      </c>
      <c r="AB192" s="14">
        <v>0</v>
      </c>
      <c r="AC192" s="453">
        <v>0</v>
      </c>
      <c r="AD192" s="14">
        <v>0</v>
      </c>
      <c r="AE192" s="14">
        <v>0</v>
      </c>
      <c r="AF192" s="14">
        <v>0</v>
      </c>
      <c r="AG192" s="14">
        <v>0</v>
      </c>
      <c r="AH192" s="14">
        <v>0</v>
      </c>
      <c r="AI192" s="14">
        <v>0</v>
      </c>
      <c r="AJ192" s="14">
        <v>0</v>
      </c>
      <c r="AK192" s="14">
        <v>0</v>
      </c>
      <c r="AL192" s="14">
        <v>0</v>
      </c>
      <c r="AM192" s="453">
        <v>0</v>
      </c>
      <c r="AN192" s="453">
        <v>0</v>
      </c>
      <c r="AO192" s="453">
        <v>0</v>
      </c>
      <c r="AP192" s="453">
        <v>0</v>
      </c>
      <c r="AQ192" s="453">
        <v>0</v>
      </c>
      <c r="AR192" s="453">
        <v>0</v>
      </c>
      <c r="AS192" s="453">
        <v>0</v>
      </c>
      <c r="AT192" s="453">
        <v>0</v>
      </c>
      <c r="AU192" s="453">
        <v>0</v>
      </c>
      <c r="AV192" s="453">
        <v>0</v>
      </c>
      <c r="AW192" s="453">
        <v>0</v>
      </c>
      <c r="AX192" s="453">
        <v>0</v>
      </c>
      <c r="AY192" s="453">
        <v>0</v>
      </c>
      <c r="AZ192" s="453">
        <v>0</v>
      </c>
      <c r="BA192" s="453">
        <v>0</v>
      </c>
      <c r="BB192" s="453">
        <v>0</v>
      </c>
      <c r="BC192" s="453">
        <v>0</v>
      </c>
      <c r="BD192" s="453">
        <v>0</v>
      </c>
      <c r="BE192" s="105">
        <v>0</v>
      </c>
      <c r="BF192" s="453">
        <v>0</v>
      </c>
      <c r="BG192" s="453">
        <v>0</v>
      </c>
      <c r="BH192" s="105">
        <v>0</v>
      </c>
      <c r="BI192" s="453">
        <v>0</v>
      </c>
      <c r="BJ192" s="453">
        <v>0</v>
      </c>
      <c r="BK192" s="105">
        <v>0</v>
      </c>
      <c r="BL192" s="453">
        <v>0</v>
      </c>
      <c r="BM192" s="453">
        <v>0</v>
      </c>
      <c r="BN192" s="453">
        <v>0</v>
      </c>
      <c r="BO192" s="453">
        <v>0</v>
      </c>
      <c r="BP192" s="453">
        <v>0</v>
      </c>
      <c r="BQ192" s="453">
        <v>0</v>
      </c>
      <c r="BR192" s="14">
        <v>0</v>
      </c>
      <c r="BS192" s="14">
        <v>0</v>
      </c>
      <c r="BT192" s="377" t="str">
        <v/>
      </c>
      <c r="BU192" s="105" t="str">
        <v/>
      </c>
      <c r="BV192" s="453" t="str">
        <v/>
      </c>
      <c r="BW192" s="105" t="str">
        <f ca="1"/>
        <v/>
      </c>
    </row>
    <row r="193" spans="1:75" x14ac:dyDescent="0.3">
      <c r="A193" s="1">
        <v>0</v>
      </c>
      <c r="B193" s="106">
        <v>0</v>
      </c>
      <c r="C193" s="14">
        <v>0</v>
      </c>
      <c r="D193" s="14">
        <v>0</v>
      </c>
      <c r="E193" s="14">
        <v>0</v>
      </c>
      <c r="F193" s="453">
        <v>0</v>
      </c>
      <c r="G193" s="377">
        <v>0</v>
      </c>
      <c r="H193" s="453">
        <v>0</v>
      </c>
      <c r="I193" s="453">
        <v>0</v>
      </c>
      <c r="J193" s="453">
        <v>0</v>
      </c>
      <c r="K193" s="453">
        <v>0</v>
      </c>
      <c r="L193" s="453">
        <v>0</v>
      </c>
      <c r="M193" s="453">
        <v>0</v>
      </c>
      <c r="N193" s="453">
        <v>0</v>
      </c>
      <c r="O193" s="453">
        <v>0</v>
      </c>
      <c r="P193" s="14">
        <v>0</v>
      </c>
      <c r="Q193" s="14">
        <v>0</v>
      </c>
      <c r="R193" s="453">
        <v>0</v>
      </c>
      <c r="S193" s="453">
        <v>0</v>
      </c>
      <c r="T193" s="453">
        <v>0</v>
      </c>
      <c r="U193" s="453">
        <v>0</v>
      </c>
      <c r="V193" s="453">
        <v>0</v>
      </c>
      <c r="W193" s="453">
        <v>0</v>
      </c>
      <c r="X193" s="453">
        <v>0</v>
      </c>
      <c r="Y193" s="453">
        <v>0</v>
      </c>
      <c r="Z193" s="453">
        <v>0</v>
      </c>
      <c r="AA193" s="14">
        <v>0</v>
      </c>
      <c r="AB193" s="14">
        <v>0</v>
      </c>
      <c r="AC193" s="453">
        <v>0</v>
      </c>
      <c r="AD193" s="14">
        <v>0</v>
      </c>
      <c r="AE193" s="14">
        <v>0</v>
      </c>
      <c r="AF193" s="14">
        <v>0</v>
      </c>
      <c r="AG193" s="14">
        <v>0</v>
      </c>
      <c r="AH193" s="14">
        <v>0</v>
      </c>
      <c r="AI193" s="14">
        <v>0</v>
      </c>
      <c r="AJ193" s="14">
        <v>0</v>
      </c>
      <c r="AK193" s="14">
        <v>0</v>
      </c>
      <c r="AL193" s="14">
        <v>0</v>
      </c>
      <c r="AM193" s="453">
        <v>0</v>
      </c>
      <c r="AN193" s="453">
        <v>0</v>
      </c>
      <c r="AO193" s="453">
        <v>0</v>
      </c>
      <c r="AP193" s="453">
        <v>0</v>
      </c>
      <c r="AQ193" s="453">
        <v>0</v>
      </c>
      <c r="AR193" s="453">
        <v>0</v>
      </c>
      <c r="AS193" s="453">
        <v>0</v>
      </c>
      <c r="AT193" s="453">
        <v>0</v>
      </c>
      <c r="AU193" s="453">
        <v>0</v>
      </c>
      <c r="AV193" s="453">
        <v>0</v>
      </c>
      <c r="AW193" s="453">
        <v>0</v>
      </c>
      <c r="AX193" s="453">
        <v>0</v>
      </c>
      <c r="AY193" s="453">
        <v>0</v>
      </c>
      <c r="AZ193" s="453">
        <v>0</v>
      </c>
      <c r="BA193" s="453">
        <v>0</v>
      </c>
      <c r="BB193" s="453">
        <v>0</v>
      </c>
      <c r="BC193" s="453">
        <v>0</v>
      </c>
      <c r="BD193" s="453">
        <v>0</v>
      </c>
      <c r="BE193" s="105">
        <v>0</v>
      </c>
      <c r="BF193" s="453">
        <v>0</v>
      </c>
      <c r="BG193" s="453">
        <v>0</v>
      </c>
      <c r="BH193" s="105">
        <v>0</v>
      </c>
      <c r="BI193" s="453">
        <v>0</v>
      </c>
      <c r="BJ193" s="453">
        <v>0</v>
      </c>
      <c r="BK193" s="105">
        <v>0</v>
      </c>
      <c r="BL193" s="453">
        <v>0</v>
      </c>
      <c r="BM193" s="453">
        <v>0</v>
      </c>
      <c r="BN193" s="453">
        <v>0</v>
      </c>
      <c r="BO193" s="453">
        <v>0</v>
      </c>
      <c r="BP193" s="453">
        <v>0</v>
      </c>
      <c r="BQ193" s="453">
        <v>0</v>
      </c>
      <c r="BR193" s="14">
        <v>0</v>
      </c>
      <c r="BS193" s="14">
        <v>0</v>
      </c>
      <c r="BT193" s="377" t="str">
        <v/>
      </c>
      <c r="BU193" s="105" t="str">
        <v/>
      </c>
      <c r="BV193" s="453" t="str">
        <v/>
      </c>
      <c r="BW193" s="105" t="str">
        <f ca="1"/>
        <v/>
      </c>
    </row>
    <row r="194" spans="1:75" x14ac:dyDescent="0.3">
      <c r="A194" s="1">
        <v>0</v>
      </c>
      <c r="B194" s="106">
        <v>0</v>
      </c>
      <c r="C194" s="14">
        <v>0</v>
      </c>
      <c r="D194" s="14">
        <v>0</v>
      </c>
      <c r="E194" s="14">
        <v>0</v>
      </c>
      <c r="F194" s="453">
        <v>0</v>
      </c>
      <c r="G194" s="377">
        <v>0</v>
      </c>
      <c r="H194" s="453">
        <v>0</v>
      </c>
      <c r="I194" s="453">
        <v>0</v>
      </c>
      <c r="J194" s="453">
        <v>0</v>
      </c>
      <c r="K194" s="453">
        <v>0</v>
      </c>
      <c r="L194" s="453">
        <v>0</v>
      </c>
      <c r="M194" s="453">
        <v>0</v>
      </c>
      <c r="N194" s="453">
        <v>0</v>
      </c>
      <c r="O194" s="453">
        <v>0</v>
      </c>
      <c r="P194" s="14">
        <v>0</v>
      </c>
      <c r="Q194" s="14">
        <v>0</v>
      </c>
      <c r="R194" s="453">
        <v>0</v>
      </c>
      <c r="S194" s="453">
        <v>0</v>
      </c>
      <c r="T194" s="453">
        <v>0</v>
      </c>
      <c r="U194" s="453">
        <v>0</v>
      </c>
      <c r="V194" s="453">
        <v>0</v>
      </c>
      <c r="W194" s="453">
        <v>0</v>
      </c>
      <c r="X194" s="453">
        <v>0</v>
      </c>
      <c r="Y194" s="453">
        <v>0</v>
      </c>
      <c r="Z194" s="453">
        <v>0</v>
      </c>
      <c r="AA194" s="14">
        <v>0</v>
      </c>
      <c r="AB194" s="14">
        <v>0</v>
      </c>
      <c r="AC194" s="453">
        <v>0</v>
      </c>
      <c r="AD194" s="14">
        <v>0</v>
      </c>
      <c r="AE194" s="14">
        <v>0</v>
      </c>
      <c r="AF194" s="14">
        <v>0</v>
      </c>
      <c r="AG194" s="14">
        <v>0</v>
      </c>
      <c r="AH194" s="14">
        <v>0</v>
      </c>
      <c r="AI194" s="14">
        <v>0</v>
      </c>
      <c r="AJ194" s="14">
        <v>0</v>
      </c>
      <c r="AK194" s="14">
        <v>0</v>
      </c>
      <c r="AL194" s="14">
        <v>0</v>
      </c>
      <c r="AM194" s="453">
        <v>0</v>
      </c>
      <c r="AN194" s="453">
        <v>0</v>
      </c>
      <c r="AO194" s="453">
        <v>0</v>
      </c>
      <c r="AP194" s="453">
        <v>0</v>
      </c>
      <c r="AQ194" s="453">
        <v>0</v>
      </c>
      <c r="AR194" s="453">
        <v>0</v>
      </c>
      <c r="AS194" s="453">
        <v>0</v>
      </c>
      <c r="AT194" s="453">
        <v>0</v>
      </c>
      <c r="AU194" s="453">
        <v>0</v>
      </c>
      <c r="AV194" s="453">
        <v>0</v>
      </c>
      <c r="AW194" s="453">
        <v>0</v>
      </c>
      <c r="AX194" s="453">
        <v>0</v>
      </c>
      <c r="AY194" s="453">
        <v>0</v>
      </c>
      <c r="AZ194" s="453">
        <v>0</v>
      </c>
      <c r="BA194" s="453">
        <v>0</v>
      </c>
      <c r="BB194" s="453">
        <v>0</v>
      </c>
      <c r="BC194" s="453">
        <v>0</v>
      </c>
      <c r="BD194" s="453">
        <v>0</v>
      </c>
      <c r="BE194" s="105">
        <v>0</v>
      </c>
      <c r="BF194" s="453">
        <v>0</v>
      </c>
      <c r="BG194" s="453">
        <v>0</v>
      </c>
      <c r="BH194" s="105">
        <v>0</v>
      </c>
      <c r="BI194" s="453">
        <v>0</v>
      </c>
      <c r="BJ194" s="453">
        <v>0</v>
      </c>
      <c r="BK194" s="105">
        <v>0</v>
      </c>
      <c r="BL194" s="453">
        <v>0</v>
      </c>
      <c r="BM194" s="453">
        <v>0</v>
      </c>
      <c r="BN194" s="453">
        <v>0</v>
      </c>
      <c r="BO194" s="453">
        <v>0</v>
      </c>
      <c r="BP194" s="453">
        <v>0</v>
      </c>
      <c r="BQ194" s="453">
        <v>0</v>
      </c>
      <c r="BR194" s="14">
        <v>0</v>
      </c>
      <c r="BS194" s="14">
        <v>0</v>
      </c>
      <c r="BT194" s="377" t="str">
        <v/>
      </c>
      <c r="BU194" s="105" t="str">
        <v/>
      </c>
      <c r="BV194" s="453" t="str">
        <v/>
      </c>
      <c r="BW194" s="105" t="str">
        <f ca="1"/>
        <v/>
      </c>
    </row>
    <row r="195" spans="1:75" x14ac:dyDescent="0.3">
      <c r="A195" s="1">
        <v>0</v>
      </c>
      <c r="B195" s="106">
        <v>0</v>
      </c>
      <c r="C195" s="14">
        <v>0</v>
      </c>
      <c r="D195" s="14">
        <v>0</v>
      </c>
      <c r="E195" s="14">
        <v>0</v>
      </c>
      <c r="F195" s="453">
        <v>0</v>
      </c>
      <c r="G195" s="377">
        <v>0</v>
      </c>
      <c r="H195" s="453">
        <v>0</v>
      </c>
      <c r="I195" s="453">
        <v>0</v>
      </c>
      <c r="J195" s="453">
        <v>0</v>
      </c>
      <c r="K195" s="453">
        <v>0</v>
      </c>
      <c r="L195" s="453">
        <v>0</v>
      </c>
      <c r="M195" s="453">
        <v>0</v>
      </c>
      <c r="N195" s="453">
        <v>0</v>
      </c>
      <c r="O195" s="453">
        <v>0</v>
      </c>
      <c r="P195" s="14">
        <v>0</v>
      </c>
      <c r="Q195" s="14">
        <v>0</v>
      </c>
      <c r="R195" s="453">
        <v>0</v>
      </c>
      <c r="S195" s="453">
        <v>0</v>
      </c>
      <c r="T195" s="453">
        <v>0</v>
      </c>
      <c r="U195" s="453">
        <v>0</v>
      </c>
      <c r="V195" s="453">
        <v>0</v>
      </c>
      <c r="W195" s="453">
        <v>0</v>
      </c>
      <c r="X195" s="453">
        <v>0</v>
      </c>
      <c r="Y195" s="453">
        <v>0</v>
      </c>
      <c r="Z195" s="453">
        <v>0</v>
      </c>
      <c r="AA195" s="14">
        <v>0</v>
      </c>
      <c r="AB195" s="14">
        <v>0</v>
      </c>
      <c r="AC195" s="453">
        <v>0</v>
      </c>
      <c r="AD195" s="14">
        <v>0</v>
      </c>
      <c r="AE195" s="14">
        <v>0</v>
      </c>
      <c r="AF195" s="14">
        <v>0</v>
      </c>
      <c r="AG195" s="14">
        <v>0</v>
      </c>
      <c r="AH195" s="14">
        <v>0</v>
      </c>
      <c r="AI195" s="14">
        <v>0</v>
      </c>
      <c r="AJ195" s="14">
        <v>0</v>
      </c>
      <c r="AK195" s="14">
        <v>0</v>
      </c>
      <c r="AL195" s="14">
        <v>0</v>
      </c>
      <c r="AM195" s="453">
        <v>0</v>
      </c>
      <c r="AN195" s="453">
        <v>0</v>
      </c>
      <c r="AO195" s="453">
        <v>0</v>
      </c>
      <c r="AP195" s="453">
        <v>0</v>
      </c>
      <c r="AQ195" s="453">
        <v>0</v>
      </c>
      <c r="AR195" s="453">
        <v>0</v>
      </c>
      <c r="AS195" s="453">
        <v>0</v>
      </c>
      <c r="AT195" s="453">
        <v>0</v>
      </c>
      <c r="AU195" s="453">
        <v>0</v>
      </c>
      <c r="AV195" s="453">
        <v>0</v>
      </c>
      <c r="AW195" s="453">
        <v>0</v>
      </c>
      <c r="AX195" s="453">
        <v>0</v>
      </c>
      <c r="AY195" s="453">
        <v>0</v>
      </c>
      <c r="AZ195" s="453">
        <v>0</v>
      </c>
      <c r="BA195" s="453">
        <v>0</v>
      </c>
      <c r="BB195" s="453">
        <v>0</v>
      </c>
      <c r="BC195" s="453">
        <v>0</v>
      </c>
      <c r="BD195" s="453">
        <v>0</v>
      </c>
      <c r="BE195" s="105">
        <v>0</v>
      </c>
      <c r="BF195" s="453">
        <v>0</v>
      </c>
      <c r="BG195" s="453">
        <v>0</v>
      </c>
      <c r="BH195" s="105">
        <v>0</v>
      </c>
      <c r="BI195" s="453">
        <v>0</v>
      </c>
      <c r="BJ195" s="453">
        <v>0</v>
      </c>
      <c r="BK195" s="105">
        <v>0</v>
      </c>
      <c r="BL195" s="453">
        <v>0</v>
      </c>
      <c r="BM195" s="453">
        <v>0</v>
      </c>
      <c r="BN195" s="453">
        <v>0</v>
      </c>
      <c r="BO195" s="453">
        <v>0</v>
      </c>
      <c r="BP195" s="453">
        <v>0</v>
      </c>
      <c r="BQ195" s="453">
        <v>0</v>
      </c>
      <c r="BR195" s="14">
        <v>0</v>
      </c>
      <c r="BS195" s="14">
        <v>0</v>
      </c>
      <c r="BT195" s="377" t="str">
        <v/>
      </c>
      <c r="BU195" s="105" t="str">
        <v/>
      </c>
      <c r="BV195" s="453" t="str">
        <v/>
      </c>
      <c r="BW195" s="105" t="str">
        <f ca="1"/>
        <v/>
      </c>
    </row>
    <row r="196" spans="1:75" x14ac:dyDescent="0.3">
      <c r="A196" s="1">
        <v>0</v>
      </c>
      <c r="B196" s="106">
        <v>0</v>
      </c>
      <c r="C196" s="14">
        <v>0</v>
      </c>
      <c r="D196" s="14">
        <v>0</v>
      </c>
      <c r="E196" s="14">
        <v>0</v>
      </c>
      <c r="F196" s="453">
        <v>0</v>
      </c>
      <c r="G196" s="377">
        <v>0</v>
      </c>
      <c r="H196" s="453">
        <v>0</v>
      </c>
      <c r="I196" s="453">
        <v>0</v>
      </c>
      <c r="J196" s="453">
        <v>0</v>
      </c>
      <c r="K196" s="453">
        <v>0</v>
      </c>
      <c r="L196" s="453">
        <v>0</v>
      </c>
      <c r="M196" s="453">
        <v>0</v>
      </c>
      <c r="N196" s="453">
        <v>0</v>
      </c>
      <c r="O196" s="453">
        <v>0</v>
      </c>
      <c r="P196" s="14">
        <v>0</v>
      </c>
      <c r="Q196" s="14">
        <v>0</v>
      </c>
      <c r="R196" s="453">
        <v>0</v>
      </c>
      <c r="S196" s="453">
        <v>0</v>
      </c>
      <c r="T196" s="453">
        <v>0</v>
      </c>
      <c r="U196" s="453">
        <v>0</v>
      </c>
      <c r="V196" s="453">
        <v>0</v>
      </c>
      <c r="W196" s="453">
        <v>0</v>
      </c>
      <c r="X196" s="453">
        <v>0</v>
      </c>
      <c r="Y196" s="453">
        <v>0</v>
      </c>
      <c r="Z196" s="453">
        <v>0</v>
      </c>
      <c r="AA196" s="14">
        <v>0</v>
      </c>
      <c r="AB196" s="14">
        <v>0</v>
      </c>
      <c r="AC196" s="453">
        <v>0</v>
      </c>
      <c r="AD196" s="14">
        <v>0</v>
      </c>
      <c r="AE196" s="14">
        <v>0</v>
      </c>
      <c r="AF196" s="14">
        <v>0</v>
      </c>
      <c r="AG196" s="14">
        <v>0</v>
      </c>
      <c r="AH196" s="14">
        <v>0</v>
      </c>
      <c r="AI196" s="14">
        <v>0</v>
      </c>
      <c r="AJ196" s="14">
        <v>0</v>
      </c>
      <c r="AK196" s="14">
        <v>0</v>
      </c>
      <c r="AL196" s="14">
        <v>0</v>
      </c>
      <c r="AM196" s="453">
        <v>0</v>
      </c>
      <c r="AN196" s="453">
        <v>0</v>
      </c>
      <c r="AO196" s="453">
        <v>0</v>
      </c>
      <c r="AP196" s="453">
        <v>0</v>
      </c>
      <c r="AQ196" s="453">
        <v>0</v>
      </c>
      <c r="AR196" s="453">
        <v>0</v>
      </c>
      <c r="AS196" s="453">
        <v>0</v>
      </c>
      <c r="AT196" s="453">
        <v>0</v>
      </c>
      <c r="AU196" s="453">
        <v>0</v>
      </c>
      <c r="AV196" s="453">
        <v>0</v>
      </c>
      <c r="AW196" s="453">
        <v>0</v>
      </c>
      <c r="AX196" s="453">
        <v>0</v>
      </c>
      <c r="AY196" s="453">
        <v>0</v>
      </c>
      <c r="AZ196" s="453">
        <v>0</v>
      </c>
      <c r="BA196" s="453">
        <v>0</v>
      </c>
      <c r="BB196" s="453">
        <v>0</v>
      </c>
      <c r="BC196" s="453">
        <v>0</v>
      </c>
      <c r="BD196" s="453">
        <v>0</v>
      </c>
      <c r="BE196" s="105">
        <v>0</v>
      </c>
      <c r="BF196" s="453">
        <v>0</v>
      </c>
      <c r="BG196" s="453">
        <v>0</v>
      </c>
      <c r="BH196" s="105">
        <v>0</v>
      </c>
      <c r="BI196" s="453">
        <v>0</v>
      </c>
      <c r="BJ196" s="453">
        <v>0</v>
      </c>
      <c r="BK196" s="105">
        <v>0</v>
      </c>
      <c r="BL196" s="453">
        <v>0</v>
      </c>
      <c r="BM196" s="453">
        <v>0</v>
      </c>
      <c r="BN196" s="453">
        <v>0</v>
      </c>
      <c r="BO196" s="453">
        <v>0</v>
      </c>
      <c r="BP196" s="453">
        <v>0</v>
      </c>
      <c r="BQ196" s="453">
        <v>0</v>
      </c>
      <c r="BR196" s="14">
        <v>0</v>
      </c>
      <c r="BS196" s="14">
        <v>0</v>
      </c>
      <c r="BT196" s="377" t="str">
        <v/>
      </c>
      <c r="BU196" s="105" t="str">
        <v/>
      </c>
      <c r="BV196" s="453" t="str">
        <v/>
      </c>
      <c r="BW196" s="105" t="str">
        <f ca="1"/>
        <v/>
      </c>
    </row>
    <row r="197" spans="1:75" x14ac:dyDescent="0.3">
      <c r="A197" s="1">
        <v>0</v>
      </c>
      <c r="B197" s="106">
        <v>0</v>
      </c>
      <c r="C197" s="14">
        <v>0</v>
      </c>
      <c r="D197" s="14">
        <v>0</v>
      </c>
      <c r="E197" s="14">
        <v>0</v>
      </c>
      <c r="F197" s="453">
        <v>0</v>
      </c>
      <c r="G197" s="377">
        <v>0</v>
      </c>
      <c r="H197" s="453">
        <v>0</v>
      </c>
      <c r="I197" s="453">
        <v>0</v>
      </c>
      <c r="J197" s="453">
        <v>0</v>
      </c>
      <c r="K197" s="453">
        <v>0</v>
      </c>
      <c r="L197" s="453">
        <v>0</v>
      </c>
      <c r="M197" s="453">
        <v>0</v>
      </c>
      <c r="N197" s="453">
        <v>0</v>
      </c>
      <c r="O197" s="453">
        <v>0</v>
      </c>
      <c r="P197" s="14">
        <v>0</v>
      </c>
      <c r="Q197" s="14">
        <v>0</v>
      </c>
      <c r="R197" s="453">
        <v>0</v>
      </c>
      <c r="S197" s="453">
        <v>0</v>
      </c>
      <c r="T197" s="453">
        <v>0</v>
      </c>
      <c r="U197" s="453">
        <v>0</v>
      </c>
      <c r="V197" s="453">
        <v>0</v>
      </c>
      <c r="W197" s="453">
        <v>0</v>
      </c>
      <c r="X197" s="453">
        <v>0</v>
      </c>
      <c r="Y197" s="453">
        <v>0</v>
      </c>
      <c r="Z197" s="453">
        <v>0</v>
      </c>
      <c r="AA197" s="14">
        <v>0</v>
      </c>
      <c r="AB197" s="14">
        <v>0</v>
      </c>
      <c r="AC197" s="453">
        <v>0</v>
      </c>
      <c r="AD197" s="14">
        <v>0</v>
      </c>
      <c r="AE197" s="14">
        <v>0</v>
      </c>
      <c r="AF197" s="14">
        <v>0</v>
      </c>
      <c r="AG197" s="14">
        <v>0</v>
      </c>
      <c r="AH197" s="14">
        <v>0</v>
      </c>
      <c r="AI197" s="14">
        <v>0</v>
      </c>
      <c r="AJ197" s="14">
        <v>0</v>
      </c>
      <c r="AK197" s="14">
        <v>0</v>
      </c>
      <c r="AL197" s="14">
        <v>0</v>
      </c>
      <c r="AM197" s="453">
        <v>0</v>
      </c>
      <c r="AN197" s="453">
        <v>0</v>
      </c>
      <c r="AO197" s="453">
        <v>0</v>
      </c>
      <c r="AP197" s="453">
        <v>0</v>
      </c>
      <c r="AQ197" s="453">
        <v>0</v>
      </c>
      <c r="AR197" s="453">
        <v>0</v>
      </c>
      <c r="AS197" s="453">
        <v>0</v>
      </c>
      <c r="AT197" s="453">
        <v>0</v>
      </c>
      <c r="AU197" s="453">
        <v>0</v>
      </c>
      <c r="AV197" s="453">
        <v>0</v>
      </c>
      <c r="AW197" s="453">
        <v>0</v>
      </c>
      <c r="AX197" s="453">
        <v>0</v>
      </c>
      <c r="AY197" s="453">
        <v>0</v>
      </c>
      <c r="AZ197" s="453">
        <v>0</v>
      </c>
      <c r="BA197" s="453">
        <v>0</v>
      </c>
      <c r="BB197" s="453">
        <v>0</v>
      </c>
      <c r="BC197" s="453">
        <v>0</v>
      </c>
      <c r="BD197" s="453">
        <v>0</v>
      </c>
      <c r="BE197" s="105">
        <v>0</v>
      </c>
      <c r="BF197" s="453">
        <v>0</v>
      </c>
      <c r="BG197" s="453">
        <v>0</v>
      </c>
      <c r="BH197" s="105">
        <v>0</v>
      </c>
      <c r="BI197" s="453">
        <v>0</v>
      </c>
      <c r="BJ197" s="453">
        <v>0</v>
      </c>
      <c r="BK197" s="105">
        <v>0</v>
      </c>
      <c r="BL197" s="453">
        <v>0</v>
      </c>
      <c r="BM197" s="453">
        <v>0</v>
      </c>
      <c r="BN197" s="453">
        <v>0</v>
      </c>
      <c r="BO197" s="453">
        <v>0</v>
      </c>
      <c r="BP197" s="453">
        <v>0</v>
      </c>
      <c r="BQ197" s="453">
        <v>0</v>
      </c>
      <c r="BR197" s="14">
        <v>0</v>
      </c>
      <c r="BS197" s="14">
        <v>0</v>
      </c>
      <c r="BT197" s="377" t="str">
        <v/>
      </c>
      <c r="BU197" s="105" t="str">
        <v/>
      </c>
      <c r="BV197" s="453" t="str">
        <v/>
      </c>
      <c r="BW197" s="105" t="str">
        <f ca="1"/>
        <v/>
      </c>
    </row>
    <row r="198" spans="1:75" x14ac:dyDescent="0.3">
      <c r="A198" s="1">
        <v>0</v>
      </c>
      <c r="B198" s="106">
        <v>0</v>
      </c>
      <c r="C198" s="14">
        <v>0</v>
      </c>
      <c r="D198" s="14">
        <v>0</v>
      </c>
      <c r="E198" s="14">
        <v>0</v>
      </c>
      <c r="F198" s="453">
        <v>0</v>
      </c>
      <c r="G198" s="377">
        <v>0</v>
      </c>
      <c r="H198" s="453">
        <v>0</v>
      </c>
      <c r="I198" s="453">
        <v>0</v>
      </c>
      <c r="J198" s="453">
        <v>0</v>
      </c>
      <c r="K198" s="453">
        <v>0</v>
      </c>
      <c r="L198" s="453">
        <v>0</v>
      </c>
      <c r="M198" s="453">
        <v>0</v>
      </c>
      <c r="N198" s="453">
        <v>0</v>
      </c>
      <c r="O198" s="453">
        <v>0</v>
      </c>
      <c r="P198" s="14">
        <v>0</v>
      </c>
      <c r="Q198" s="14">
        <v>0</v>
      </c>
      <c r="R198" s="453">
        <v>0</v>
      </c>
      <c r="S198" s="453">
        <v>0</v>
      </c>
      <c r="T198" s="453">
        <v>0</v>
      </c>
      <c r="U198" s="453">
        <v>0</v>
      </c>
      <c r="V198" s="453">
        <v>0</v>
      </c>
      <c r="W198" s="453">
        <v>0</v>
      </c>
      <c r="X198" s="453">
        <v>0</v>
      </c>
      <c r="Y198" s="453">
        <v>0</v>
      </c>
      <c r="Z198" s="453">
        <v>0</v>
      </c>
      <c r="AA198" s="14">
        <v>0</v>
      </c>
      <c r="AB198" s="14">
        <v>0</v>
      </c>
      <c r="AC198" s="453">
        <v>0</v>
      </c>
      <c r="AD198" s="14">
        <v>0</v>
      </c>
      <c r="AE198" s="14">
        <v>0</v>
      </c>
      <c r="AF198" s="14">
        <v>0</v>
      </c>
      <c r="AG198" s="14">
        <v>0</v>
      </c>
      <c r="AH198" s="14">
        <v>0</v>
      </c>
      <c r="AI198" s="14">
        <v>0</v>
      </c>
      <c r="AJ198" s="14">
        <v>0</v>
      </c>
      <c r="AK198" s="14">
        <v>0</v>
      </c>
      <c r="AL198" s="14">
        <v>0</v>
      </c>
      <c r="AM198" s="453">
        <v>0</v>
      </c>
      <c r="AN198" s="453">
        <v>0</v>
      </c>
      <c r="AO198" s="453">
        <v>0</v>
      </c>
      <c r="AP198" s="453">
        <v>0</v>
      </c>
      <c r="AQ198" s="453">
        <v>0</v>
      </c>
      <c r="AR198" s="453">
        <v>0</v>
      </c>
      <c r="AS198" s="453">
        <v>0</v>
      </c>
      <c r="AT198" s="453">
        <v>0</v>
      </c>
      <c r="AU198" s="453">
        <v>0</v>
      </c>
      <c r="AV198" s="453">
        <v>0</v>
      </c>
      <c r="AW198" s="453">
        <v>0</v>
      </c>
      <c r="AX198" s="453">
        <v>0</v>
      </c>
      <c r="AY198" s="453">
        <v>0</v>
      </c>
      <c r="AZ198" s="453">
        <v>0</v>
      </c>
      <c r="BA198" s="453">
        <v>0</v>
      </c>
      <c r="BB198" s="453">
        <v>0</v>
      </c>
      <c r="BC198" s="453">
        <v>0</v>
      </c>
      <c r="BD198" s="453">
        <v>0</v>
      </c>
      <c r="BE198" s="105">
        <v>0</v>
      </c>
      <c r="BF198" s="453">
        <v>0</v>
      </c>
      <c r="BG198" s="453">
        <v>0</v>
      </c>
      <c r="BH198" s="105">
        <v>0</v>
      </c>
      <c r="BI198" s="453">
        <v>0</v>
      </c>
      <c r="BJ198" s="453">
        <v>0</v>
      </c>
      <c r="BK198" s="105">
        <v>0</v>
      </c>
      <c r="BL198" s="453">
        <v>0</v>
      </c>
      <c r="BM198" s="453">
        <v>0</v>
      </c>
      <c r="BN198" s="453">
        <v>0</v>
      </c>
      <c r="BO198" s="453">
        <v>0</v>
      </c>
      <c r="BP198" s="453">
        <v>0</v>
      </c>
      <c r="BQ198" s="453">
        <v>0</v>
      </c>
      <c r="BR198" s="14">
        <v>0</v>
      </c>
      <c r="BS198" s="14">
        <v>0</v>
      </c>
      <c r="BT198" s="377" t="str">
        <v/>
      </c>
      <c r="BU198" s="105" t="str">
        <v/>
      </c>
      <c r="BV198" s="453" t="str">
        <v/>
      </c>
      <c r="BW198" s="105" t="str">
        <f ca="1"/>
        <v/>
      </c>
    </row>
    <row r="199" spans="1:75" x14ac:dyDescent="0.3">
      <c r="A199" s="1">
        <v>0</v>
      </c>
      <c r="B199" s="106">
        <v>0</v>
      </c>
      <c r="C199" s="14">
        <v>0</v>
      </c>
      <c r="D199" s="14">
        <v>0</v>
      </c>
      <c r="E199" s="14">
        <v>0</v>
      </c>
      <c r="F199" s="453">
        <v>0</v>
      </c>
      <c r="G199" s="377">
        <v>0</v>
      </c>
      <c r="H199" s="453">
        <v>0</v>
      </c>
      <c r="I199" s="453">
        <v>0</v>
      </c>
      <c r="J199" s="453">
        <v>0</v>
      </c>
      <c r="K199" s="453">
        <v>0</v>
      </c>
      <c r="L199" s="453">
        <v>0</v>
      </c>
      <c r="M199" s="453">
        <v>0</v>
      </c>
      <c r="N199" s="453">
        <v>0</v>
      </c>
      <c r="O199" s="453">
        <v>0</v>
      </c>
      <c r="P199" s="14">
        <v>0</v>
      </c>
      <c r="Q199" s="14">
        <v>0</v>
      </c>
      <c r="R199" s="453">
        <v>0</v>
      </c>
      <c r="S199" s="453">
        <v>0</v>
      </c>
      <c r="T199" s="453">
        <v>0</v>
      </c>
      <c r="U199" s="453">
        <v>0</v>
      </c>
      <c r="V199" s="453">
        <v>0</v>
      </c>
      <c r="W199" s="453">
        <v>0</v>
      </c>
      <c r="X199" s="453">
        <v>0</v>
      </c>
      <c r="Y199" s="453">
        <v>0</v>
      </c>
      <c r="Z199" s="453">
        <v>0</v>
      </c>
      <c r="AA199" s="14">
        <v>0</v>
      </c>
      <c r="AB199" s="14">
        <v>0</v>
      </c>
      <c r="AC199" s="453">
        <v>0</v>
      </c>
      <c r="AD199" s="14">
        <v>0</v>
      </c>
      <c r="AE199" s="14">
        <v>0</v>
      </c>
      <c r="AF199" s="14">
        <v>0</v>
      </c>
      <c r="AG199" s="14">
        <v>0</v>
      </c>
      <c r="AH199" s="14">
        <v>0</v>
      </c>
      <c r="AI199" s="14">
        <v>0</v>
      </c>
      <c r="AJ199" s="14">
        <v>0</v>
      </c>
      <c r="AK199" s="14">
        <v>0</v>
      </c>
      <c r="AL199" s="14">
        <v>0</v>
      </c>
      <c r="AM199" s="453">
        <v>0</v>
      </c>
      <c r="AN199" s="453">
        <v>0</v>
      </c>
      <c r="AO199" s="453">
        <v>0</v>
      </c>
      <c r="AP199" s="453">
        <v>0</v>
      </c>
      <c r="AQ199" s="453">
        <v>0</v>
      </c>
      <c r="AR199" s="453">
        <v>0</v>
      </c>
      <c r="AS199" s="453">
        <v>0</v>
      </c>
      <c r="AT199" s="453">
        <v>0</v>
      </c>
      <c r="AU199" s="453">
        <v>0</v>
      </c>
      <c r="AV199" s="453">
        <v>0</v>
      </c>
      <c r="AW199" s="453">
        <v>0</v>
      </c>
      <c r="AX199" s="453">
        <v>0</v>
      </c>
      <c r="AY199" s="453">
        <v>0</v>
      </c>
      <c r="AZ199" s="453">
        <v>0</v>
      </c>
      <c r="BA199" s="453">
        <v>0</v>
      </c>
      <c r="BB199" s="453">
        <v>0</v>
      </c>
      <c r="BC199" s="453">
        <v>0</v>
      </c>
      <c r="BD199" s="453">
        <v>0</v>
      </c>
      <c r="BE199" s="105">
        <v>0</v>
      </c>
      <c r="BF199" s="453">
        <v>0</v>
      </c>
      <c r="BG199" s="453">
        <v>0</v>
      </c>
      <c r="BH199" s="105">
        <v>0</v>
      </c>
      <c r="BI199" s="453">
        <v>0</v>
      </c>
      <c r="BJ199" s="453">
        <v>0</v>
      </c>
      <c r="BK199" s="105">
        <v>0</v>
      </c>
      <c r="BL199" s="453">
        <v>0</v>
      </c>
      <c r="BM199" s="453">
        <v>0</v>
      </c>
      <c r="BN199" s="453">
        <v>0</v>
      </c>
      <c r="BO199" s="453">
        <v>0</v>
      </c>
      <c r="BP199" s="453">
        <v>0</v>
      </c>
      <c r="BQ199" s="453">
        <v>0</v>
      </c>
      <c r="BR199" s="14">
        <v>0</v>
      </c>
      <c r="BS199" s="14">
        <v>0</v>
      </c>
      <c r="BT199" s="377" t="str">
        <v/>
      </c>
      <c r="BU199" s="105" t="str">
        <v/>
      </c>
      <c r="BV199" s="453" t="str">
        <v/>
      </c>
      <c r="BW199" s="105" t="str">
        <f ca="1"/>
        <v/>
      </c>
    </row>
    <row r="200" spans="1:75" x14ac:dyDescent="0.3">
      <c r="A200" s="1">
        <v>0</v>
      </c>
      <c r="B200" s="106">
        <v>0</v>
      </c>
      <c r="C200" s="14">
        <v>0</v>
      </c>
      <c r="D200" s="14">
        <v>0</v>
      </c>
      <c r="E200" s="14">
        <v>0</v>
      </c>
      <c r="F200" s="453">
        <v>0</v>
      </c>
      <c r="G200" s="377">
        <v>0</v>
      </c>
      <c r="H200" s="453">
        <v>0</v>
      </c>
      <c r="I200" s="453">
        <v>0</v>
      </c>
      <c r="J200" s="453">
        <v>0</v>
      </c>
      <c r="K200" s="453">
        <v>0</v>
      </c>
      <c r="L200" s="453">
        <v>0</v>
      </c>
      <c r="M200" s="453">
        <v>0</v>
      </c>
      <c r="N200" s="453">
        <v>0</v>
      </c>
      <c r="O200" s="453">
        <v>0</v>
      </c>
      <c r="P200" s="14">
        <v>0</v>
      </c>
      <c r="Q200" s="14">
        <v>0</v>
      </c>
      <c r="R200" s="453">
        <v>0</v>
      </c>
      <c r="S200" s="453">
        <v>0</v>
      </c>
      <c r="T200" s="453">
        <v>0</v>
      </c>
      <c r="U200" s="453">
        <v>0</v>
      </c>
      <c r="V200" s="453">
        <v>0</v>
      </c>
      <c r="W200" s="453">
        <v>0</v>
      </c>
      <c r="X200" s="453">
        <v>0</v>
      </c>
      <c r="Y200" s="453">
        <v>0</v>
      </c>
      <c r="Z200" s="453">
        <v>0</v>
      </c>
      <c r="AA200" s="14">
        <v>0</v>
      </c>
      <c r="AB200" s="14">
        <v>0</v>
      </c>
      <c r="AC200" s="453">
        <v>0</v>
      </c>
      <c r="AD200" s="14">
        <v>0</v>
      </c>
      <c r="AE200" s="14">
        <v>0</v>
      </c>
      <c r="AF200" s="14">
        <v>0</v>
      </c>
      <c r="AG200" s="14">
        <v>0</v>
      </c>
      <c r="AH200" s="14">
        <v>0</v>
      </c>
      <c r="AI200" s="14">
        <v>0</v>
      </c>
      <c r="AJ200" s="14">
        <v>0</v>
      </c>
      <c r="AK200" s="14">
        <v>0</v>
      </c>
      <c r="AL200" s="14">
        <v>0</v>
      </c>
      <c r="AM200" s="453">
        <v>0</v>
      </c>
      <c r="AN200" s="453">
        <v>0</v>
      </c>
      <c r="AO200" s="453">
        <v>0</v>
      </c>
      <c r="AP200" s="453">
        <v>0</v>
      </c>
      <c r="AQ200" s="453">
        <v>0</v>
      </c>
      <c r="AR200" s="453">
        <v>0</v>
      </c>
      <c r="AS200" s="453">
        <v>0</v>
      </c>
      <c r="AT200" s="453">
        <v>0</v>
      </c>
      <c r="AU200" s="453">
        <v>0</v>
      </c>
      <c r="AV200" s="453">
        <v>0</v>
      </c>
      <c r="AW200" s="453">
        <v>0</v>
      </c>
      <c r="AX200" s="453">
        <v>0</v>
      </c>
      <c r="AY200" s="453">
        <v>0</v>
      </c>
      <c r="AZ200" s="453">
        <v>0</v>
      </c>
      <c r="BA200" s="453">
        <v>0</v>
      </c>
      <c r="BB200" s="453">
        <v>0</v>
      </c>
      <c r="BC200" s="453">
        <v>0</v>
      </c>
      <c r="BD200" s="453">
        <v>0</v>
      </c>
      <c r="BE200" s="105">
        <v>0</v>
      </c>
      <c r="BF200" s="453">
        <v>0</v>
      </c>
      <c r="BG200" s="453">
        <v>0</v>
      </c>
      <c r="BH200" s="105">
        <v>0</v>
      </c>
      <c r="BI200" s="453">
        <v>0</v>
      </c>
      <c r="BJ200" s="453">
        <v>0</v>
      </c>
      <c r="BK200" s="105">
        <v>0</v>
      </c>
      <c r="BL200" s="453">
        <v>0</v>
      </c>
      <c r="BM200" s="453">
        <v>0</v>
      </c>
      <c r="BN200" s="453">
        <v>0</v>
      </c>
      <c r="BO200" s="453">
        <v>0</v>
      </c>
      <c r="BP200" s="453">
        <v>0</v>
      </c>
      <c r="BQ200" s="453">
        <v>0</v>
      </c>
      <c r="BR200" s="14">
        <v>0</v>
      </c>
      <c r="BS200" s="14">
        <v>0</v>
      </c>
      <c r="BT200" s="377" t="str">
        <v/>
      </c>
      <c r="BU200" s="105" t="str">
        <v/>
      </c>
      <c r="BV200" s="453" t="str">
        <v/>
      </c>
      <c r="BW200" s="105" t="str">
        <f ca="1"/>
        <v/>
      </c>
    </row>
    <row r="201" spans="1:75" x14ac:dyDescent="0.3">
      <c r="A201" s="1">
        <v>0</v>
      </c>
      <c r="B201" s="106">
        <v>0</v>
      </c>
      <c r="C201" s="14">
        <v>0</v>
      </c>
      <c r="D201" s="14">
        <v>0</v>
      </c>
      <c r="E201" s="14">
        <v>0</v>
      </c>
      <c r="F201" s="453">
        <v>0</v>
      </c>
      <c r="G201" s="377">
        <v>0</v>
      </c>
      <c r="H201" s="453">
        <v>0</v>
      </c>
      <c r="I201" s="453">
        <v>0</v>
      </c>
      <c r="J201" s="453">
        <v>0</v>
      </c>
      <c r="K201" s="453">
        <v>0</v>
      </c>
      <c r="L201" s="453">
        <v>0</v>
      </c>
      <c r="M201" s="453">
        <v>0</v>
      </c>
      <c r="N201" s="453">
        <v>0</v>
      </c>
      <c r="O201" s="453">
        <v>0</v>
      </c>
      <c r="P201" s="14">
        <v>0</v>
      </c>
      <c r="Q201" s="14">
        <v>0</v>
      </c>
      <c r="R201" s="453">
        <v>0</v>
      </c>
      <c r="S201" s="453">
        <v>0</v>
      </c>
      <c r="T201" s="453">
        <v>0</v>
      </c>
      <c r="U201" s="453">
        <v>0</v>
      </c>
      <c r="V201" s="453">
        <v>0</v>
      </c>
      <c r="W201" s="453">
        <v>0</v>
      </c>
      <c r="X201" s="453">
        <v>0</v>
      </c>
      <c r="Y201" s="453">
        <v>0</v>
      </c>
      <c r="Z201" s="453">
        <v>0</v>
      </c>
      <c r="AA201" s="14">
        <v>0</v>
      </c>
      <c r="AB201" s="14">
        <v>0</v>
      </c>
      <c r="AC201" s="453">
        <v>0</v>
      </c>
      <c r="AD201" s="14">
        <v>0</v>
      </c>
      <c r="AE201" s="14">
        <v>0</v>
      </c>
      <c r="AF201" s="14">
        <v>0</v>
      </c>
      <c r="AG201" s="14">
        <v>0</v>
      </c>
      <c r="AH201" s="14">
        <v>0</v>
      </c>
      <c r="AI201" s="14">
        <v>0</v>
      </c>
      <c r="AJ201" s="14">
        <v>0</v>
      </c>
      <c r="AK201" s="14">
        <v>0</v>
      </c>
      <c r="AL201" s="14">
        <v>0</v>
      </c>
      <c r="AM201" s="453">
        <v>0</v>
      </c>
      <c r="AN201" s="453">
        <v>0</v>
      </c>
      <c r="AO201" s="453">
        <v>0</v>
      </c>
      <c r="AP201" s="453">
        <v>0</v>
      </c>
      <c r="AQ201" s="453">
        <v>0</v>
      </c>
      <c r="AR201" s="453">
        <v>0</v>
      </c>
      <c r="AS201" s="453">
        <v>0</v>
      </c>
      <c r="AT201" s="453">
        <v>0</v>
      </c>
      <c r="AU201" s="453">
        <v>0</v>
      </c>
      <c r="AV201" s="453">
        <v>0</v>
      </c>
      <c r="AW201" s="453">
        <v>0</v>
      </c>
      <c r="AX201" s="453">
        <v>0</v>
      </c>
      <c r="AY201" s="453">
        <v>0</v>
      </c>
      <c r="AZ201" s="453">
        <v>0</v>
      </c>
      <c r="BA201" s="453">
        <v>0</v>
      </c>
      <c r="BB201" s="453">
        <v>0</v>
      </c>
      <c r="BC201" s="453">
        <v>0</v>
      </c>
      <c r="BD201" s="453">
        <v>0</v>
      </c>
      <c r="BE201" s="105">
        <v>0</v>
      </c>
      <c r="BF201" s="453">
        <v>0</v>
      </c>
      <c r="BG201" s="453">
        <v>0</v>
      </c>
      <c r="BH201" s="105">
        <v>0</v>
      </c>
      <c r="BI201" s="453">
        <v>0</v>
      </c>
      <c r="BJ201" s="453">
        <v>0</v>
      </c>
      <c r="BK201" s="105">
        <v>0</v>
      </c>
      <c r="BL201" s="453">
        <v>0</v>
      </c>
      <c r="BM201" s="453">
        <v>0</v>
      </c>
      <c r="BN201" s="453">
        <v>0</v>
      </c>
      <c r="BO201" s="453">
        <v>0</v>
      </c>
      <c r="BP201" s="453">
        <v>0</v>
      </c>
      <c r="BQ201" s="453">
        <v>0</v>
      </c>
      <c r="BR201" s="14">
        <v>0</v>
      </c>
      <c r="BS201" s="14">
        <v>0</v>
      </c>
      <c r="BT201" s="377" t="str">
        <v/>
      </c>
      <c r="BU201" s="105" t="str">
        <v/>
      </c>
      <c r="BV201" s="453" t="str">
        <v/>
      </c>
      <c r="BW201" s="105" t="str">
        <f ca="1"/>
        <v/>
      </c>
    </row>
    <row r="202" spans="1:75" x14ac:dyDescent="0.3">
      <c r="A202" s="1">
        <v>0</v>
      </c>
      <c r="B202" s="106">
        <v>0</v>
      </c>
      <c r="C202" s="14">
        <v>0</v>
      </c>
      <c r="D202" s="14">
        <v>0</v>
      </c>
      <c r="E202" s="14">
        <v>0</v>
      </c>
      <c r="F202" s="453">
        <v>0</v>
      </c>
      <c r="G202" s="377">
        <v>0</v>
      </c>
      <c r="H202" s="453">
        <v>0</v>
      </c>
      <c r="I202" s="453">
        <v>0</v>
      </c>
      <c r="J202" s="453">
        <v>0</v>
      </c>
      <c r="K202" s="453">
        <v>0</v>
      </c>
      <c r="L202" s="453">
        <v>0</v>
      </c>
      <c r="M202" s="453">
        <v>0</v>
      </c>
      <c r="N202" s="453">
        <v>0</v>
      </c>
      <c r="O202" s="453">
        <v>0</v>
      </c>
      <c r="P202" s="14">
        <v>0</v>
      </c>
      <c r="Q202" s="14">
        <v>0</v>
      </c>
      <c r="R202" s="453">
        <v>0</v>
      </c>
      <c r="S202" s="453">
        <v>0</v>
      </c>
      <c r="T202" s="453">
        <v>0</v>
      </c>
      <c r="U202" s="453">
        <v>0</v>
      </c>
      <c r="V202" s="453">
        <v>0</v>
      </c>
      <c r="W202" s="453">
        <v>0</v>
      </c>
      <c r="X202" s="453">
        <v>0</v>
      </c>
      <c r="Y202" s="453">
        <v>0</v>
      </c>
      <c r="Z202" s="453">
        <v>0</v>
      </c>
      <c r="AA202" s="14">
        <v>0</v>
      </c>
      <c r="AB202" s="14">
        <v>0</v>
      </c>
      <c r="AC202" s="453">
        <v>0</v>
      </c>
      <c r="AD202" s="14">
        <v>0</v>
      </c>
      <c r="AE202" s="14">
        <v>0</v>
      </c>
      <c r="AF202" s="14">
        <v>0</v>
      </c>
      <c r="AG202" s="14">
        <v>0</v>
      </c>
      <c r="AH202" s="14">
        <v>0</v>
      </c>
      <c r="AI202" s="14">
        <v>0</v>
      </c>
      <c r="AJ202" s="14">
        <v>0</v>
      </c>
      <c r="AK202" s="14">
        <v>0</v>
      </c>
      <c r="AL202" s="14">
        <v>0</v>
      </c>
      <c r="AM202" s="453">
        <v>0</v>
      </c>
      <c r="AN202" s="453">
        <v>0</v>
      </c>
      <c r="AO202" s="453">
        <v>0</v>
      </c>
      <c r="AP202" s="453">
        <v>0</v>
      </c>
      <c r="AQ202" s="453">
        <v>0</v>
      </c>
      <c r="AR202" s="453">
        <v>0</v>
      </c>
      <c r="AS202" s="453">
        <v>0</v>
      </c>
      <c r="AT202" s="453">
        <v>0</v>
      </c>
      <c r="AU202" s="453">
        <v>0</v>
      </c>
      <c r="AV202" s="453">
        <v>0</v>
      </c>
      <c r="AW202" s="453">
        <v>0</v>
      </c>
      <c r="AX202" s="453">
        <v>0</v>
      </c>
      <c r="AY202" s="453">
        <v>0</v>
      </c>
      <c r="AZ202" s="453">
        <v>0</v>
      </c>
      <c r="BA202" s="453">
        <v>0</v>
      </c>
      <c r="BB202" s="453">
        <v>0</v>
      </c>
      <c r="BC202" s="453">
        <v>0</v>
      </c>
      <c r="BD202" s="453">
        <v>0</v>
      </c>
      <c r="BE202" s="105">
        <v>0</v>
      </c>
      <c r="BF202" s="453">
        <v>0</v>
      </c>
      <c r="BG202" s="453">
        <v>0</v>
      </c>
      <c r="BH202" s="105">
        <v>0</v>
      </c>
      <c r="BI202" s="453">
        <v>0</v>
      </c>
      <c r="BJ202" s="453">
        <v>0</v>
      </c>
      <c r="BK202" s="105">
        <v>0</v>
      </c>
      <c r="BL202" s="453">
        <v>0</v>
      </c>
      <c r="BM202" s="453">
        <v>0</v>
      </c>
      <c r="BN202" s="453">
        <v>0</v>
      </c>
      <c r="BO202" s="453">
        <v>0</v>
      </c>
      <c r="BP202" s="453">
        <v>0</v>
      </c>
      <c r="BQ202" s="453">
        <v>0</v>
      </c>
      <c r="BR202" s="14">
        <v>0</v>
      </c>
      <c r="BS202" s="14">
        <v>0</v>
      </c>
      <c r="BT202" s="377" t="str">
        <v/>
      </c>
      <c r="BU202" s="105" t="str">
        <v/>
      </c>
      <c r="BV202" s="453" t="str">
        <v/>
      </c>
      <c r="BW202" s="105" t="str">
        <f ca="1"/>
        <v/>
      </c>
    </row>
    <row r="203" spans="1:75" x14ac:dyDescent="0.3">
      <c r="A203" s="1">
        <v>0</v>
      </c>
      <c r="B203" s="106">
        <v>0</v>
      </c>
      <c r="C203" s="14">
        <v>0</v>
      </c>
      <c r="D203" s="14">
        <v>0</v>
      </c>
      <c r="E203" s="14">
        <v>0</v>
      </c>
      <c r="F203" s="453">
        <v>0</v>
      </c>
      <c r="G203" s="377">
        <v>0</v>
      </c>
      <c r="H203" s="453">
        <v>0</v>
      </c>
      <c r="I203" s="453">
        <v>0</v>
      </c>
      <c r="J203" s="453">
        <v>0</v>
      </c>
      <c r="K203" s="453">
        <v>0</v>
      </c>
      <c r="L203" s="453">
        <v>0</v>
      </c>
      <c r="M203" s="453">
        <v>0</v>
      </c>
      <c r="N203" s="453">
        <v>0</v>
      </c>
      <c r="O203" s="453">
        <v>0</v>
      </c>
      <c r="P203" s="14">
        <v>0</v>
      </c>
      <c r="Q203" s="14">
        <v>0</v>
      </c>
      <c r="R203" s="453">
        <v>0</v>
      </c>
      <c r="S203" s="453">
        <v>0</v>
      </c>
      <c r="T203" s="453">
        <v>0</v>
      </c>
      <c r="U203" s="453">
        <v>0</v>
      </c>
      <c r="V203" s="453">
        <v>0</v>
      </c>
      <c r="W203" s="453">
        <v>0</v>
      </c>
      <c r="X203" s="453">
        <v>0</v>
      </c>
      <c r="Y203" s="453">
        <v>0</v>
      </c>
      <c r="Z203" s="453">
        <v>0</v>
      </c>
      <c r="AA203" s="14">
        <v>0</v>
      </c>
      <c r="AB203" s="14">
        <v>0</v>
      </c>
      <c r="AC203" s="453">
        <v>0</v>
      </c>
      <c r="AD203" s="14">
        <v>0</v>
      </c>
      <c r="AE203" s="14">
        <v>0</v>
      </c>
      <c r="AF203" s="14">
        <v>0</v>
      </c>
      <c r="AG203" s="14">
        <v>0</v>
      </c>
      <c r="AH203" s="14">
        <v>0</v>
      </c>
      <c r="AI203" s="14">
        <v>0</v>
      </c>
      <c r="AJ203" s="14">
        <v>0</v>
      </c>
      <c r="AK203" s="14">
        <v>0</v>
      </c>
      <c r="AL203" s="14">
        <v>0</v>
      </c>
      <c r="AM203" s="453">
        <v>0</v>
      </c>
      <c r="AN203" s="453">
        <v>0</v>
      </c>
      <c r="AO203" s="453">
        <v>0</v>
      </c>
      <c r="AP203" s="453">
        <v>0</v>
      </c>
      <c r="AQ203" s="453">
        <v>0</v>
      </c>
      <c r="AR203" s="453">
        <v>0</v>
      </c>
      <c r="AS203" s="453">
        <v>0</v>
      </c>
      <c r="AT203" s="453">
        <v>0</v>
      </c>
      <c r="AU203" s="453">
        <v>0</v>
      </c>
      <c r="AV203" s="453">
        <v>0</v>
      </c>
      <c r="AW203" s="453">
        <v>0</v>
      </c>
      <c r="AX203" s="453">
        <v>0</v>
      </c>
      <c r="AY203" s="453">
        <v>0</v>
      </c>
      <c r="AZ203" s="453">
        <v>0</v>
      </c>
      <c r="BA203" s="453">
        <v>0</v>
      </c>
      <c r="BB203" s="453">
        <v>0</v>
      </c>
      <c r="BC203" s="453">
        <v>0</v>
      </c>
      <c r="BD203" s="453">
        <v>0</v>
      </c>
      <c r="BE203" s="105">
        <v>0</v>
      </c>
      <c r="BF203" s="453">
        <v>0</v>
      </c>
      <c r="BG203" s="453">
        <v>0</v>
      </c>
      <c r="BH203" s="105">
        <v>0</v>
      </c>
      <c r="BI203" s="453">
        <v>0</v>
      </c>
      <c r="BJ203" s="453">
        <v>0</v>
      </c>
      <c r="BK203" s="105">
        <v>0</v>
      </c>
      <c r="BL203" s="453">
        <v>0</v>
      </c>
      <c r="BM203" s="453">
        <v>0</v>
      </c>
      <c r="BN203" s="453">
        <v>0</v>
      </c>
      <c r="BO203" s="453">
        <v>0</v>
      </c>
      <c r="BP203" s="453">
        <v>0</v>
      </c>
      <c r="BQ203" s="453">
        <v>0</v>
      </c>
      <c r="BR203" s="14">
        <v>0</v>
      </c>
      <c r="BS203" s="14">
        <v>0</v>
      </c>
      <c r="BT203" s="377" t="str">
        <v/>
      </c>
      <c r="BU203" s="105" t="str">
        <v/>
      </c>
      <c r="BV203" s="453" t="str">
        <v/>
      </c>
      <c r="BW203" s="105" t="str">
        <f ca="1"/>
        <v/>
      </c>
    </row>
    <row r="204" spans="1:75" x14ac:dyDescent="0.3">
      <c r="A204" s="1">
        <v>0</v>
      </c>
      <c r="B204" s="106">
        <v>0</v>
      </c>
      <c r="C204" s="14">
        <v>0</v>
      </c>
      <c r="D204" s="14">
        <v>0</v>
      </c>
      <c r="E204" s="14">
        <v>0</v>
      </c>
      <c r="F204" s="453">
        <v>0</v>
      </c>
      <c r="G204" s="377">
        <v>0</v>
      </c>
      <c r="H204" s="453">
        <v>0</v>
      </c>
      <c r="I204" s="453">
        <v>0</v>
      </c>
      <c r="J204" s="453">
        <v>0</v>
      </c>
      <c r="K204" s="453">
        <v>0</v>
      </c>
      <c r="L204" s="453">
        <v>0</v>
      </c>
      <c r="M204" s="453">
        <v>0</v>
      </c>
      <c r="N204" s="453">
        <v>0</v>
      </c>
      <c r="O204" s="453">
        <v>0</v>
      </c>
      <c r="P204" s="14">
        <v>0</v>
      </c>
      <c r="Q204" s="14">
        <v>0</v>
      </c>
      <c r="R204" s="453">
        <v>0</v>
      </c>
      <c r="S204" s="453">
        <v>0</v>
      </c>
      <c r="T204" s="453">
        <v>0</v>
      </c>
      <c r="U204" s="453">
        <v>0</v>
      </c>
      <c r="V204" s="453">
        <v>0</v>
      </c>
      <c r="W204" s="453">
        <v>0</v>
      </c>
      <c r="X204" s="453">
        <v>0</v>
      </c>
      <c r="Y204" s="453">
        <v>0</v>
      </c>
      <c r="Z204" s="453">
        <v>0</v>
      </c>
      <c r="AA204" s="14">
        <v>0</v>
      </c>
      <c r="AB204" s="14">
        <v>0</v>
      </c>
      <c r="AC204" s="453">
        <v>0</v>
      </c>
      <c r="AD204" s="14">
        <v>0</v>
      </c>
      <c r="AE204" s="14">
        <v>0</v>
      </c>
      <c r="AF204" s="14">
        <v>0</v>
      </c>
      <c r="AG204" s="14">
        <v>0</v>
      </c>
      <c r="AH204" s="14">
        <v>0</v>
      </c>
      <c r="AI204" s="14">
        <v>0</v>
      </c>
      <c r="AJ204" s="14">
        <v>0</v>
      </c>
      <c r="AK204" s="14">
        <v>0</v>
      </c>
      <c r="AL204" s="14">
        <v>0</v>
      </c>
      <c r="AM204" s="453">
        <v>0</v>
      </c>
      <c r="AN204" s="453">
        <v>0</v>
      </c>
      <c r="AO204" s="453">
        <v>0</v>
      </c>
      <c r="AP204" s="453">
        <v>0</v>
      </c>
      <c r="AQ204" s="453">
        <v>0</v>
      </c>
      <c r="AR204" s="453">
        <v>0</v>
      </c>
      <c r="AS204" s="453">
        <v>0</v>
      </c>
      <c r="AT204" s="453">
        <v>0</v>
      </c>
      <c r="AU204" s="453">
        <v>0</v>
      </c>
      <c r="AV204" s="453">
        <v>0</v>
      </c>
      <c r="AW204" s="453">
        <v>0</v>
      </c>
      <c r="AX204" s="453">
        <v>0</v>
      </c>
      <c r="AY204" s="453">
        <v>0</v>
      </c>
      <c r="AZ204" s="453">
        <v>0</v>
      </c>
      <c r="BA204" s="453">
        <v>0</v>
      </c>
      <c r="BB204" s="453">
        <v>0</v>
      </c>
      <c r="BC204" s="453">
        <v>0</v>
      </c>
      <c r="BD204" s="453">
        <v>0</v>
      </c>
      <c r="BE204" s="105">
        <v>0</v>
      </c>
      <c r="BF204" s="453">
        <v>0</v>
      </c>
      <c r="BG204" s="453">
        <v>0</v>
      </c>
      <c r="BH204" s="105">
        <v>0</v>
      </c>
      <c r="BI204" s="453">
        <v>0</v>
      </c>
      <c r="BJ204" s="453">
        <v>0</v>
      </c>
      <c r="BK204" s="105">
        <v>0</v>
      </c>
      <c r="BL204" s="453">
        <v>0</v>
      </c>
      <c r="BM204" s="453">
        <v>0</v>
      </c>
      <c r="BN204" s="453">
        <v>0</v>
      </c>
      <c r="BO204" s="453">
        <v>0</v>
      </c>
      <c r="BP204" s="453">
        <v>0</v>
      </c>
      <c r="BQ204" s="453">
        <v>0</v>
      </c>
      <c r="BR204" s="14">
        <v>0</v>
      </c>
      <c r="BS204" s="14">
        <v>0</v>
      </c>
      <c r="BT204" s="377" t="str">
        <v/>
      </c>
      <c r="BU204" s="105" t="str">
        <v/>
      </c>
      <c r="BV204" s="453" t="str">
        <v/>
      </c>
      <c r="BW204" s="105" t="str">
        <f ca="1"/>
        <v/>
      </c>
    </row>
    <row r="205" spans="1:75" x14ac:dyDescent="0.3">
      <c r="A205" s="1">
        <v>0</v>
      </c>
      <c r="B205" s="106">
        <v>0</v>
      </c>
      <c r="C205" s="14">
        <v>0</v>
      </c>
      <c r="D205" s="14">
        <v>0</v>
      </c>
      <c r="E205" s="14">
        <v>0</v>
      </c>
      <c r="F205" s="453">
        <v>0</v>
      </c>
      <c r="G205" s="377">
        <v>0</v>
      </c>
      <c r="H205" s="453">
        <v>0</v>
      </c>
      <c r="I205" s="453">
        <v>0</v>
      </c>
      <c r="J205" s="453">
        <v>0</v>
      </c>
      <c r="K205" s="453">
        <v>0</v>
      </c>
      <c r="L205" s="453">
        <v>0</v>
      </c>
      <c r="M205" s="453">
        <v>0</v>
      </c>
      <c r="N205" s="453">
        <v>0</v>
      </c>
      <c r="O205" s="453">
        <v>0</v>
      </c>
      <c r="P205" s="14">
        <v>0</v>
      </c>
      <c r="Q205" s="14">
        <v>0</v>
      </c>
      <c r="R205" s="453">
        <v>0</v>
      </c>
      <c r="S205" s="453">
        <v>0</v>
      </c>
      <c r="T205" s="453">
        <v>0</v>
      </c>
      <c r="U205" s="453">
        <v>0</v>
      </c>
      <c r="V205" s="453">
        <v>0</v>
      </c>
      <c r="W205" s="453">
        <v>0</v>
      </c>
      <c r="X205" s="453">
        <v>0</v>
      </c>
      <c r="Y205" s="453">
        <v>0</v>
      </c>
      <c r="Z205" s="453">
        <v>0</v>
      </c>
      <c r="AA205" s="14">
        <v>0</v>
      </c>
      <c r="AB205" s="14">
        <v>0</v>
      </c>
      <c r="AC205" s="453">
        <v>0</v>
      </c>
      <c r="AD205" s="14">
        <v>0</v>
      </c>
      <c r="AE205" s="14">
        <v>0</v>
      </c>
      <c r="AF205" s="14">
        <v>0</v>
      </c>
      <c r="AG205" s="14">
        <v>0</v>
      </c>
      <c r="AH205" s="14">
        <v>0</v>
      </c>
      <c r="AI205" s="14">
        <v>0</v>
      </c>
      <c r="AJ205" s="14">
        <v>0</v>
      </c>
      <c r="AK205" s="14">
        <v>0</v>
      </c>
      <c r="AL205" s="14">
        <v>0</v>
      </c>
      <c r="AM205" s="453">
        <v>0</v>
      </c>
      <c r="AN205" s="453">
        <v>0</v>
      </c>
      <c r="AO205" s="453">
        <v>0</v>
      </c>
      <c r="AP205" s="453">
        <v>0</v>
      </c>
      <c r="AQ205" s="453">
        <v>0</v>
      </c>
      <c r="AR205" s="453">
        <v>0</v>
      </c>
      <c r="AS205" s="453">
        <v>0</v>
      </c>
      <c r="AT205" s="453">
        <v>0</v>
      </c>
      <c r="AU205" s="453">
        <v>0</v>
      </c>
      <c r="AV205" s="453">
        <v>0</v>
      </c>
      <c r="AW205" s="453">
        <v>0</v>
      </c>
      <c r="AX205" s="453">
        <v>0</v>
      </c>
      <c r="AY205" s="453">
        <v>0</v>
      </c>
      <c r="AZ205" s="453">
        <v>0</v>
      </c>
      <c r="BA205" s="453">
        <v>0</v>
      </c>
      <c r="BB205" s="453">
        <v>0</v>
      </c>
      <c r="BC205" s="453">
        <v>0</v>
      </c>
      <c r="BD205" s="453">
        <v>0</v>
      </c>
      <c r="BE205" s="105">
        <v>0</v>
      </c>
      <c r="BF205" s="453">
        <v>0</v>
      </c>
      <c r="BG205" s="453">
        <v>0</v>
      </c>
      <c r="BH205" s="105">
        <v>0</v>
      </c>
      <c r="BI205" s="453">
        <v>0</v>
      </c>
      <c r="BJ205" s="453">
        <v>0</v>
      </c>
      <c r="BK205" s="105">
        <v>0</v>
      </c>
      <c r="BL205" s="453">
        <v>0</v>
      </c>
      <c r="BM205" s="453">
        <v>0</v>
      </c>
      <c r="BN205" s="453">
        <v>0</v>
      </c>
      <c r="BO205" s="453">
        <v>0</v>
      </c>
      <c r="BP205" s="453">
        <v>0</v>
      </c>
      <c r="BQ205" s="453">
        <v>0</v>
      </c>
      <c r="BR205" s="14">
        <v>0</v>
      </c>
      <c r="BS205" s="14">
        <v>0</v>
      </c>
      <c r="BT205" s="377" t="str">
        <v/>
      </c>
      <c r="BU205" s="105" t="str">
        <v/>
      </c>
      <c r="BV205" s="453" t="str">
        <v/>
      </c>
      <c r="BW205" s="105" t="str">
        <f ca="1"/>
        <v/>
      </c>
    </row>
    <row r="206" spans="1:75" x14ac:dyDescent="0.3">
      <c r="A206" s="1">
        <v>0</v>
      </c>
      <c r="B206" s="106">
        <v>0</v>
      </c>
      <c r="C206" s="14">
        <v>0</v>
      </c>
      <c r="D206" s="14">
        <v>0</v>
      </c>
      <c r="E206" s="14">
        <v>0</v>
      </c>
      <c r="F206" s="453">
        <v>0</v>
      </c>
      <c r="G206" s="377">
        <v>0</v>
      </c>
      <c r="H206" s="453">
        <v>0</v>
      </c>
      <c r="I206" s="453">
        <v>0</v>
      </c>
      <c r="J206" s="453">
        <v>0</v>
      </c>
      <c r="K206" s="453">
        <v>0</v>
      </c>
      <c r="L206" s="453">
        <v>0</v>
      </c>
      <c r="M206" s="453">
        <v>0</v>
      </c>
      <c r="N206" s="453">
        <v>0</v>
      </c>
      <c r="O206" s="453">
        <v>0</v>
      </c>
      <c r="P206" s="14">
        <v>0</v>
      </c>
      <c r="Q206" s="14">
        <v>0</v>
      </c>
      <c r="R206" s="453">
        <v>0</v>
      </c>
      <c r="S206" s="453">
        <v>0</v>
      </c>
      <c r="T206" s="453">
        <v>0</v>
      </c>
      <c r="U206" s="453">
        <v>0</v>
      </c>
      <c r="V206" s="453">
        <v>0</v>
      </c>
      <c r="W206" s="453">
        <v>0</v>
      </c>
      <c r="X206" s="453">
        <v>0</v>
      </c>
      <c r="Y206" s="453">
        <v>0</v>
      </c>
      <c r="Z206" s="453">
        <v>0</v>
      </c>
      <c r="AA206" s="14">
        <v>0</v>
      </c>
      <c r="AB206" s="14">
        <v>0</v>
      </c>
      <c r="AC206" s="453">
        <v>0</v>
      </c>
      <c r="AD206" s="14">
        <v>0</v>
      </c>
      <c r="AE206" s="14">
        <v>0</v>
      </c>
      <c r="AF206" s="14">
        <v>0</v>
      </c>
      <c r="AG206" s="14">
        <v>0</v>
      </c>
      <c r="AH206" s="14">
        <v>0</v>
      </c>
      <c r="AI206" s="14">
        <v>0</v>
      </c>
      <c r="AJ206" s="14">
        <v>0</v>
      </c>
      <c r="AK206" s="14">
        <v>0</v>
      </c>
      <c r="AL206" s="14">
        <v>0</v>
      </c>
      <c r="AM206" s="453">
        <v>0</v>
      </c>
      <c r="AN206" s="453">
        <v>0</v>
      </c>
      <c r="AO206" s="453">
        <v>0</v>
      </c>
      <c r="AP206" s="453">
        <v>0</v>
      </c>
      <c r="AQ206" s="453">
        <v>0</v>
      </c>
      <c r="AR206" s="453">
        <v>0</v>
      </c>
      <c r="AS206" s="453">
        <v>0</v>
      </c>
      <c r="AT206" s="453">
        <v>0</v>
      </c>
      <c r="AU206" s="453">
        <v>0</v>
      </c>
      <c r="AV206" s="453">
        <v>0</v>
      </c>
      <c r="AW206" s="453">
        <v>0</v>
      </c>
      <c r="AX206" s="453">
        <v>0</v>
      </c>
      <c r="AY206" s="453">
        <v>0</v>
      </c>
      <c r="AZ206" s="453">
        <v>0</v>
      </c>
      <c r="BA206" s="453">
        <v>0</v>
      </c>
      <c r="BB206" s="453">
        <v>0</v>
      </c>
      <c r="BC206" s="453">
        <v>0</v>
      </c>
      <c r="BD206" s="453">
        <v>0</v>
      </c>
      <c r="BE206" s="105">
        <v>0</v>
      </c>
      <c r="BF206" s="453">
        <v>0</v>
      </c>
      <c r="BG206" s="453">
        <v>0</v>
      </c>
      <c r="BH206" s="105">
        <v>0</v>
      </c>
      <c r="BI206" s="453">
        <v>0</v>
      </c>
      <c r="BJ206" s="453">
        <v>0</v>
      </c>
      <c r="BK206" s="105">
        <v>0</v>
      </c>
      <c r="BL206" s="453">
        <v>0</v>
      </c>
      <c r="BM206" s="453">
        <v>0</v>
      </c>
      <c r="BN206" s="453">
        <v>0</v>
      </c>
      <c r="BO206" s="453">
        <v>0</v>
      </c>
      <c r="BP206" s="453">
        <v>0</v>
      </c>
      <c r="BQ206" s="453">
        <v>0</v>
      </c>
      <c r="BR206" s="14">
        <v>0</v>
      </c>
      <c r="BS206" s="14">
        <v>0</v>
      </c>
      <c r="BT206" s="377" t="str">
        <v/>
      </c>
      <c r="BU206" s="105" t="str">
        <v/>
      </c>
      <c r="BV206" s="453" t="str">
        <v/>
      </c>
      <c r="BW206" s="105" t="str">
        <f ca="1"/>
        <v/>
      </c>
    </row>
    <row r="207" spans="1:75" x14ac:dyDescent="0.3">
      <c r="A207" s="1">
        <v>0</v>
      </c>
      <c r="B207" s="106">
        <v>0</v>
      </c>
      <c r="C207" s="14">
        <v>0</v>
      </c>
      <c r="D207" s="14">
        <v>0</v>
      </c>
      <c r="E207" s="14">
        <v>0</v>
      </c>
      <c r="F207" s="453">
        <v>0</v>
      </c>
      <c r="G207" s="377">
        <v>0</v>
      </c>
      <c r="H207" s="453">
        <v>0</v>
      </c>
      <c r="I207" s="453">
        <v>0</v>
      </c>
      <c r="J207" s="453">
        <v>0</v>
      </c>
      <c r="K207" s="453">
        <v>0</v>
      </c>
      <c r="L207" s="453">
        <v>0</v>
      </c>
      <c r="M207" s="453">
        <v>0</v>
      </c>
      <c r="N207" s="453">
        <v>0</v>
      </c>
      <c r="O207" s="453">
        <v>0</v>
      </c>
      <c r="P207" s="14">
        <v>0</v>
      </c>
      <c r="Q207" s="14">
        <v>0</v>
      </c>
      <c r="R207" s="453">
        <v>0</v>
      </c>
      <c r="S207" s="453">
        <v>0</v>
      </c>
      <c r="T207" s="453">
        <v>0</v>
      </c>
      <c r="U207" s="453">
        <v>0</v>
      </c>
      <c r="V207" s="453">
        <v>0</v>
      </c>
      <c r="W207" s="453">
        <v>0</v>
      </c>
      <c r="X207" s="453">
        <v>0</v>
      </c>
      <c r="Y207" s="453">
        <v>0</v>
      </c>
      <c r="Z207" s="453">
        <v>0</v>
      </c>
      <c r="AA207" s="14">
        <v>0</v>
      </c>
      <c r="AB207" s="14">
        <v>0</v>
      </c>
      <c r="AC207" s="453">
        <v>0</v>
      </c>
      <c r="AD207" s="14">
        <v>0</v>
      </c>
      <c r="AE207" s="14">
        <v>0</v>
      </c>
      <c r="AF207" s="14">
        <v>0</v>
      </c>
      <c r="AG207" s="14">
        <v>0</v>
      </c>
      <c r="AH207" s="14">
        <v>0</v>
      </c>
      <c r="AI207" s="14">
        <v>0</v>
      </c>
      <c r="AJ207" s="14">
        <v>0</v>
      </c>
      <c r="AK207" s="14">
        <v>0</v>
      </c>
      <c r="AL207" s="14">
        <v>0</v>
      </c>
      <c r="AM207" s="453">
        <v>0</v>
      </c>
      <c r="AN207" s="453">
        <v>0</v>
      </c>
      <c r="AO207" s="453">
        <v>0</v>
      </c>
      <c r="AP207" s="453">
        <v>0</v>
      </c>
      <c r="AQ207" s="453">
        <v>0</v>
      </c>
      <c r="AR207" s="453">
        <v>0</v>
      </c>
      <c r="AS207" s="453">
        <v>0</v>
      </c>
      <c r="AT207" s="453">
        <v>0</v>
      </c>
      <c r="AU207" s="453">
        <v>0</v>
      </c>
      <c r="AV207" s="453">
        <v>0</v>
      </c>
      <c r="AW207" s="453">
        <v>0</v>
      </c>
      <c r="AX207" s="453">
        <v>0</v>
      </c>
      <c r="AY207" s="453">
        <v>0</v>
      </c>
      <c r="AZ207" s="453">
        <v>0</v>
      </c>
      <c r="BA207" s="453">
        <v>0</v>
      </c>
      <c r="BB207" s="453">
        <v>0</v>
      </c>
      <c r="BC207" s="453">
        <v>0</v>
      </c>
      <c r="BD207" s="453">
        <v>0</v>
      </c>
      <c r="BE207" s="105">
        <v>0</v>
      </c>
      <c r="BF207" s="453">
        <v>0</v>
      </c>
      <c r="BG207" s="453">
        <v>0</v>
      </c>
      <c r="BH207" s="105">
        <v>0</v>
      </c>
      <c r="BI207" s="453">
        <v>0</v>
      </c>
      <c r="BJ207" s="453">
        <v>0</v>
      </c>
      <c r="BK207" s="105">
        <v>0</v>
      </c>
      <c r="BL207" s="453">
        <v>0</v>
      </c>
      <c r="BM207" s="453">
        <v>0</v>
      </c>
      <c r="BN207" s="453">
        <v>0</v>
      </c>
      <c r="BO207" s="453">
        <v>0</v>
      </c>
      <c r="BP207" s="453">
        <v>0</v>
      </c>
      <c r="BQ207" s="453">
        <v>0</v>
      </c>
      <c r="BR207" s="14">
        <v>0</v>
      </c>
      <c r="BS207" s="14">
        <v>0</v>
      </c>
      <c r="BT207" s="377" t="str">
        <v/>
      </c>
      <c r="BU207" s="105" t="str">
        <v/>
      </c>
      <c r="BV207" s="453" t="str">
        <v/>
      </c>
      <c r="BW207" s="105" t="str">
        <f ca="1"/>
        <v/>
      </c>
    </row>
    <row r="208" spans="1:75" x14ac:dyDescent="0.3">
      <c r="A208" s="1">
        <v>0</v>
      </c>
      <c r="B208" s="106">
        <v>0</v>
      </c>
      <c r="C208" s="14">
        <v>0</v>
      </c>
      <c r="D208" s="14">
        <v>0</v>
      </c>
      <c r="E208" s="14">
        <v>0</v>
      </c>
      <c r="F208" s="453">
        <v>0</v>
      </c>
      <c r="G208" s="377">
        <v>0</v>
      </c>
      <c r="H208" s="453">
        <v>0</v>
      </c>
      <c r="I208" s="453">
        <v>0</v>
      </c>
      <c r="J208" s="453">
        <v>0</v>
      </c>
      <c r="K208" s="453">
        <v>0</v>
      </c>
      <c r="L208" s="453">
        <v>0</v>
      </c>
      <c r="M208" s="453">
        <v>0</v>
      </c>
      <c r="N208" s="453">
        <v>0</v>
      </c>
      <c r="O208" s="453">
        <v>0</v>
      </c>
      <c r="P208" s="14">
        <v>0</v>
      </c>
      <c r="Q208" s="14">
        <v>0</v>
      </c>
      <c r="R208" s="453">
        <v>0</v>
      </c>
      <c r="S208" s="453">
        <v>0</v>
      </c>
      <c r="T208" s="453">
        <v>0</v>
      </c>
      <c r="U208" s="453">
        <v>0</v>
      </c>
      <c r="V208" s="453">
        <v>0</v>
      </c>
      <c r="W208" s="453">
        <v>0</v>
      </c>
      <c r="X208" s="453">
        <v>0</v>
      </c>
      <c r="Y208" s="453">
        <v>0</v>
      </c>
      <c r="Z208" s="453">
        <v>0</v>
      </c>
      <c r="AA208" s="14">
        <v>0</v>
      </c>
      <c r="AB208" s="14">
        <v>0</v>
      </c>
      <c r="AC208" s="453">
        <v>0</v>
      </c>
      <c r="AD208" s="14">
        <v>0</v>
      </c>
      <c r="AE208" s="14">
        <v>0</v>
      </c>
      <c r="AF208" s="14">
        <v>0</v>
      </c>
      <c r="AG208" s="14">
        <v>0</v>
      </c>
      <c r="AH208" s="14">
        <v>0</v>
      </c>
      <c r="AI208" s="14">
        <v>0</v>
      </c>
      <c r="AJ208" s="14">
        <v>0</v>
      </c>
      <c r="AK208" s="14">
        <v>0</v>
      </c>
      <c r="AL208" s="14">
        <v>0</v>
      </c>
      <c r="AM208" s="453">
        <v>0</v>
      </c>
      <c r="AN208" s="453">
        <v>0</v>
      </c>
      <c r="AO208" s="453">
        <v>0</v>
      </c>
      <c r="AP208" s="453">
        <v>0</v>
      </c>
      <c r="AQ208" s="453">
        <v>0</v>
      </c>
      <c r="AR208" s="453">
        <v>0</v>
      </c>
      <c r="AS208" s="453">
        <v>0</v>
      </c>
      <c r="AT208" s="453">
        <v>0</v>
      </c>
      <c r="AU208" s="453">
        <v>0</v>
      </c>
      <c r="AV208" s="453">
        <v>0</v>
      </c>
      <c r="AW208" s="453">
        <v>0</v>
      </c>
      <c r="AX208" s="453">
        <v>0</v>
      </c>
      <c r="AY208" s="453">
        <v>0</v>
      </c>
      <c r="AZ208" s="453">
        <v>0</v>
      </c>
      <c r="BA208" s="453">
        <v>0</v>
      </c>
      <c r="BB208" s="453">
        <v>0</v>
      </c>
      <c r="BC208" s="453">
        <v>0</v>
      </c>
      <c r="BD208" s="453">
        <v>0</v>
      </c>
      <c r="BE208" s="105">
        <v>0</v>
      </c>
      <c r="BF208" s="453">
        <v>0</v>
      </c>
      <c r="BG208" s="453">
        <v>0</v>
      </c>
      <c r="BH208" s="105">
        <v>0</v>
      </c>
      <c r="BI208" s="453">
        <v>0</v>
      </c>
      <c r="BJ208" s="453">
        <v>0</v>
      </c>
      <c r="BK208" s="105">
        <v>0</v>
      </c>
      <c r="BL208" s="453">
        <v>0</v>
      </c>
      <c r="BM208" s="453">
        <v>0</v>
      </c>
      <c r="BN208" s="453">
        <v>0</v>
      </c>
      <c r="BO208" s="453">
        <v>0</v>
      </c>
      <c r="BP208" s="453">
        <v>0</v>
      </c>
      <c r="BQ208" s="453">
        <v>0</v>
      </c>
      <c r="BR208" s="14">
        <v>0</v>
      </c>
      <c r="BS208" s="14">
        <v>0</v>
      </c>
      <c r="BT208" s="377" t="str">
        <v/>
      </c>
      <c r="BU208" s="105" t="str">
        <v/>
      </c>
      <c r="BV208" s="453" t="str">
        <v/>
      </c>
      <c r="BW208" s="105" t="str">
        <f ca="1"/>
        <v/>
      </c>
    </row>
    <row r="209" spans="1:75" x14ac:dyDescent="0.3">
      <c r="A209" s="1">
        <v>0</v>
      </c>
      <c r="B209" s="106">
        <v>0</v>
      </c>
      <c r="C209" s="14">
        <v>0</v>
      </c>
      <c r="D209" s="14">
        <v>0</v>
      </c>
      <c r="E209" s="14">
        <v>0</v>
      </c>
      <c r="F209" s="453">
        <v>0</v>
      </c>
      <c r="G209" s="377">
        <v>0</v>
      </c>
      <c r="H209" s="453">
        <v>0</v>
      </c>
      <c r="I209" s="453">
        <v>0</v>
      </c>
      <c r="J209" s="453">
        <v>0</v>
      </c>
      <c r="K209" s="453">
        <v>0</v>
      </c>
      <c r="L209" s="453">
        <v>0</v>
      </c>
      <c r="M209" s="453">
        <v>0</v>
      </c>
      <c r="N209" s="453">
        <v>0</v>
      </c>
      <c r="O209" s="453">
        <v>0</v>
      </c>
      <c r="P209" s="14">
        <v>0</v>
      </c>
      <c r="Q209" s="14">
        <v>0</v>
      </c>
      <c r="R209" s="453">
        <v>0</v>
      </c>
      <c r="S209" s="453">
        <v>0</v>
      </c>
      <c r="T209" s="453">
        <v>0</v>
      </c>
      <c r="U209" s="453">
        <v>0</v>
      </c>
      <c r="V209" s="453">
        <v>0</v>
      </c>
      <c r="W209" s="453">
        <v>0</v>
      </c>
      <c r="X209" s="453">
        <v>0</v>
      </c>
      <c r="Y209" s="453">
        <v>0</v>
      </c>
      <c r="Z209" s="453">
        <v>0</v>
      </c>
      <c r="AA209" s="14">
        <v>0</v>
      </c>
      <c r="AB209" s="14">
        <v>0</v>
      </c>
      <c r="AC209" s="453">
        <v>0</v>
      </c>
      <c r="AD209" s="14">
        <v>0</v>
      </c>
      <c r="AE209" s="14">
        <v>0</v>
      </c>
      <c r="AF209" s="14">
        <v>0</v>
      </c>
      <c r="AG209" s="14">
        <v>0</v>
      </c>
      <c r="AH209" s="14">
        <v>0</v>
      </c>
      <c r="AI209" s="14">
        <v>0</v>
      </c>
      <c r="AJ209" s="14">
        <v>0</v>
      </c>
      <c r="AK209" s="14">
        <v>0</v>
      </c>
      <c r="AL209" s="14">
        <v>0</v>
      </c>
      <c r="AM209" s="453">
        <v>0</v>
      </c>
      <c r="AN209" s="453">
        <v>0</v>
      </c>
      <c r="AO209" s="453">
        <v>0</v>
      </c>
      <c r="AP209" s="453">
        <v>0</v>
      </c>
      <c r="AQ209" s="453">
        <v>0</v>
      </c>
      <c r="AR209" s="453">
        <v>0</v>
      </c>
      <c r="AS209" s="453">
        <v>0</v>
      </c>
      <c r="AT209" s="453">
        <v>0</v>
      </c>
      <c r="AU209" s="453">
        <v>0</v>
      </c>
      <c r="AV209" s="453">
        <v>0</v>
      </c>
      <c r="AW209" s="453">
        <v>0</v>
      </c>
      <c r="AX209" s="453">
        <v>0</v>
      </c>
      <c r="AY209" s="453">
        <v>0</v>
      </c>
      <c r="AZ209" s="453">
        <v>0</v>
      </c>
      <c r="BA209" s="453">
        <v>0</v>
      </c>
      <c r="BB209" s="453">
        <v>0</v>
      </c>
      <c r="BC209" s="453">
        <v>0</v>
      </c>
      <c r="BD209" s="453">
        <v>0</v>
      </c>
      <c r="BE209" s="105">
        <v>0</v>
      </c>
      <c r="BF209" s="453">
        <v>0</v>
      </c>
      <c r="BG209" s="453">
        <v>0</v>
      </c>
      <c r="BH209" s="105">
        <v>0</v>
      </c>
      <c r="BI209" s="453">
        <v>0</v>
      </c>
      <c r="BJ209" s="453">
        <v>0</v>
      </c>
      <c r="BK209" s="105">
        <v>0</v>
      </c>
      <c r="BL209" s="453">
        <v>0</v>
      </c>
      <c r="BM209" s="453">
        <v>0</v>
      </c>
      <c r="BN209" s="453">
        <v>0</v>
      </c>
      <c r="BO209" s="453">
        <v>0</v>
      </c>
      <c r="BP209" s="453">
        <v>0</v>
      </c>
      <c r="BQ209" s="453">
        <v>0</v>
      </c>
      <c r="BR209" s="14">
        <v>0</v>
      </c>
      <c r="BS209" s="14">
        <v>0</v>
      </c>
      <c r="BT209" s="377" t="str">
        <v/>
      </c>
      <c r="BU209" s="105" t="str">
        <v/>
      </c>
      <c r="BV209" s="453" t="str">
        <v/>
      </c>
      <c r="BW209" s="105" t="str">
        <f ca="1"/>
        <v/>
      </c>
    </row>
    <row r="210" spans="1:75" x14ac:dyDescent="0.3">
      <c r="A210" s="1">
        <v>0</v>
      </c>
      <c r="B210" s="106">
        <v>0</v>
      </c>
      <c r="C210" s="14">
        <v>0</v>
      </c>
      <c r="D210" s="14">
        <v>0</v>
      </c>
      <c r="E210" s="14">
        <v>0</v>
      </c>
      <c r="F210" s="453">
        <v>0</v>
      </c>
      <c r="G210" s="377">
        <v>0</v>
      </c>
      <c r="H210" s="453">
        <v>0</v>
      </c>
      <c r="I210" s="453">
        <v>0</v>
      </c>
      <c r="J210" s="453">
        <v>0</v>
      </c>
      <c r="K210" s="453">
        <v>0</v>
      </c>
      <c r="L210" s="453">
        <v>0</v>
      </c>
      <c r="M210" s="453">
        <v>0</v>
      </c>
      <c r="N210" s="453">
        <v>0</v>
      </c>
      <c r="O210" s="453">
        <v>0</v>
      </c>
      <c r="P210" s="14">
        <v>0</v>
      </c>
      <c r="Q210" s="14">
        <v>0</v>
      </c>
      <c r="R210" s="453">
        <v>0</v>
      </c>
      <c r="S210" s="453">
        <v>0</v>
      </c>
      <c r="T210" s="453">
        <v>0</v>
      </c>
      <c r="U210" s="453">
        <v>0</v>
      </c>
      <c r="V210" s="453">
        <v>0</v>
      </c>
      <c r="W210" s="453">
        <v>0</v>
      </c>
      <c r="X210" s="453">
        <v>0</v>
      </c>
      <c r="Y210" s="453">
        <v>0</v>
      </c>
      <c r="Z210" s="453">
        <v>0</v>
      </c>
      <c r="AA210" s="14">
        <v>0</v>
      </c>
      <c r="AB210" s="14">
        <v>0</v>
      </c>
      <c r="AC210" s="453">
        <v>0</v>
      </c>
      <c r="AD210" s="14">
        <v>0</v>
      </c>
      <c r="AE210" s="14">
        <v>0</v>
      </c>
      <c r="AF210" s="14">
        <v>0</v>
      </c>
      <c r="AG210" s="14">
        <v>0</v>
      </c>
      <c r="AH210" s="14">
        <v>0</v>
      </c>
      <c r="AI210" s="14">
        <v>0</v>
      </c>
      <c r="AJ210" s="14">
        <v>0</v>
      </c>
      <c r="AK210" s="14">
        <v>0</v>
      </c>
      <c r="AL210" s="14">
        <v>0</v>
      </c>
      <c r="AM210" s="453">
        <v>0</v>
      </c>
      <c r="AN210" s="453">
        <v>0</v>
      </c>
      <c r="AO210" s="453">
        <v>0</v>
      </c>
      <c r="AP210" s="453">
        <v>0</v>
      </c>
      <c r="AQ210" s="453">
        <v>0</v>
      </c>
      <c r="AR210" s="453">
        <v>0</v>
      </c>
      <c r="AS210" s="453">
        <v>0</v>
      </c>
      <c r="AT210" s="453">
        <v>0</v>
      </c>
      <c r="AU210" s="453">
        <v>0</v>
      </c>
      <c r="AV210" s="453">
        <v>0</v>
      </c>
      <c r="AW210" s="453">
        <v>0</v>
      </c>
      <c r="AX210" s="453">
        <v>0</v>
      </c>
      <c r="AY210" s="453">
        <v>0</v>
      </c>
      <c r="AZ210" s="453">
        <v>0</v>
      </c>
      <c r="BA210" s="453">
        <v>0</v>
      </c>
      <c r="BB210" s="453">
        <v>0</v>
      </c>
      <c r="BC210" s="453">
        <v>0</v>
      </c>
      <c r="BD210" s="453">
        <v>0</v>
      </c>
      <c r="BE210" s="105">
        <v>0</v>
      </c>
      <c r="BF210" s="453">
        <v>0</v>
      </c>
      <c r="BG210" s="453">
        <v>0</v>
      </c>
      <c r="BH210" s="105">
        <v>0</v>
      </c>
      <c r="BI210" s="453">
        <v>0</v>
      </c>
      <c r="BJ210" s="453">
        <v>0</v>
      </c>
      <c r="BK210" s="105">
        <v>0</v>
      </c>
      <c r="BL210" s="453">
        <v>0</v>
      </c>
      <c r="BM210" s="453">
        <v>0</v>
      </c>
      <c r="BN210" s="453">
        <v>0</v>
      </c>
      <c r="BO210" s="453">
        <v>0</v>
      </c>
      <c r="BP210" s="453">
        <v>0</v>
      </c>
      <c r="BQ210" s="453">
        <v>0</v>
      </c>
      <c r="BR210" s="14">
        <v>0</v>
      </c>
      <c r="BS210" s="14">
        <v>0</v>
      </c>
      <c r="BT210" s="377" t="str">
        <v/>
      </c>
      <c r="BU210" s="105" t="str">
        <v/>
      </c>
      <c r="BV210" s="453" t="str">
        <v/>
      </c>
      <c r="BW210" s="105" t="str">
        <f ca="1"/>
        <v/>
      </c>
    </row>
    <row r="211" spans="1:75" x14ac:dyDescent="0.3">
      <c r="A211" s="1">
        <v>0</v>
      </c>
      <c r="B211" s="106">
        <v>0</v>
      </c>
      <c r="C211" s="14">
        <v>0</v>
      </c>
      <c r="D211" s="14">
        <v>0</v>
      </c>
      <c r="E211" s="14">
        <v>0</v>
      </c>
      <c r="F211" s="453">
        <v>0</v>
      </c>
      <c r="G211" s="377">
        <v>0</v>
      </c>
      <c r="H211" s="453">
        <v>0</v>
      </c>
      <c r="I211" s="453">
        <v>0</v>
      </c>
      <c r="J211" s="453">
        <v>0</v>
      </c>
      <c r="K211" s="453">
        <v>0</v>
      </c>
      <c r="L211" s="453">
        <v>0</v>
      </c>
      <c r="M211" s="453">
        <v>0</v>
      </c>
      <c r="N211" s="453">
        <v>0</v>
      </c>
      <c r="O211" s="453">
        <v>0</v>
      </c>
      <c r="P211" s="14">
        <v>0</v>
      </c>
      <c r="Q211" s="14">
        <v>0</v>
      </c>
      <c r="R211" s="453">
        <v>0</v>
      </c>
      <c r="S211" s="453">
        <v>0</v>
      </c>
      <c r="T211" s="453">
        <v>0</v>
      </c>
      <c r="U211" s="453">
        <v>0</v>
      </c>
      <c r="V211" s="453">
        <v>0</v>
      </c>
      <c r="W211" s="453">
        <v>0</v>
      </c>
      <c r="X211" s="453">
        <v>0</v>
      </c>
      <c r="Y211" s="453">
        <v>0</v>
      </c>
      <c r="Z211" s="453">
        <v>0</v>
      </c>
      <c r="AA211" s="14">
        <v>0</v>
      </c>
      <c r="AB211" s="14">
        <v>0</v>
      </c>
      <c r="AC211" s="453">
        <v>0</v>
      </c>
      <c r="AD211" s="14">
        <v>0</v>
      </c>
      <c r="AE211" s="14">
        <v>0</v>
      </c>
      <c r="AF211" s="14">
        <v>0</v>
      </c>
      <c r="AG211" s="14">
        <v>0</v>
      </c>
      <c r="AH211" s="14">
        <v>0</v>
      </c>
      <c r="AI211" s="14">
        <v>0</v>
      </c>
      <c r="AJ211" s="14">
        <v>0</v>
      </c>
      <c r="AK211" s="14">
        <v>0</v>
      </c>
      <c r="AL211" s="14">
        <v>0</v>
      </c>
      <c r="AM211" s="453">
        <v>0</v>
      </c>
      <c r="AN211" s="453">
        <v>0</v>
      </c>
      <c r="AO211" s="453">
        <v>0</v>
      </c>
      <c r="AP211" s="453">
        <v>0</v>
      </c>
      <c r="AQ211" s="453">
        <v>0</v>
      </c>
      <c r="AR211" s="453">
        <v>0</v>
      </c>
      <c r="AS211" s="453">
        <v>0</v>
      </c>
      <c r="AT211" s="453">
        <v>0</v>
      </c>
      <c r="AU211" s="453">
        <v>0</v>
      </c>
      <c r="AV211" s="453">
        <v>0</v>
      </c>
      <c r="AW211" s="453">
        <v>0</v>
      </c>
      <c r="AX211" s="453">
        <v>0</v>
      </c>
      <c r="AY211" s="453">
        <v>0</v>
      </c>
      <c r="AZ211" s="453">
        <v>0</v>
      </c>
      <c r="BA211" s="453">
        <v>0</v>
      </c>
      <c r="BB211" s="453">
        <v>0</v>
      </c>
      <c r="BC211" s="453">
        <v>0</v>
      </c>
      <c r="BD211" s="453">
        <v>0</v>
      </c>
      <c r="BE211" s="105">
        <v>0</v>
      </c>
      <c r="BF211" s="453">
        <v>0</v>
      </c>
      <c r="BG211" s="453">
        <v>0</v>
      </c>
      <c r="BH211" s="105">
        <v>0</v>
      </c>
      <c r="BI211" s="453">
        <v>0</v>
      </c>
      <c r="BJ211" s="453">
        <v>0</v>
      </c>
      <c r="BK211" s="105">
        <v>0</v>
      </c>
      <c r="BL211" s="453">
        <v>0</v>
      </c>
      <c r="BM211" s="453">
        <v>0</v>
      </c>
      <c r="BN211" s="453">
        <v>0</v>
      </c>
      <c r="BO211" s="453">
        <v>0</v>
      </c>
      <c r="BP211" s="453">
        <v>0</v>
      </c>
      <c r="BQ211" s="453">
        <v>0</v>
      </c>
      <c r="BR211" s="14">
        <v>0</v>
      </c>
      <c r="BS211" s="14">
        <v>0</v>
      </c>
      <c r="BT211" s="377" t="str">
        <v/>
      </c>
      <c r="BU211" s="105" t="str">
        <v/>
      </c>
      <c r="BV211" s="453" t="str">
        <v/>
      </c>
      <c r="BW211" s="105" t="str">
        <f ca="1"/>
        <v/>
      </c>
    </row>
    <row r="212" spans="1:75" x14ac:dyDescent="0.3">
      <c r="A212" s="1">
        <v>0</v>
      </c>
      <c r="B212" s="106">
        <v>0</v>
      </c>
      <c r="C212" s="14">
        <v>0</v>
      </c>
      <c r="D212" s="14">
        <v>0</v>
      </c>
      <c r="E212" s="14">
        <v>0</v>
      </c>
      <c r="F212" s="453">
        <v>0</v>
      </c>
      <c r="G212" s="377">
        <v>0</v>
      </c>
      <c r="H212" s="453">
        <v>0</v>
      </c>
      <c r="I212" s="453">
        <v>0</v>
      </c>
      <c r="J212" s="453">
        <v>0</v>
      </c>
      <c r="K212" s="453">
        <v>0</v>
      </c>
      <c r="L212" s="453">
        <v>0</v>
      </c>
      <c r="M212" s="453">
        <v>0</v>
      </c>
      <c r="N212" s="453">
        <v>0</v>
      </c>
      <c r="O212" s="453">
        <v>0</v>
      </c>
      <c r="P212" s="14">
        <v>0</v>
      </c>
      <c r="Q212" s="14">
        <v>0</v>
      </c>
      <c r="R212" s="453">
        <v>0</v>
      </c>
      <c r="S212" s="453">
        <v>0</v>
      </c>
      <c r="T212" s="453">
        <v>0</v>
      </c>
      <c r="U212" s="453">
        <v>0</v>
      </c>
      <c r="V212" s="453">
        <v>0</v>
      </c>
      <c r="W212" s="453">
        <v>0</v>
      </c>
      <c r="X212" s="453">
        <v>0</v>
      </c>
      <c r="Y212" s="453">
        <v>0</v>
      </c>
      <c r="Z212" s="453">
        <v>0</v>
      </c>
      <c r="AA212" s="14">
        <v>0</v>
      </c>
      <c r="AB212" s="14">
        <v>0</v>
      </c>
      <c r="AC212" s="453">
        <v>0</v>
      </c>
      <c r="AD212" s="14">
        <v>0</v>
      </c>
      <c r="AE212" s="14">
        <v>0</v>
      </c>
      <c r="AF212" s="14">
        <v>0</v>
      </c>
      <c r="AG212" s="14">
        <v>0</v>
      </c>
      <c r="AH212" s="14">
        <v>0</v>
      </c>
      <c r="AI212" s="14">
        <v>0</v>
      </c>
      <c r="AJ212" s="14">
        <v>0</v>
      </c>
      <c r="AK212" s="14">
        <v>0</v>
      </c>
      <c r="AL212" s="14">
        <v>0</v>
      </c>
      <c r="AM212" s="453">
        <v>0</v>
      </c>
      <c r="AN212" s="453">
        <v>0</v>
      </c>
      <c r="AO212" s="453">
        <v>0</v>
      </c>
      <c r="AP212" s="453">
        <v>0</v>
      </c>
      <c r="AQ212" s="453">
        <v>0</v>
      </c>
      <c r="AR212" s="453">
        <v>0</v>
      </c>
      <c r="AS212" s="453">
        <v>0</v>
      </c>
      <c r="AT212" s="453">
        <v>0</v>
      </c>
      <c r="AU212" s="453">
        <v>0</v>
      </c>
      <c r="AV212" s="453">
        <v>0</v>
      </c>
      <c r="AW212" s="453">
        <v>0</v>
      </c>
      <c r="AX212" s="453">
        <v>0</v>
      </c>
      <c r="AY212" s="453">
        <v>0</v>
      </c>
      <c r="AZ212" s="453">
        <v>0</v>
      </c>
      <c r="BA212" s="453">
        <v>0</v>
      </c>
      <c r="BB212" s="453">
        <v>0</v>
      </c>
      <c r="BC212" s="453">
        <v>0</v>
      </c>
      <c r="BD212" s="453">
        <v>0</v>
      </c>
      <c r="BE212" s="105">
        <v>0</v>
      </c>
      <c r="BF212" s="453">
        <v>0</v>
      </c>
      <c r="BG212" s="453">
        <v>0</v>
      </c>
      <c r="BH212" s="105">
        <v>0</v>
      </c>
      <c r="BI212" s="453">
        <v>0</v>
      </c>
      <c r="BJ212" s="453">
        <v>0</v>
      </c>
      <c r="BK212" s="105">
        <v>0</v>
      </c>
      <c r="BL212" s="453">
        <v>0</v>
      </c>
      <c r="BM212" s="453">
        <v>0</v>
      </c>
      <c r="BN212" s="453">
        <v>0</v>
      </c>
      <c r="BO212" s="453">
        <v>0</v>
      </c>
      <c r="BP212" s="453">
        <v>0</v>
      </c>
      <c r="BQ212" s="453">
        <v>0</v>
      </c>
      <c r="BR212" s="14">
        <v>0</v>
      </c>
      <c r="BS212" s="14">
        <v>0</v>
      </c>
      <c r="BT212" s="377" t="str">
        <v/>
      </c>
      <c r="BU212" s="105" t="str">
        <v/>
      </c>
      <c r="BV212" s="453" t="str">
        <v/>
      </c>
      <c r="BW212" s="105" t="str">
        <f ca="1"/>
        <v/>
      </c>
    </row>
    <row r="213" spans="1:75" x14ac:dyDescent="0.3">
      <c r="A213" s="1">
        <v>0</v>
      </c>
      <c r="B213" s="106">
        <v>0</v>
      </c>
      <c r="C213" s="14">
        <v>0</v>
      </c>
      <c r="D213" s="14">
        <v>0</v>
      </c>
      <c r="E213" s="14">
        <v>0</v>
      </c>
      <c r="F213" s="453">
        <v>0</v>
      </c>
      <c r="G213" s="377">
        <v>0</v>
      </c>
      <c r="H213" s="453">
        <v>0</v>
      </c>
      <c r="I213" s="453">
        <v>0</v>
      </c>
      <c r="J213" s="453">
        <v>0</v>
      </c>
      <c r="K213" s="453">
        <v>0</v>
      </c>
      <c r="L213" s="453">
        <v>0</v>
      </c>
      <c r="M213" s="453">
        <v>0</v>
      </c>
      <c r="N213" s="453">
        <v>0</v>
      </c>
      <c r="O213" s="453">
        <v>0</v>
      </c>
      <c r="P213" s="14">
        <v>0</v>
      </c>
      <c r="Q213" s="14">
        <v>0</v>
      </c>
      <c r="R213" s="453">
        <v>0</v>
      </c>
      <c r="S213" s="453">
        <v>0</v>
      </c>
      <c r="T213" s="453">
        <v>0</v>
      </c>
      <c r="U213" s="453">
        <v>0</v>
      </c>
      <c r="V213" s="453">
        <v>0</v>
      </c>
      <c r="W213" s="453">
        <v>0</v>
      </c>
      <c r="X213" s="453">
        <v>0</v>
      </c>
      <c r="Y213" s="453">
        <v>0</v>
      </c>
      <c r="Z213" s="453">
        <v>0</v>
      </c>
      <c r="AA213" s="14">
        <v>0</v>
      </c>
      <c r="AB213" s="14">
        <v>0</v>
      </c>
      <c r="AC213" s="453">
        <v>0</v>
      </c>
      <c r="AD213" s="14">
        <v>0</v>
      </c>
      <c r="AE213" s="14">
        <v>0</v>
      </c>
      <c r="AF213" s="14">
        <v>0</v>
      </c>
      <c r="AG213" s="14">
        <v>0</v>
      </c>
      <c r="AH213" s="14">
        <v>0</v>
      </c>
      <c r="AI213" s="14">
        <v>0</v>
      </c>
      <c r="AJ213" s="14">
        <v>0</v>
      </c>
      <c r="AK213" s="14">
        <v>0</v>
      </c>
      <c r="AL213" s="14">
        <v>0</v>
      </c>
      <c r="AM213" s="453">
        <v>0</v>
      </c>
      <c r="AN213" s="453">
        <v>0</v>
      </c>
      <c r="AO213" s="453">
        <v>0</v>
      </c>
      <c r="AP213" s="453">
        <v>0</v>
      </c>
      <c r="AQ213" s="453">
        <v>0</v>
      </c>
      <c r="AR213" s="453">
        <v>0</v>
      </c>
      <c r="AS213" s="453">
        <v>0</v>
      </c>
      <c r="AT213" s="453">
        <v>0</v>
      </c>
      <c r="AU213" s="453">
        <v>0</v>
      </c>
      <c r="AV213" s="453">
        <v>0</v>
      </c>
      <c r="AW213" s="453">
        <v>0</v>
      </c>
      <c r="AX213" s="453">
        <v>0</v>
      </c>
      <c r="AY213" s="453">
        <v>0</v>
      </c>
      <c r="AZ213" s="453">
        <v>0</v>
      </c>
      <c r="BA213" s="453">
        <v>0</v>
      </c>
      <c r="BB213" s="453">
        <v>0</v>
      </c>
      <c r="BC213" s="453">
        <v>0</v>
      </c>
      <c r="BD213" s="453">
        <v>0</v>
      </c>
      <c r="BE213" s="105">
        <v>0</v>
      </c>
      <c r="BF213" s="453">
        <v>0</v>
      </c>
      <c r="BG213" s="453">
        <v>0</v>
      </c>
      <c r="BH213" s="105">
        <v>0</v>
      </c>
      <c r="BI213" s="453">
        <v>0</v>
      </c>
      <c r="BJ213" s="453">
        <v>0</v>
      </c>
      <c r="BK213" s="105">
        <v>0</v>
      </c>
      <c r="BL213" s="453">
        <v>0</v>
      </c>
      <c r="BM213" s="453">
        <v>0</v>
      </c>
      <c r="BN213" s="453">
        <v>0</v>
      </c>
      <c r="BO213" s="453">
        <v>0</v>
      </c>
      <c r="BP213" s="453">
        <v>0</v>
      </c>
      <c r="BQ213" s="453">
        <v>0</v>
      </c>
      <c r="BR213" s="14">
        <v>0</v>
      </c>
      <c r="BS213" s="14">
        <v>0</v>
      </c>
      <c r="BT213" s="377" t="str">
        <v/>
      </c>
      <c r="BU213" s="105" t="str">
        <v/>
      </c>
      <c r="BV213" s="453" t="str">
        <v/>
      </c>
      <c r="BW213" s="105" t="str">
        <f ca="1"/>
        <v/>
      </c>
    </row>
    <row r="214" spans="1:75" x14ac:dyDescent="0.3">
      <c r="A214" s="1">
        <v>0</v>
      </c>
      <c r="B214" s="106">
        <v>0</v>
      </c>
      <c r="C214" s="14">
        <v>0</v>
      </c>
      <c r="D214" s="14">
        <v>0</v>
      </c>
      <c r="E214" s="14">
        <v>0</v>
      </c>
      <c r="F214" s="453">
        <v>0</v>
      </c>
      <c r="G214" s="377">
        <v>0</v>
      </c>
      <c r="H214" s="453">
        <v>0</v>
      </c>
      <c r="I214" s="453">
        <v>0</v>
      </c>
      <c r="J214" s="453">
        <v>0</v>
      </c>
      <c r="K214" s="453">
        <v>0</v>
      </c>
      <c r="L214" s="453">
        <v>0</v>
      </c>
      <c r="M214" s="453">
        <v>0</v>
      </c>
      <c r="N214" s="453">
        <v>0</v>
      </c>
      <c r="O214" s="453">
        <v>0</v>
      </c>
      <c r="P214" s="14">
        <v>0</v>
      </c>
      <c r="Q214" s="14">
        <v>0</v>
      </c>
      <c r="R214" s="453">
        <v>0</v>
      </c>
      <c r="S214" s="453">
        <v>0</v>
      </c>
      <c r="T214" s="453">
        <v>0</v>
      </c>
      <c r="U214" s="453">
        <v>0</v>
      </c>
      <c r="V214" s="453">
        <v>0</v>
      </c>
      <c r="W214" s="453">
        <v>0</v>
      </c>
      <c r="X214" s="453">
        <v>0</v>
      </c>
      <c r="Y214" s="453">
        <v>0</v>
      </c>
      <c r="Z214" s="453">
        <v>0</v>
      </c>
      <c r="AA214" s="14">
        <v>0</v>
      </c>
      <c r="AB214" s="14">
        <v>0</v>
      </c>
      <c r="AC214" s="453">
        <v>0</v>
      </c>
      <c r="AD214" s="14">
        <v>0</v>
      </c>
      <c r="AE214" s="14">
        <v>0</v>
      </c>
      <c r="AF214" s="14">
        <v>0</v>
      </c>
      <c r="AG214" s="14">
        <v>0</v>
      </c>
      <c r="AH214" s="14">
        <v>0</v>
      </c>
      <c r="AI214" s="14">
        <v>0</v>
      </c>
      <c r="AJ214" s="14">
        <v>0</v>
      </c>
      <c r="AK214" s="14">
        <v>0</v>
      </c>
      <c r="AL214" s="14">
        <v>0</v>
      </c>
      <c r="AM214" s="453">
        <v>0</v>
      </c>
      <c r="AN214" s="453">
        <v>0</v>
      </c>
      <c r="AO214" s="453">
        <v>0</v>
      </c>
      <c r="AP214" s="453">
        <v>0</v>
      </c>
      <c r="AQ214" s="453">
        <v>0</v>
      </c>
      <c r="AR214" s="453">
        <v>0</v>
      </c>
      <c r="AS214" s="453">
        <v>0</v>
      </c>
      <c r="AT214" s="453">
        <v>0</v>
      </c>
      <c r="AU214" s="453">
        <v>0</v>
      </c>
      <c r="AV214" s="453">
        <v>0</v>
      </c>
      <c r="AW214" s="453">
        <v>0</v>
      </c>
      <c r="AX214" s="453">
        <v>0</v>
      </c>
      <c r="AY214" s="453">
        <v>0</v>
      </c>
      <c r="AZ214" s="453">
        <v>0</v>
      </c>
      <c r="BA214" s="453">
        <v>0</v>
      </c>
      <c r="BB214" s="453">
        <v>0</v>
      </c>
      <c r="BC214" s="453">
        <v>0</v>
      </c>
      <c r="BD214" s="453">
        <v>0</v>
      </c>
      <c r="BE214" s="105">
        <v>0</v>
      </c>
      <c r="BF214" s="453">
        <v>0</v>
      </c>
      <c r="BG214" s="453">
        <v>0</v>
      </c>
      <c r="BH214" s="105">
        <v>0</v>
      </c>
      <c r="BI214" s="453">
        <v>0</v>
      </c>
      <c r="BJ214" s="453">
        <v>0</v>
      </c>
      <c r="BK214" s="105">
        <v>0</v>
      </c>
      <c r="BL214" s="453">
        <v>0</v>
      </c>
      <c r="BM214" s="453">
        <v>0</v>
      </c>
      <c r="BN214" s="453">
        <v>0</v>
      </c>
      <c r="BO214" s="453">
        <v>0</v>
      </c>
      <c r="BP214" s="453">
        <v>0</v>
      </c>
      <c r="BQ214" s="453">
        <v>0</v>
      </c>
      <c r="BR214" s="14">
        <v>0</v>
      </c>
      <c r="BS214" s="14">
        <v>0</v>
      </c>
      <c r="BT214" s="377" t="str">
        <v/>
      </c>
      <c r="BU214" s="105" t="str">
        <v/>
      </c>
      <c r="BV214" s="453" t="str">
        <v/>
      </c>
      <c r="BW214" s="105" t="str">
        <f ca="1"/>
        <v/>
      </c>
    </row>
    <row r="215" spans="1:75" x14ac:dyDescent="0.3">
      <c r="A215" s="1">
        <v>0</v>
      </c>
      <c r="B215" s="106">
        <v>0</v>
      </c>
      <c r="C215" s="14">
        <v>0</v>
      </c>
      <c r="D215" s="14">
        <v>0</v>
      </c>
      <c r="E215" s="14">
        <v>0</v>
      </c>
      <c r="F215" s="453">
        <v>0</v>
      </c>
      <c r="G215" s="377">
        <v>0</v>
      </c>
      <c r="H215" s="453">
        <v>0</v>
      </c>
      <c r="I215" s="453">
        <v>0</v>
      </c>
      <c r="J215" s="453">
        <v>0</v>
      </c>
      <c r="K215" s="453">
        <v>0</v>
      </c>
      <c r="L215" s="453">
        <v>0</v>
      </c>
      <c r="M215" s="453">
        <v>0</v>
      </c>
      <c r="N215" s="453">
        <v>0</v>
      </c>
      <c r="O215" s="453">
        <v>0</v>
      </c>
      <c r="P215" s="14">
        <v>0</v>
      </c>
      <c r="Q215" s="14">
        <v>0</v>
      </c>
      <c r="R215" s="453">
        <v>0</v>
      </c>
      <c r="S215" s="453">
        <v>0</v>
      </c>
      <c r="T215" s="453">
        <v>0</v>
      </c>
      <c r="U215" s="453">
        <v>0</v>
      </c>
      <c r="V215" s="453">
        <v>0</v>
      </c>
      <c r="W215" s="453">
        <v>0</v>
      </c>
      <c r="X215" s="453">
        <v>0</v>
      </c>
      <c r="Y215" s="453">
        <v>0</v>
      </c>
      <c r="Z215" s="453">
        <v>0</v>
      </c>
      <c r="AA215" s="14">
        <v>0</v>
      </c>
      <c r="AB215" s="14">
        <v>0</v>
      </c>
      <c r="AC215" s="453">
        <v>0</v>
      </c>
      <c r="AD215" s="14">
        <v>0</v>
      </c>
      <c r="AE215" s="14">
        <v>0</v>
      </c>
      <c r="AF215" s="14">
        <v>0</v>
      </c>
      <c r="AG215" s="14">
        <v>0</v>
      </c>
      <c r="AH215" s="14">
        <v>0</v>
      </c>
      <c r="AI215" s="14">
        <v>0</v>
      </c>
      <c r="AJ215" s="14">
        <v>0</v>
      </c>
      <c r="AK215" s="14">
        <v>0</v>
      </c>
      <c r="AL215" s="14">
        <v>0</v>
      </c>
      <c r="AM215" s="453">
        <v>0</v>
      </c>
      <c r="AN215" s="453">
        <v>0</v>
      </c>
      <c r="AO215" s="453">
        <v>0</v>
      </c>
      <c r="AP215" s="453">
        <v>0</v>
      </c>
      <c r="AQ215" s="453">
        <v>0</v>
      </c>
      <c r="AR215" s="453">
        <v>0</v>
      </c>
      <c r="AS215" s="453">
        <v>0</v>
      </c>
      <c r="AT215" s="453">
        <v>0</v>
      </c>
      <c r="AU215" s="453">
        <v>0</v>
      </c>
      <c r="AV215" s="453">
        <v>0</v>
      </c>
      <c r="AW215" s="453">
        <v>0</v>
      </c>
      <c r="AX215" s="453">
        <v>0</v>
      </c>
      <c r="AY215" s="453">
        <v>0</v>
      </c>
      <c r="AZ215" s="453">
        <v>0</v>
      </c>
      <c r="BA215" s="453">
        <v>0</v>
      </c>
      <c r="BB215" s="453">
        <v>0</v>
      </c>
      <c r="BC215" s="453">
        <v>0</v>
      </c>
      <c r="BD215" s="453">
        <v>0</v>
      </c>
      <c r="BE215" s="105">
        <v>0</v>
      </c>
      <c r="BF215" s="453">
        <v>0</v>
      </c>
      <c r="BG215" s="453">
        <v>0</v>
      </c>
      <c r="BH215" s="105">
        <v>0</v>
      </c>
      <c r="BI215" s="453">
        <v>0</v>
      </c>
      <c r="BJ215" s="453">
        <v>0</v>
      </c>
      <c r="BK215" s="105">
        <v>0</v>
      </c>
      <c r="BL215" s="453">
        <v>0</v>
      </c>
      <c r="BM215" s="453">
        <v>0</v>
      </c>
      <c r="BN215" s="453">
        <v>0</v>
      </c>
      <c r="BO215" s="453">
        <v>0</v>
      </c>
      <c r="BP215" s="453">
        <v>0</v>
      </c>
      <c r="BQ215" s="453">
        <v>0</v>
      </c>
      <c r="BR215" s="14">
        <v>0</v>
      </c>
      <c r="BS215" s="14">
        <v>0</v>
      </c>
      <c r="BT215" s="377" t="str">
        <v/>
      </c>
      <c r="BU215" s="105" t="str">
        <v/>
      </c>
      <c r="BV215" s="453" t="str">
        <v/>
      </c>
      <c r="BW215" s="105" t="str">
        <f ca="1"/>
        <v/>
      </c>
    </row>
    <row r="216" spans="1:75" x14ac:dyDescent="0.3">
      <c r="A216" s="1">
        <v>0</v>
      </c>
      <c r="B216" s="106">
        <v>0</v>
      </c>
      <c r="C216" s="14">
        <v>0</v>
      </c>
      <c r="D216" s="14">
        <v>0</v>
      </c>
      <c r="E216" s="14">
        <v>0</v>
      </c>
      <c r="F216" s="453">
        <v>0</v>
      </c>
      <c r="G216" s="377">
        <v>0</v>
      </c>
      <c r="H216" s="453">
        <v>0</v>
      </c>
      <c r="I216" s="453">
        <v>0</v>
      </c>
      <c r="J216" s="453">
        <v>0</v>
      </c>
      <c r="K216" s="453">
        <v>0</v>
      </c>
      <c r="L216" s="453">
        <v>0</v>
      </c>
      <c r="M216" s="453">
        <v>0</v>
      </c>
      <c r="N216" s="453">
        <v>0</v>
      </c>
      <c r="O216" s="453">
        <v>0</v>
      </c>
      <c r="P216" s="14">
        <v>0</v>
      </c>
      <c r="Q216" s="14">
        <v>0</v>
      </c>
      <c r="R216" s="453">
        <v>0</v>
      </c>
      <c r="S216" s="453">
        <v>0</v>
      </c>
      <c r="T216" s="453">
        <v>0</v>
      </c>
      <c r="U216" s="453">
        <v>0</v>
      </c>
      <c r="V216" s="453">
        <v>0</v>
      </c>
      <c r="W216" s="453">
        <v>0</v>
      </c>
      <c r="X216" s="453">
        <v>0</v>
      </c>
      <c r="Y216" s="453">
        <v>0</v>
      </c>
      <c r="Z216" s="453">
        <v>0</v>
      </c>
      <c r="AA216" s="14">
        <v>0</v>
      </c>
      <c r="AB216" s="14">
        <v>0</v>
      </c>
      <c r="AC216" s="453">
        <v>0</v>
      </c>
      <c r="AD216" s="14">
        <v>0</v>
      </c>
      <c r="AE216" s="14">
        <v>0</v>
      </c>
      <c r="AF216" s="14">
        <v>0</v>
      </c>
      <c r="AG216" s="14">
        <v>0</v>
      </c>
      <c r="AH216" s="14">
        <v>0</v>
      </c>
      <c r="AI216" s="14">
        <v>0</v>
      </c>
      <c r="AJ216" s="14">
        <v>0</v>
      </c>
      <c r="AK216" s="14">
        <v>0</v>
      </c>
      <c r="AL216" s="14">
        <v>0</v>
      </c>
      <c r="AM216" s="453">
        <v>0</v>
      </c>
      <c r="AN216" s="453">
        <v>0</v>
      </c>
      <c r="AO216" s="453">
        <v>0</v>
      </c>
      <c r="AP216" s="453">
        <v>0</v>
      </c>
      <c r="AQ216" s="453">
        <v>0</v>
      </c>
      <c r="AR216" s="453">
        <v>0</v>
      </c>
      <c r="AS216" s="453">
        <v>0</v>
      </c>
      <c r="AT216" s="453">
        <v>0</v>
      </c>
      <c r="AU216" s="453">
        <v>0</v>
      </c>
      <c r="AV216" s="453">
        <v>0</v>
      </c>
      <c r="AW216" s="453">
        <v>0</v>
      </c>
      <c r="AX216" s="453">
        <v>0</v>
      </c>
      <c r="AY216" s="453">
        <v>0</v>
      </c>
      <c r="AZ216" s="453">
        <v>0</v>
      </c>
      <c r="BA216" s="453">
        <v>0</v>
      </c>
      <c r="BB216" s="453">
        <v>0</v>
      </c>
      <c r="BC216" s="453">
        <v>0</v>
      </c>
      <c r="BD216" s="453">
        <v>0</v>
      </c>
      <c r="BE216" s="105">
        <v>0</v>
      </c>
      <c r="BF216" s="453">
        <v>0</v>
      </c>
      <c r="BG216" s="453">
        <v>0</v>
      </c>
      <c r="BH216" s="105">
        <v>0</v>
      </c>
      <c r="BI216" s="453">
        <v>0</v>
      </c>
      <c r="BJ216" s="453">
        <v>0</v>
      </c>
      <c r="BK216" s="105">
        <v>0</v>
      </c>
      <c r="BL216" s="453">
        <v>0</v>
      </c>
      <c r="BM216" s="453">
        <v>0</v>
      </c>
      <c r="BN216" s="453">
        <v>0</v>
      </c>
      <c r="BO216" s="453">
        <v>0</v>
      </c>
      <c r="BP216" s="453">
        <v>0</v>
      </c>
      <c r="BQ216" s="453">
        <v>0</v>
      </c>
      <c r="BR216" s="14">
        <v>0</v>
      </c>
      <c r="BS216" s="14">
        <v>0</v>
      </c>
      <c r="BT216" s="377" t="str">
        <v/>
      </c>
      <c r="BU216" s="105" t="str">
        <v/>
      </c>
      <c r="BV216" s="453" t="str">
        <v/>
      </c>
      <c r="BW216" s="105" t="str">
        <f ca="1"/>
        <v/>
      </c>
    </row>
    <row r="217" spans="1:75" x14ac:dyDescent="0.3">
      <c r="A217" s="1">
        <v>0</v>
      </c>
      <c r="B217" s="106">
        <v>0</v>
      </c>
      <c r="C217" s="14">
        <v>0</v>
      </c>
      <c r="D217" s="14">
        <v>0</v>
      </c>
      <c r="E217" s="14">
        <v>0</v>
      </c>
      <c r="F217" s="453">
        <v>0</v>
      </c>
      <c r="G217" s="377">
        <v>0</v>
      </c>
      <c r="H217" s="453">
        <v>0</v>
      </c>
      <c r="I217" s="453">
        <v>0</v>
      </c>
      <c r="J217" s="453">
        <v>0</v>
      </c>
      <c r="K217" s="453">
        <v>0</v>
      </c>
      <c r="L217" s="453">
        <v>0</v>
      </c>
      <c r="M217" s="453">
        <v>0</v>
      </c>
      <c r="N217" s="453">
        <v>0</v>
      </c>
      <c r="O217" s="453">
        <v>0</v>
      </c>
      <c r="P217" s="14">
        <v>0</v>
      </c>
      <c r="Q217" s="14">
        <v>0</v>
      </c>
      <c r="R217" s="453">
        <v>0</v>
      </c>
      <c r="S217" s="453">
        <v>0</v>
      </c>
      <c r="T217" s="453">
        <v>0</v>
      </c>
      <c r="U217" s="453">
        <v>0</v>
      </c>
      <c r="V217" s="453">
        <v>0</v>
      </c>
      <c r="W217" s="453">
        <v>0</v>
      </c>
      <c r="X217" s="453">
        <v>0</v>
      </c>
      <c r="Y217" s="453">
        <v>0</v>
      </c>
      <c r="Z217" s="453">
        <v>0</v>
      </c>
      <c r="AA217" s="14">
        <v>0</v>
      </c>
      <c r="AB217" s="14">
        <v>0</v>
      </c>
      <c r="AC217" s="453">
        <v>0</v>
      </c>
      <c r="AD217" s="14">
        <v>0</v>
      </c>
      <c r="AE217" s="14">
        <v>0</v>
      </c>
      <c r="AF217" s="14">
        <v>0</v>
      </c>
      <c r="AG217" s="14">
        <v>0</v>
      </c>
      <c r="AH217" s="14">
        <v>0</v>
      </c>
      <c r="AI217" s="14">
        <v>0</v>
      </c>
      <c r="AJ217" s="14">
        <v>0</v>
      </c>
      <c r="AK217" s="14">
        <v>0</v>
      </c>
      <c r="AL217" s="14">
        <v>0</v>
      </c>
      <c r="AM217" s="453">
        <v>0</v>
      </c>
      <c r="AN217" s="453">
        <v>0</v>
      </c>
      <c r="AO217" s="453">
        <v>0</v>
      </c>
      <c r="AP217" s="453">
        <v>0</v>
      </c>
      <c r="AQ217" s="453">
        <v>0</v>
      </c>
      <c r="AR217" s="453">
        <v>0</v>
      </c>
      <c r="AS217" s="453">
        <v>0</v>
      </c>
      <c r="AT217" s="453">
        <v>0</v>
      </c>
      <c r="AU217" s="453">
        <v>0</v>
      </c>
      <c r="AV217" s="453">
        <v>0</v>
      </c>
      <c r="AW217" s="453">
        <v>0</v>
      </c>
      <c r="AX217" s="453">
        <v>0</v>
      </c>
      <c r="AY217" s="453">
        <v>0</v>
      </c>
      <c r="AZ217" s="453">
        <v>0</v>
      </c>
      <c r="BA217" s="453">
        <v>0</v>
      </c>
      <c r="BB217" s="453">
        <v>0</v>
      </c>
      <c r="BC217" s="453">
        <v>0</v>
      </c>
      <c r="BD217" s="453">
        <v>0</v>
      </c>
      <c r="BE217" s="105">
        <v>0</v>
      </c>
      <c r="BF217" s="453">
        <v>0</v>
      </c>
      <c r="BG217" s="453">
        <v>0</v>
      </c>
      <c r="BH217" s="105">
        <v>0</v>
      </c>
      <c r="BI217" s="453">
        <v>0</v>
      </c>
      <c r="BJ217" s="453">
        <v>0</v>
      </c>
      <c r="BK217" s="105">
        <v>0</v>
      </c>
      <c r="BL217" s="453">
        <v>0</v>
      </c>
      <c r="BM217" s="453">
        <v>0</v>
      </c>
      <c r="BN217" s="453">
        <v>0</v>
      </c>
      <c r="BO217" s="453">
        <v>0</v>
      </c>
      <c r="BP217" s="453">
        <v>0</v>
      </c>
      <c r="BQ217" s="453">
        <v>0</v>
      </c>
      <c r="BR217" s="14">
        <v>0</v>
      </c>
      <c r="BS217" s="14">
        <v>0</v>
      </c>
      <c r="BT217" s="377" t="str">
        <v/>
      </c>
      <c r="BU217" s="105" t="str">
        <v/>
      </c>
      <c r="BV217" s="453" t="str">
        <v/>
      </c>
      <c r="BW217" s="105" t="str">
        <f ca="1"/>
        <v/>
      </c>
    </row>
    <row r="218" spans="1:75" x14ac:dyDescent="0.3">
      <c r="A218" s="1">
        <v>0</v>
      </c>
      <c r="B218" s="106">
        <v>0</v>
      </c>
      <c r="C218" s="14">
        <v>0</v>
      </c>
      <c r="D218" s="14">
        <v>0</v>
      </c>
      <c r="E218" s="14">
        <v>0</v>
      </c>
      <c r="F218" s="453">
        <v>0</v>
      </c>
      <c r="G218" s="377">
        <v>0</v>
      </c>
      <c r="H218" s="453">
        <v>0</v>
      </c>
      <c r="I218" s="453">
        <v>0</v>
      </c>
      <c r="J218" s="453">
        <v>0</v>
      </c>
      <c r="K218" s="453">
        <v>0</v>
      </c>
      <c r="L218" s="453">
        <v>0</v>
      </c>
      <c r="M218" s="453">
        <v>0</v>
      </c>
      <c r="N218" s="453">
        <v>0</v>
      </c>
      <c r="O218" s="453">
        <v>0</v>
      </c>
      <c r="P218" s="14">
        <v>0</v>
      </c>
      <c r="Q218" s="14">
        <v>0</v>
      </c>
      <c r="R218" s="453">
        <v>0</v>
      </c>
      <c r="S218" s="453">
        <v>0</v>
      </c>
      <c r="T218" s="453">
        <v>0</v>
      </c>
      <c r="U218" s="453">
        <v>0</v>
      </c>
      <c r="V218" s="453">
        <v>0</v>
      </c>
      <c r="W218" s="453">
        <v>0</v>
      </c>
      <c r="X218" s="453">
        <v>0</v>
      </c>
      <c r="Y218" s="453">
        <v>0</v>
      </c>
      <c r="Z218" s="453">
        <v>0</v>
      </c>
      <c r="AA218" s="14">
        <v>0</v>
      </c>
      <c r="AB218" s="14">
        <v>0</v>
      </c>
      <c r="AC218" s="453">
        <v>0</v>
      </c>
      <c r="AD218" s="14">
        <v>0</v>
      </c>
      <c r="AE218" s="14">
        <v>0</v>
      </c>
      <c r="AF218" s="14">
        <v>0</v>
      </c>
      <c r="AG218" s="14">
        <v>0</v>
      </c>
      <c r="AH218" s="14">
        <v>0</v>
      </c>
      <c r="AI218" s="14">
        <v>0</v>
      </c>
      <c r="AJ218" s="14">
        <v>0</v>
      </c>
      <c r="AK218" s="14">
        <v>0</v>
      </c>
      <c r="AL218" s="14">
        <v>0</v>
      </c>
      <c r="AM218" s="453">
        <v>0</v>
      </c>
      <c r="AN218" s="453">
        <v>0</v>
      </c>
      <c r="AO218" s="453">
        <v>0</v>
      </c>
      <c r="AP218" s="453">
        <v>0</v>
      </c>
      <c r="AQ218" s="453">
        <v>0</v>
      </c>
      <c r="AR218" s="453">
        <v>0</v>
      </c>
      <c r="AS218" s="453">
        <v>0</v>
      </c>
      <c r="AT218" s="453">
        <v>0</v>
      </c>
      <c r="AU218" s="453">
        <v>0</v>
      </c>
      <c r="AV218" s="453">
        <v>0</v>
      </c>
      <c r="AW218" s="453">
        <v>0</v>
      </c>
      <c r="AX218" s="453">
        <v>0</v>
      </c>
      <c r="AY218" s="453">
        <v>0</v>
      </c>
      <c r="AZ218" s="453">
        <v>0</v>
      </c>
      <c r="BA218" s="453">
        <v>0</v>
      </c>
      <c r="BB218" s="453">
        <v>0</v>
      </c>
      <c r="BC218" s="453">
        <v>0</v>
      </c>
      <c r="BD218" s="453">
        <v>0</v>
      </c>
      <c r="BE218" s="105">
        <v>0</v>
      </c>
      <c r="BF218" s="453">
        <v>0</v>
      </c>
      <c r="BG218" s="453">
        <v>0</v>
      </c>
      <c r="BH218" s="105">
        <v>0</v>
      </c>
      <c r="BI218" s="453">
        <v>0</v>
      </c>
      <c r="BJ218" s="453">
        <v>0</v>
      </c>
      <c r="BK218" s="105">
        <v>0</v>
      </c>
      <c r="BL218" s="453">
        <v>0</v>
      </c>
      <c r="BM218" s="453">
        <v>0</v>
      </c>
      <c r="BN218" s="453">
        <v>0</v>
      </c>
      <c r="BO218" s="453">
        <v>0</v>
      </c>
      <c r="BP218" s="453">
        <v>0</v>
      </c>
      <c r="BQ218" s="453">
        <v>0</v>
      </c>
      <c r="BR218" s="14">
        <v>0</v>
      </c>
      <c r="BS218" s="14">
        <v>0</v>
      </c>
      <c r="BT218" s="377" t="str">
        <v/>
      </c>
      <c r="BU218" s="105" t="str">
        <v/>
      </c>
      <c r="BV218" s="453" t="str">
        <v/>
      </c>
      <c r="BW218" s="105" t="str">
        <f ca="1"/>
        <v/>
      </c>
    </row>
    <row r="219" spans="1:75" x14ac:dyDescent="0.3">
      <c r="A219" s="1">
        <v>0</v>
      </c>
      <c r="B219" s="106">
        <v>0</v>
      </c>
      <c r="C219" s="14">
        <v>0</v>
      </c>
      <c r="D219" s="14">
        <v>0</v>
      </c>
      <c r="E219" s="14">
        <v>0</v>
      </c>
      <c r="F219" s="453">
        <v>0</v>
      </c>
      <c r="G219" s="377">
        <v>0</v>
      </c>
      <c r="H219" s="453">
        <v>0</v>
      </c>
      <c r="I219" s="453">
        <v>0</v>
      </c>
      <c r="J219" s="453">
        <v>0</v>
      </c>
      <c r="K219" s="453">
        <v>0</v>
      </c>
      <c r="L219" s="453">
        <v>0</v>
      </c>
      <c r="M219" s="453">
        <v>0</v>
      </c>
      <c r="N219" s="453">
        <v>0</v>
      </c>
      <c r="O219" s="453">
        <v>0</v>
      </c>
      <c r="P219" s="14">
        <v>0</v>
      </c>
      <c r="Q219" s="14">
        <v>0</v>
      </c>
      <c r="R219" s="453">
        <v>0</v>
      </c>
      <c r="S219" s="453">
        <v>0</v>
      </c>
      <c r="T219" s="453">
        <v>0</v>
      </c>
      <c r="U219" s="453">
        <v>0</v>
      </c>
      <c r="V219" s="453">
        <v>0</v>
      </c>
      <c r="W219" s="453">
        <v>0</v>
      </c>
      <c r="X219" s="453">
        <v>0</v>
      </c>
      <c r="Y219" s="453">
        <v>0</v>
      </c>
      <c r="Z219" s="453">
        <v>0</v>
      </c>
      <c r="AA219" s="14">
        <v>0</v>
      </c>
      <c r="AB219" s="14">
        <v>0</v>
      </c>
      <c r="AC219" s="453">
        <v>0</v>
      </c>
      <c r="AD219" s="14">
        <v>0</v>
      </c>
      <c r="AE219" s="14">
        <v>0</v>
      </c>
      <c r="AF219" s="14">
        <v>0</v>
      </c>
      <c r="AG219" s="14">
        <v>0</v>
      </c>
      <c r="AH219" s="14">
        <v>0</v>
      </c>
      <c r="AI219" s="14">
        <v>0</v>
      </c>
      <c r="AJ219" s="14">
        <v>0</v>
      </c>
      <c r="AK219" s="14">
        <v>0</v>
      </c>
      <c r="AL219" s="14">
        <v>0</v>
      </c>
      <c r="AM219" s="453">
        <v>0</v>
      </c>
      <c r="AN219" s="453">
        <v>0</v>
      </c>
      <c r="AO219" s="453">
        <v>0</v>
      </c>
      <c r="AP219" s="453">
        <v>0</v>
      </c>
      <c r="AQ219" s="453">
        <v>0</v>
      </c>
      <c r="AR219" s="453">
        <v>0</v>
      </c>
      <c r="AS219" s="453">
        <v>0</v>
      </c>
      <c r="AT219" s="453">
        <v>0</v>
      </c>
      <c r="AU219" s="453">
        <v>0</v>
      </c>
      <c r="AV219" s="453">
        <v>0</v>
      </c>
      <c r="AW219" s="453">
        <v>0</v>
      </c>
      <c r="AX219" s="453">
        <v>0</v>
      </c>
      <c r="AY219" s="453">
        <v>0</v>
      </c>
      <c r="AZ219" s="453">
        <v>0</v>
      </c>
      <c r="BA219" s="453">
        <v>0</v>
      </c>
      <c r="BB219" s="453">
        <v>0</v>
      </c>
      <c r="BC219" s="453">
        <v>0</v>
      </c>
      <c r="BD219" s="453">
        <v>0</v>
      </c>
      <c r="BE219" s="105">
        <v>0</v>
      </c>
      <c r="BF219" s="453">
        <v>0</v>
      </c>
      <c r="BG219" s="453">
        <v>0</v>
      </c>
      <c r="BH219" s="105">
        <v>0</v>
      </c>
      <c r="BI219" s="453">
        <v>0</v>
      </c>
      <c r="BJ219" s="453">
        <v>0</v>
      </c>
      <c r="BK219" s="105">
        <v>0</v>
      </c>
      <c r="BL219" s="453">
        <v>0</v>
      </c>
      <c r="BM219" s="453">
        <v>0</v>
      </c>
      <c r="BN219" s="453">
        <v>0</v>
      </c>
      <c r="BO219" s="453">
        <v>0</v>
      </c>
      <c r="BP219" s="453">
        <v>0</v>
      </c>
      <c r="BQ219" s="453">
        <v>0</v>
      </c>
      <c r="BR219" s="14">
        <v>0</v>
      </c>
      <c r="BS219" s="14">
        <v>0</v>
      </c>
      <c r="BT219" s="377" t="str">
        <v/>
      </c>
      <c r="BU219" s="105" t="str">
        <v/>
      </c>
      <c r="BV219" s="453" t="str">
        <v/>
      </c>
      <c r="BW219" s="105" t="str">
        <f ca="1"/>
        <v/>
      </c>
    </row>
    <row r="220" spans="1:75" x14ac:dyDescent="0.3">
      <c r="A220" s="1">
        <v>0</v>
      </c>
      <c r="B220" s="106">
        <v>0</v>
      </c>
      <c r="C220" s="14">
        <v>0</v>
      </c>
      <c r="D220" s="14">
        <v>0</v>
      </c>
      <c r="E220" s="14">
        <v>0</v>
      </c>
      <c r="F220" s="453">
        <v>0</v>
      </c>
      <c r="G220" s="377">
        <v>0</v>
      </c>
      <c r="H220" s="453">
        <v>0</v>
      </c>
      <c r="I220" s="453">
        <v>0</v>
      </c>
      <c r="J220" s="453">
        <v>0</v>
      </c>
      <c r="K220" s="453">
        <v>0</v>
      </c>
      <c r="L220" s="453">
        <v>0</v>
      </c>
      <c r="M220" s="453">
        <v>0</v>
      </c>
      <c r="N220" s="453">
        <v>0</v>
      </c>
      <c r="O220" s="453">
        <v>0</v>
      </c>
      <c r="P220" s="14">
        <v>0</v>
      </c>
      <c r="Q220" s="14">
        <v>0</v>
      </c>
      <c r="R220" s="453">
        <v>0</v>
      </c>
      <c r="S220" s="453">
        <v>0</v>
      </c>
      <c r="T220" s="453">
        <v>0</v>
      </c>
      <c r="U220" s="453">
        <v>0</v>
      </c>
      <c r="V220" s="453">
        <v>0</v>
      </c>
      <c r="W220" s="453">
        <v>0</v>
      </c>
      <c r="X220" s="453">
        <v>0</v>
      </c>
      <c r="Y220" s="453">
        <v>0</v>
      </c>
      <c r="Z220" s="453">
        <v>0</v>
      </c>
      <c r="AA220" s="14">
        <v>0</v>
      </c>
      <c r="AB220" s="14">
        <v>0</v>
      </c>
      <c r="AC220" s="453">
        <v>0</v>
      </c>
      <c r="AD220" s="14">
        <v>0</v>
      </c>
      <c r="AE220" s="14">
        <v>0</v>
      </c>
      <c r="AF220" s="14">
        <v>0</v>
      </c>
      <c r="AG220" s="14">
        <v>0</v>
      </c>
      <c r="AH220" s="14">
        <v>0</v>
      </c>
      <c r="AI220" s="14">
        <v>0</v>
      </c>
      <c r="AJ220" s="14">
        <v>0</v>
      </c>
      <c r="AK220" s="14">
        <v>0</v>
      </c>
      <c r="AL220" s="14">
        <v>0</v>
      </c>
      <c r="AM220" s="453">
        <v>0</v>
      </c>
      <c r="AN220" s="453">
        <v>0</v>
      </c>
      <c r="AO220" s="453">
        <v>0</v>
      </c>
      <c r="AP220" s="453">
        <v>0</v>
      </c>
      <c r="AQ220" s="453">
        <v>0</v>
      </c>
      <c r="AR220" s="453">
        <v>0</v>
      </c>
      <c r="AS220" s="453">
        <v>0</v>
      </c>
      <c r="AT220" s="453">
        <v>0</v>
      </c>
      <c r="AU220" s="453">
        <v>0</v>
      </c>
      <c r="AV220" s="453">
        <v>0</v>
      </c>
      <c r="AW220" s="453">
        <v>0</v>
      </c>
      <c r="AX220" s="453">
        <v>0</v>
      </c>
      <c r="AY220" s="453">
        <v>0</v>
      </c>
      <c r="AZ220" s="453">
        <v>0</v>
      </c>
      <c r="BA220" s="453">
        <v>0</v>
      </c>
      <c r="BB220" s="453">
        <v>0</v>
      </c>
      <c r="BC220" s="453">
        <v>0</v>
      </c>
      <c r="BD220" s="453">
        <v>0</v>
      </c>
      <c r="BE220" s="105">
        <v>0</v>
      </c>
      <c r="BF220" s="453">
        <v>0</v>
      </c>
      <c r="BG220" s="453">
        <v>0</v>
      </c>
      <c r="BH220" s="105">
        <v>0</v>
      </c>
      <c r="BI220" s="453">
        <v>0</v>
      </c>
      <c r="BJ220" s="453">
        <v>0</v>
      </c>
      <c r="BK220" s="105">
        <v>0</v>
      </c>
      <c r="BL220" s="453">
        <v>0</v>
      </c>
      <c r="BM220" s="453">
        <v>0</v>
      </c>
      <c r="BN220" s="453">
        <v>0</v>
      </c>
      <c r="BO220" s="453">
        <v>0</v>
      </c>
      <c r="BP220" s="453">
        <v>0</v>
      </c>
      <c r="BQ220" s="453">
        <v>0</v>
      </c>
      <c r="BR220" s="14">
        <v>0</v>
      </c>
      <c r="BS220" s="14">
        <v>0</v>
      </c>
      <c r="BT220" s="377" t="str">
        <v/>
      </c>
      <c r="BU220" s="105" t="str">
        <v/>
      </c>
      <c r="BV220" s="453" t="str">
        <v/>
      </c>
      <c r="BW220" s="105" t="str">
        <f ca="1"/>
        <v/>
      </c>
    </row>
    <row r="221" spans="1:75" x14ac:dyDescent="0.3">
      <c r="A221" s="1">
        <v>0</v>
      </c>
      <c r="B221" s="106">
        <v>0</v>
      </c>
      <c r="C221" s="14">
        <v>0</v>
      </c>
      <c r="D221" s="14">
        <v>0</v>
      </c>
      <c r="E221" s="14">
        <v>0</v>
      </c>
      <c r="F221" s="453">
        <v>0</v>
      </c>
      <c r="G221" s="377">
        <v>0</v>
      </c>
      <c r="H221" s="453">
        <v>0</v>
      </c>
      <c r="I221" s="453">
        <v>0</v>
      </c>
      <c r="J221" s="453">
        <v>0</v>
      </c>
      <c r="K221" s="453">
        <v>0</v>
      </c>
      <c r="L221" s="453">
        <v>0</v>
      </c>
      <c r="M221" s="453">
        <v>0</v>
      </c>
      <c r="N221" s="453">
        <v>0</v>
      </c>
      <c r="O221" s="453">
        <v>0</v>
      </c>
      <c r="P221" s="14">
        <v>0</v>
      </c>
      <c r="Q221" s="14">
        <v>0</v>
      </c>
      <c r="R221" s="453">
        <v>0</v>
      </c>
      <c r="S221" s="453">
        <v>0</v>
      </c>
      <c r="T221" s="453">
        <v>0</v>
      </c>
      <c r="U221" s="453">
        <v>0</v>
      </c>
      <c r="V221" s="453">
        <v>0</v>
      </c>
      <c r="W221" s="453">
        <v>0</v>
      </c>
      <c r="X221" s="453">
        <v>0</v>
      </c>
      <c r="Y221" s="453">
        <v>0</v>
      </c>
      <c r="Z221" s="453">
        <v>0</v>
      </c>
      <c r="AA221" s="14">
        <v>0</v>
      </c>
      <c r="AB221" s="14">
        <v>0</v>
      </c>
      <c r="AC221" s="453">
        <v>0</v>
      </c>
      <c r="AD221" s="14">
        <v>0</v>
      </c>
      <c r="AE221" s="14">
        <v>0</v>
      </c>
      <c r="AF221" s="14">
        <v>0</v>
      </c>
      <c r="AG221" s="14">
        <v>0</v>
      </c>
      <c r="AH221" s="14">
        <v>0</v>
      </c>
      <c r="AI221" s="14">
        <v>0</v>
      </c>
      <c r="AJ221" s="14">
        <v>0</v>
      </c>
      <c r="AK221" s="14">
        <v>0</v>
      </c>
      <c r="AL221" s="14">
        <v>0</v>
      </c>
      <c r="AM221" s="453">
        <v>0</v>
      </c>
      <c r="AN221" s="453">
        <v>0</v>
      </c>
      <c r="AO221" s="453">
        <v>0</v>
      </c>
      <c r="AP221" s="453">
        <v>0</v>
      </c>
      <c r="AQ221" s="453">
        <v>0</v>
      </c>
      <c r="AR221" s="453">
        <v>0</v>
      </c>
      <c r="AS221" s="453">
        <v>0</v>
      </c>
      <c r="AT221" s="453">
        <v>0</v>
      </c>
      <c r="AU221" s="453">
        <v>0</v>
      </c>
      <c r="AV221" s="453">
        <v>0</v>
      </c>
      <c r="AW221" s="453">
        <v>0</v>
      </c>
      <c r="AX221" s="453">
        <v>0</v>
      </c>
      <c r="AY221" s="453">
        <v>0</v>
      </c>
      <c r="AZ221" s="453">
        <v>0</v>
      </c>
      <c r="BA221" s="453">
        <v>0</v>
      </c>
      <c r="BB221" s="453">
        <v>0</v>
      </c>
      <c r="BC221" s="453">
        <v>0</v>
      </c>
      <c r="BD221" s="453">
        <v>0</v>
      </c>
      <c r="BE221" s="105">
        <v>0</v>
      </c>
      <c r="BF221" s="453">
        <v>0</v>
      </c>
      <c r="BG221" s="453">
        <v>0</v>
      </c>
      <c r="BH221" s="105">
        <v>0</v>
      </c>
      <c r="BI221" s="453">
        <v>0</v>
      </c>
      <c r="BJ221" s="453">
        <v>0</v>
      </c>
      <c r="BK221" s="105">
        <v>0</v>
      </c>
      <c r="BL221" s="453">
        <v>0</v>
      </c>
      <c r="BM221" s="453">
        <v>0</v>
      </c>
      <c r="BN221" s="453">
        <v>0</v>
      </c>
      <c r="BO221" s="453">
        <v>0</v>
      </c>
      <c r="BP221" s="453">
        <v>0</v>
      </c>
      <c r="BQ221" s="453">
        <v>0</v>
      </c>
      <c r="BR221" s="14">
        <v>0</v>
      </c>
      <c r="BS221" s="14">
        <v>0</v>
      </c>
      <c r="BT221" s="377" t="str">
        <v/>
      </c>
      <c r="BU221" s="105" t="str">
        <v/>
      </c>
      <c r="BV221" s="453" t="str">
        <v/>
      </c>
      <c r="BW221" s="105" t="str">
        <f ca="1"/>
        <v/>
      </c>
    </row>
    <row r="222" spans="1:75" x14ac:dyDescent="0.3">
      <c r="A222" s="1">
        <v>0</v>
      </c>
      <c r="B222" s="106">
        <v>0</v>
      </c>
      <c r="C222" s="14">
        <v>0</v>
      </c>
      <c r="D222" s="14">
        <v>0</v>
      </c>
      <c r="E222" s="14">
        <v>0</v>
      </c>
      <c r="F222" s="453">
        <v>0</v>
      </c>
      <c r="G222" s="377">
        <v>0</v>
      </c>
      <c r="H222" s="453">
        <v>0</v>
      </c>
      <c r="I222" s="453">
        <v>0</v>
      </c>
      <c r="J222" s="453">
        <v>0</v>
      </c>
      <c r="K222" s="453">
        <v>0</v>
      </c>
      <c r="L222" s="453">
        <v>0</v>
      </c>
      <c r="M222" s="453">
        <v>0</v>
      </c>
      <c r="N222" s="453">
        <v>0</v>
      </c>
      <c r="O222" s="453">
        <v>0</v>
      </c>
      <c r="P222" s="14">
        <v>0</v>
      </c>
      <c r="Q222" s="14">
        <v>0</v>
      </c>
      <c r="R222" s="453">
        <v>0</v>
      </c>
      <c r="S222" s="453">
        <v>0</v>
      </c>
      <c r="T222" s="453">
        <v>0</v>
      </c>
      <c r="U222" s="453">
        <v>0</v>
      </c>
      <c r="V222" s="453">
        <v>0</v>
      </c>
      <c r="W222" s="453">
        <v>0</v>
      </c>
      <c r="X222" s="453">
        <v>0</v>
      </c>
      <c r="Y222" s="453">
        <v>0</v>
      </c>
      <c r="Z222" s="453">
        <v>0</v>
      </c>
      <c r="AA222" s="14">
        <v>0</v>
      </c>
      <c r="AB222" s="14">
        <v>0</v>
      </c>
      <c r="AC222" s="453">
        <v>0</v>
      </c>
      <c r="AD222" s="14">
        <v>0</v>
      </c>
      <c r="AE222" s="14">
        <v>0</v>
      </c>
      <c r="AF222" s="14">
        <v>0</v>
      </c>
      <c r="AG222" s="14">
        <v>0</v>
      </c>
      <c r="AH222" s="14">
        <v>0</v>
      </c>
      <c r="AI222" s="14">
        <v>0</v>
      </c>
      <c r="AJ222" s="14">
        <v>0</v>
      </c>
      <c r="AK222" s="14">
        <v>0</v>
      </c>
      <c r="AL222" s="14">
        <v>0</v>
      </c>
      <c r="AM222" s="453">
        <v>0</v>
      </c>
      <c r="AN222" s="453">
        <v>0</v>
      </c>
      <c r="AO222" s="453">
        <v>0</v>
      </c>
      <c r="AP222" s="453">
        <v>0</v>
      </c>
      <c r="AQ222" s="453">
        <v>0</v>
      </c>
      <c r="AR222" s="453">
        <v>0</v>
      </c>
      <c r="AS222" s="453">
        <v>0</v>
      </c>
      <c r="AT222" s="453">
        <v>0</v>
      </c>
      <c r="AU222" s="453">
        <v>0</v>
      </c>
      <c r="AV222" s="453">
        <v>0</v>
      </c>
      <c r="AW222" s="453">
        <v>0</v>
      </c>
      <c r="AX222" s="453">
        <v>0</v>
      </c>
      <c r="AY222" s="453">
        <v>0</v>
      </c>
      <c r="AZ222" s="453">
        <v>0</v>
      </c>
      <c r="BA222" s="453">
        <v>0</v>
      </c>
      <c r="BB222" s="453">
        <v>0</v>
      </c>
      <c r="BC222" s="453">
        <v>0</v>
      </c>
      <c r="BD222" s="453">
        <v>0</v>
      </c>
      <c r="BE222" s="105">
        <v>0</v>
      </c>
      <c r="BF222" s="453">
        <v>0</v>
      </c>
      <c r="BG222" s="453">
        <v>0</v>
      </c>
      <c r="BH222" s="105">
        <v>0</v>
      </c>
      <c r="BI222" s="453">
        <v>0</v>
      </c>
      <c r="BJ222" s="453">
        <v>0</v>
      </c>
      <c r="BK222" s="105">
        <v>0</v>
      </c>
      <c r="BL222" s="453">
        <v>0</v>
      </c>
      <c r="BM222" s="453">
        <v>0</v>
      </c>
      <c r="BN222" s="453">
        <v>0</v>
      </c>
      <c r="BO222" s="453">
        <v>0</v>
      </c>
      <c r="BP222" s="453">
        <v>0</v>
      </c>
      <c r="BQ222" s="453">
        <v>0</v>
      </c>
      <c r="BR222" s="14">
        <v>0</v>
      </c>
      <c r="BS222" s="14">
        <v>0</v>
      </c>
      <c r="BT222" s="377" t="str">
        <v/>
      </c>
      <c r="BU222" s="105" t="str">
        <v/>
      </c>
      <c r="BV222" s="453" t="str">
        <v/>
      </c>
      <c r="BW222" s="105" t="str">
        <f ca="1"/>
        <v/>
      </c>
    </row>
    <row r="223" spans="1:75" x14ac:dyDescent="0.3">
      <c r="A223" s="1">
        <v>0</v>
      </c>
      <c r="B223" s="106">
        <v>0</v>
      </c>
      <c r="C223" s="14">
        <v>0</v>
      </c>
      <c r="D223" s="14">
        <v>0</v>
      </c>
      <c r="E223" s="14">
        <v>0</v>
      </c>
      <c r="F223" s="453">
        <v>0</v>
      </c>
      <c r="G223" s="377">
        <v>0</v>
      </c>
      <c r="H223" s="453">
        <v>0</v>
      </c>
      <c r="I223" s="453">
        <v>0</v>
      </c>
      <c r="J223" s="453">
        <v>0</v>
      </c>
      <c r="K223" s="453">
        <v>0</v>
      </c>
      <c r="L223" s="453">
        <v>0</v>
      </c>
      <c r="M223" s="453">
        <v>0</v>
      </c>
      <c r="N223" s="453">
        <v>0</v>
      </c>
      <c r="O223" s="453">
        <v>0</v>
      </c>
      <c r="P223" s="14">
        <v>0</v>
      </c>
      <c r="Q223" s="14">
        <v>0</v>
      </c>
      <c r="R223" s="453">
        <v>0</v>
      </c>
      <c r="S223" s="453">
        <v>0</v>
      </c>
      <c r="T223" s="453">
        <v>0</v>
      </c>
      <c r="U223" s="453">
        <v>0</v>
      </c>
      <c r="V223" s="453">
        <v>0</v>
      </c>
      <c r="W223" s="453">
        <v>0</v>
      </c>
      <c r="X223" s="453">
        <v>0</v>
      </c>
      <c r="Y223" s="453">
        <v>0</v>
      </c>
      <c r="Z223" s="453">
        <v>0</v>
      </c>
      <c r="AA223" s="14">
        <v>0</v>
      </c>
      <c r="AB223" s="14">
        <v>0</v>
      </c>
      <c r="AC223" s="453">
        <v>0</v>
      </c>
      <c r="AD223" s="14">
        <v>0</v>
      </c>
      <c r="AE223" s="14">
        <v>0</v>
      </c>
      <c r="AF223" s="14">
        <v>0</v>
      </c>
      <c r="AG223" s="14">
        <v>0</v>
      </c>
      <c r="AH223" s="14">
        <v>0</v>
      </c>
      <c r="AI223" s="14">
        <v>0</v>
      </c>
      <c r="AJ223" s="14">
        <v>0</v>
      </c>
      <c r="AK223" s="14">
        <v>0</v>
      </c>
      <c r="AL223" s="14">
        <v>0</v>
      </c>
      <c r="AM223" s="453">
        <v>0</v>
      </c>
      <c r="AN223" s="453">
        <v>0</v>
      </c>
      <c r="AO223" s="453">
        <v>0</v>
      </c>
      <c r="AP223" s="453">
        <v>0</v>
      </c>
      <c r="AQ223" s="453">
        <v>0</v>
      </c>
      <c r="AR223" s="453">
        <v>0</v>
      </c>
      <c r="AS223" s="453">
        <v>0</v>
      </c>
      <c r="AT223" s="453">
        <v>0</v>
      </c>
      <c r="AU223" s="453">
        <v>0</v>
      </c>
      <c r="AV223" s="453">
        <v>0</v>
      </c>
      <c r="AW223" s="453">
        <v>0</v>
      </c>
      <c r="AX223" s="453">
        <v>0</v>
      </c>
      <c r="AY223" s="453">
        <v>0</v>
      </c>
      <c r="AZ223" s="453">
        <v>0</v>
      </c>
      <c r="BA223" s="453">
        <v>0</v>
      </c>
      <c r="BB223" s="453">
        <v>0</v>
      </c>
      <c r="BC223" s="453">
        <v>0</v>
      </c>
      <c r="BD223" s="453">
        <v>0</v>
      </c>
      <c r="BE223" s="105">
        <v>0</v>
      </c>
      <c r="BF223" s="453">
        <v>0</v>
      </c>
      <c r="BG223" s="453">
        <v>0</v>
      </c>
      <c r="BH223" s="105">
        <v>0</v>
      </c>
      <c r="BI223" s="453">
        <v>0</v>
      </c>
      <c r="BJ223" s="453">
        <v>0</v>
      </c>
      <c r="BK223" s="105">
        <v>0</v>
      </c>
      <c r="BL223" s="453">
        <v>0</v>
      </c>
      <c r="BM223" s="453">
        <v>0</v>
      </c>
      <c r="BN223" s="453">
        <v>0</v>
      </c>
      <c r="BO223" s="453">
        <v>0</v>
      </c>
      <c r="BP223" s="453">
        <v>0</v>
      </c>
      <c r="BQ223" s="453">
        <v>0</v>
      </c>
      <c r="BR223" s="14">
        <v>0</v>
      </c>
      <c r="BS223" s="14">
        <v>0</v>
      </c>
      <c r="BT223" s="377" t="str">
        <v/>
      </c>
      <c r="BU223" s="105" t="str">
        <v/>
      </c>
      <c r="BV223" s="453" t="str">
        <v/>
      </c>
      <c r="BW223" s="105" t="str">
        <f ca="1"/>
        <v/>
      </c>
    </row>
    <row r="224" spans="1:75" x14ac:dyDescent="0.3">
      <c r="A224" s="1">
        <v>0</v>
      </c>
      <c r="B224" s="106">
        <v>0</v>
      </c>
      <c r="C224" s="14">
        <v>0</v>
      </c>
      <c r="D224" s="14">
        <v>0</v>
      </c>
      <c r="E224" s="14">
        <v>0</v>
      </c>
      <c r="F224" s="453">
        <v>0</v>
      </c>
      <c r="G224" s="377">
        <v>0</v>
      </c>
      <c r="H224" s="453">
        <v>0</v>
      </c>
      <c r="I224" s="453">
        <v>0</v>
      </c>
      <c r="J224" s="453">
        <v>0</v>
      </c>
      <c r="K224" s="453">
        <v>0</v>
      </c>
      <c r="L224" s="453">
        <v>0</v>
      </c>
      <c r="M224" s="453">
        <v>0</v>
      </c>
      <c r="N224" s="453">
        <v>0</v>
      </c>
      <c r="O224" s="453">
        <v>0</v>
      </c>
      <c r="P224" s="14">
        <v>0</v>
      </c>
      <c r="Q224" s="14">
        <v>0</v>
      </c>
      <c r="R224" s="453">
        <v>0</v>
      </c>
      <c r="S224" s="453">
        <v>0</v>
      </c>
      <c r="T224" s="453">
        <v>0</v>
      </c>
      <c r="U224" s="453">
        <v>0</v>
      </c>
      <c r="V224" s="453">
        <v>0</v>
      </c>
      <c r="W224" s="453">
        <v>0</v>
      </c>
      <c r="X224" s="453">
        <v>0</v>
      </c>
      <c r="Y224" s="453">
        <v>0</v>
      </c>
      <c r="Z224" s="453">
        <v>0</v>
      </c>
      <c r="AA224" s="14">
        <v>0</v>
      </c>
      <c r="AB224" s="14">
        <v>0</v>
      </c>
      <c r="AC224" s="453">
        <v>0</v>
      </c>
      <c r="AD224" s="14">
        <v>0</v>
      </c>
      <c r="AE224" s="14">
        <v>0</v>
      </c>
      <c r="AF224" s="14">
        <v>0</v>
      </c>
      <c r="AG224" s="14">
        <v>0</v>
      </c>
      <c r="AH224" s="14">
        <v>0</v>
      </c>
      <c r="AI224" s="14">
        <v>0</v>
      </c>
      <c r="AJ224" s="14">
        <v>0</v>
      </c>
      <c r="AK224" s="14">
        <v>0</v>
      </c>
      <c r="AL224" s="14">
        <v>0</v>
      </c>
      <c r="AM224" s="453">
        <v>0</v>
      </c>
      <c r="AN224" s="453">
        <v>0</v>
      </c>
      <c r="AO224" s="453">
        <v>0</v>
      </c>
      <c r="AP224" s="453">
        <v>0</v>
      </c>
      <c r="AQ224" s="453">
        <v>0</v>
      </c>
      <c r="AR224" s="453">
        <v>0</v>
      </c>
      <c r="AS224" s="453">
        <v>0</v>
      </c>
      <c r="AT224" s="453">
        <v>0</v>
      </c>
      <c r="AU224" s="453">
        <v>0</v>
      </c>
      <c r="AV224" s="453">
        <v>0</v>
      </c>
      <c r="AW224" s="453">
        <v>0</v>
      </c>
      <c r="AX224" s="453">
        <v>0</v>
      </c>
      <c r="AY224" s="453">
        <v>0</v>
      </c>
      <c r="AZ224" s="453">
        <v>0</v>
      </c>
      <c r="BA224" s="453">
        <v>0</v>
      </c>
      <c r="BB224" s="453">
        <v>0</v>
      </c>
      <c r="BC224" s="453">
        <v>0</v>
      </c>
      <c r="BD224" s="453">
        <v>0</v>
      </c>
      <c r="BE224" s="105">
        <v>0</v>
      </c>
      <c r="BF224" s="453">
        <v>0</v>
      </c>
      <c r="BG224" s="453">
        <v>0</v>
      </c>
      <c r="BH224" s="105">
        <v>0</v>
      </c>
      <c r="BI224" s="453">
        <v>0</v>
      </c>
      <c r="BJ224" s="453">
        <v>0</v>
      </c>
      <c r="BK224" s="105">
        <v>0</v>
      </c>
      <c r="BL224" s="453">
        <v>0</v>
      </c>
      <c r="BM224" s="453">
        <v>0</v>
      </c>
      <c r="BN224" s="453">
        <v>0</v>
      </c>
      <c r="BO224" s="453">
        <v>0</v>
      </c>
      <c r="BP224" s="453">
        <v>0</v>
      </c>
      <c r="BQ224" s="453">
        <v>0</v>
      </c>
      <c r="BR224" s="14">
        <v>0</v>
      </c>
      <c r="BS224" s="14">
        <v>0</v>
      </c>
      <c r="BT224" s="377" t="str">
        <v/>
      </c>
      <c r="BU224" s="105" t="str">
        <v/>
      </c>
      <c r="BV224" s="453" t="str">
        <v/>
      </c>
      <c r="BW224" s="105" t="str">
        <f ca="1"/>
        <v/>
      </c>
    </row>
    <row r="225" spans="1:75" x14ac:dyDescent="0.3">
      <c r="A225" s="1">
        <v>0</v>
      </c>
      <c r="B225" s="106">
        <v>0</v>
      </c>
      <c r="C225" s="14">
        <v>0</v>
      </c>
      <c r="D225" s="14">
        <v>0</v>
      </c>
      <c r="E225" s="14">
        <v>0</v>
      </c>
      <c r="F225" s="453">
        <v>0</v>
      </c>
      <c r="G225" s="377">
        <v>0</v>
      </c>
      <c r="H225" s="453">
        <v>0</v>
      </c>
      <c r="I225" s="453">
        <v>0</v>
      </c>
      <c r="J225" s="453">
        <v>0</v>
      </c>
      <c r="K225" s="453">
        <v>0</v>
      </c>
      <c r="L225" s="453">
        <v>0</v>
      </c>
      <c r="M225" s="453">
        <v>0</v>
      </c>
      <c r="N225" s="453">
        <v>0</v>
      </c>
      <c r="O225" s="453">
        <v>0</v>
      </c>
      <c r="P225" s="14">
        <v>0</v>
      </c>
      <c r="Q225" s="14">
        <v>0</v>
      </c>
      <c r="R225" s="453">
        <v>0</v>
      </c>
      <c r="S225" s="453">
        <v>0</v>
      </c>
      <c r="T225" s="453">
        <v>0</v>
      </c>
      <c r="U225" s="453">
        <v>0</v>
      </c>
      <c r="V225" s="453">
        <v>0</v>
      </c>
      <c r="W225" s="453">
        <v>0</v>
      </c>
      <c r="X225" s="453">
        <v>0</v>
      </c>
      <c r="Y225" s="453">
        <v>0</v>
      </c>
      <c r="Z225" s="453">
        <v>0</v>
      </c>
      <c r="AA225" s="14">
        <v>0</v>
      </c>
      <c r="AB225" s="14">
        <v>0</v>
      </c>
      <c r="AC225" s="453">
        <v>0</v>
      </c>
      <c r="AD225" s="14">
        <v>0</v>
      </c>
      <c r="AE225" s="14">
        <v>0</v>
      </c>
      <c r="AF225" s="14">
        <v>0</v>
      </c>
      <c r="AG225" s="14">
        <v>0</v>
      </c>
      <c r="AH225" s="14">
        <v>0</v>
      </c>
      <c r="AI225" s="14">
        <v>0</v>
      </c>
      <c r="AJ225" s="14">
        <v>0</v>
      </c>
      <c r="AK225" s="14">
        <v>0</v>
      </c>
      <c r="AL225" s="14">
        <v>0</v>
      </c>
      <c r="AM225" s="453">
        <v>0</v>
      </c>
      <c r="AN225" s="453">
        <v>0</v>
      </c>
      <c r="AO225" s="453">
        <v>0</v>
      </c>
      <c r="AP225" s="453">
        <v>0</v>
      </c>
      <c r="AQ225" s="453">
        <v>0</v>
      </c>
      <c r="AR225" s="453">
        <v>0</v>
      </c>
      <c r="AS225" s="453">
        <v>0</v>
      </c>
      <c r="AT225" s="453">
        <v>0</v>
      </c>
      <c r="AU225" s="453">
        <v>0</v>
      </c>
      <c r="AV225" s="453">
        <v>0</v>
      </c>
      <c r="AW225" s="453">
        <v>0</v>
      </c>
      <c r="AX225" s="453">
        <v>0</v>
      </c>
      <c r="AY225" s="453">
        <v>0</v>
      </c>
      <c r="AZ225" s="453">
        <v>0</v>
      </c>
      <c r="BA225" s="453">
        <v>0</v>
      </c>
      <c r="BB225" s="453">
        <v>0</v>
      </c>
      <c r="BC225" s="453">
        <v>0</v>
      </c>
      <c r="BD225" s="453">
        <v>0</v>
      </c>
      <c r="BE225" s="105">
        <v>0</v>
      </c>
      <c r="BF225" s="453">
        <v>0</v>
      </c>
      <c r="BG225" s="453">
        <v>0</v>
      </c>
      <c r="BH225" s="105">
        <v>0</v>
      </c>
      <c r="BI225" s="453">
        <v>0</v>
      </c>
      <c r="BJ225" s="453">
        <v>0</v>
      </c>
      <c r="BK225" s="105">
        <v>0</v>
      </c>
      <c r="BL225" s="453">
        <v>0</v>
      </c>
      <c r="BM225" s="453">
        <v>0</v>
      </c>
      <c r="BN225" s="453">
        <v>0</v>
      </c>
      <c r="BO225" s="453">
        <v>0</v>
      </c>
      <c r="BP225" s="453">
        <v>0</v>
      </c>
      <c r="BQ225" s="453">
        <v>0</v>
      </c>
      <c r="BR225" s="14">
        <v>0</v>
      </c>
      <c r="BS225" s="14">
        <v>0</v>
      </c>
      <c r="BT225" s="377" t="str">
        <v/>
      </c>
      <c r="BU225" s="105" t="str">
        <v/>
      </c>
      <c r="BV225" s="453" t="str">
        <v/>
      </c>
      <c r="BW225" s="105" t="str">
        <f ca="1"/>
        <v/>
      </c>
    </row>
    <row r="226" spans="1:75" x14ac:dyDescent="0.3">
      <c r="A226" s="1">
        <v>0</v>
      </c>
      <c r="B226" s="106">
        <v>0</v>
      </c>
      <c r="C226" s="14">
        <v>0</v>
      </c>
      <c r="D226" s="14">
        <v>0</v>
      </c>
      <c r="E226" s="14">
        <v>0</v>
      </c>
      <c r="F226" s="453">
        <v>0</v>
      </c>
      <c r="G226" s="377">
        <v>0</v>
      </c>
      <c r="H226" s="453">
        <v>0</v>
      </c>
      <c r="I226" s="453">
        <v>0</v>
      </c>
      <c r="J226" s="453">
        <v>0</v>
      </c>
      <c r="K226" s="453">
        <v>0</v>
      </c>
      <c r="L226" s="453">
        <v>0</v>
      </c>
      <c r="M226" s="453">
        <v>0</v>
      </c>
      <c r="N226" s="453">
        <v>0</v>
      </c>
      <c r="O226" s="453">
        <v>0</v>
      </c>
      <c r="P226" s="14">
        <v>0</v>
      </c>
      <c r="Q226" s="14">
        <v>0</v>
      </c>
      <c r="R226" s="453">
        <v>0</v>
      </c>
      <c r="S226" s="453">
        <v>0</v>
      </c>
      <c r="T226" s="453">
        <v>0</v>
      </c>
      <c r="U226" s="453">
        <v>0</v>
      </c>
      <c r="V226" s="453">
        <v>0</v>
      </c>
      <c r="W226" s="453">
        <v>0</v>
      </c>
      <c r="X226" s="453">
        <v>0</v>
      </c>
      <c r="Y226" s="453">
        <v>0</v>
      </c>
      <c r="Z226" s="453">
        <v>0</v>
      </c>
      <c r="AA226" s="14">
        <v>0</v>
      </c>
      <c r="AB226" s="14">
        <v>0</v>
      </c>
      <c r="AC226" s="453">
        <v>0</v>
      </c>
      <c r="AD226" s="14">
        <v>0</v>
      </c>
      <c r="AE226" s="14">
        <v>0</v>
      </c>
      <c r="AF226" s="14">
        <v>0</v>
      </c>
      <c r="AG226" s="14">
        <v>0</v>
      </c>
      <c r="AH226" s="14">
        <v>0</v>
      </c>
      <c r="AI226" s="14">
        <v>0</v>
      </c>
      <c r="AJ226" s="14">
        <v>0</v>
      </c>
      <c r="AK226" s="14">
        <v>0</v>
      </c>
      <c r="AL226" s="14">
        <v>0</v>
      </c>
      <c r="AM226" s="453">
        <v>0</v>
      </c>
      <c r="AN226" s="453">
        <v>0</v>
      </c>
      <c r="AO226" s="453">
        <v>0</v>
      </c>
      <c r="AP226" s="453">
        <v>0</v>
      </c>
      <c r="AQ226" s="453">
        <v>0</v>
      </c>
      <c r="AR226" s="453">
        <v>0</v>
      </c>
      <c r="AS226" s="453">
        <v>0</v>
      </c>
      <c r="AT226" s="453">
        <v>0</v>
      </c>
      <c r="AU226" s="453">
        <v>0</v>
      </c>
      <c r="AV226" s="453">
        <v>0</v>
      </c>
      <c r="AW226" s="453">
        <v>0</v>
      </c>
      <c r="AX226" s="453">
        <v>0</v>
      </c>
      <c r="AY226" s="453">
        <v>0</v>
      </c>
      <c r="AZ226" s="453">
        <v>0</v>
      </c>
      <c r="BA226" s="453">
        <v>0</v>
      </c>
      <c r="BB226" s="453">
        <v>0</v>
      </c>
      <c r="BC226" s="453">
        <v>0</v>
      </c>
      <c r="BD226" s="453">
        <v>0</v>
      </c>
      <c r="BE226" s="105">
        <v>0</v>
      </c>
      <c r="BF226" s="453">
        <v>0</v>
      </c>
      <c r="BG226" s="453">
        <v>0</v>
      </c>
      <c r="BH226" s="105">
        <v>0</v>
      </c>
      <c r="BI226" s="453">
        <v>0</v>
      </c>
      <c r="BJ226" s="453">
        <v>0</v>
      </c>
      <c r="BK226" s="105">
        <v>0</v>
      </c>
      <c r="BL226" s="453">
        <v>0</v>
      </c>
      <c r="BM226" s="453">
        <v>0</v>
      </c>
      <c r="BN226" s="453">
        <v>0</v>
      </c>
      <c r="BO226" s="453">
        <v>0</v>
      </c>
      <c r="BP226" s="453">
        <v>0</v>
      </c>
      <c r="BQ226" s="453">
        <v>0</v>
      </c>
      <c r="BR226" s="14">
        <v>0</v>
      </c>
      <c r="BS226" s="14">
        <v>0</v>
      </c>
      <c r="BT226" s="377" t="str">
        <v/>
      </c>
      <c r="BU226" s="105" t="str">
        <v/>
      </c>
      <c r="BV226" s="453" t="str">
        <v/>
      </c>
      <c r="BW226" s="105" t="str">
        <f ca="1"/>
        <v/>
      </c>
    </row>
    <row r="227" spans="1:75" x14ac:dyDescent="0.3">
      <c r="A227" s="1">
        <v>0</v>
      </c>
      <c r="B227" s="106">
        <v>0</v>
      </c>
      <c r="C227" s="14">
        <v>0</v>
      </c>
      <c r="D227" s="14">
        <v>0</v>
      </c>
      <c r="E227" s="14">
        <v>0</v>
      </c>
      <c r="F227" s="453">
        <v>0</v>
      </c>
      <c r="G227" s="377">
        <v>0</v>
      </c>
      <c r="H227" s="453">
        <v>0</v>
      </c>
      <c r="I227" s="453">
        <v>0</v>
      </c>
      <c r="J227" s="453">
        <v>0</v>
      </c>
      <c r="K227" s="453">
        <v>0</v>
      </c>
      <c r="L227" s="453">
        <v>0</v>
      </c>
      <c r="M227" s="453">
        <v>0</v>
      </c>
      <c r="N227" s="453">
        <v>0</v>
      </c>
      <c r="O227" s="453">
        <v>0</v>
      </c>
      <c r="P227" s="14">
        <v>0</v>
      </c>
      <c r="Q227" s="14">
        <v>0</v>
      </c>
      <c r="R227" s="453">
        <v>0</v>
      </c>
      <c r="S227" s="453">
        <v>0</v>
      </c>
      <c r="T227" s="453">
        <v>0</v>
      </c>
      <c r="U227" s="453">
        <v>0</v>
      </c>
      <c r="V227" s="453">
        <v>0</v>
      </c>
      <c r="W227" s="453">
        <v>0</v>
      </c>
      <c r="X227" s="453">
        <v>0</v>
      </c>
      <c r="Y227" s="453">
        <v>0</v>
      </c>
      <c r="Z227" s="453">
        <v>0</v>
      </c>
      <c r="AA227" s="14">
        <v>0</v>
      </c>
      <c r="AB227" s="14">
        <v>0</v>
      </c>
      <c r="AC227" s="453">
        <v>0</v>
      </c>
      <c r="AD227" s="14">
        <v>0</v>
      </c>
      <c r="AE227" s="14">
        <v>0</v>
      </c>
      <c r="AF227" s="14">
        <v>0</v>
      </c>
      <c r="AG227" s="14">
        <v>0</v>
      </c>
      <c r="AH227" s="14">
        <v>0</v>
      </c>
      <c r="AI227" s="14">
        <v>0</v>
      </c>
      <c r="AJ227" s="14">
        <v>0</v>
      </c>
      <c r="AK227" s="14">
        <v>0</v>
      </c>
      <c r="AL227" s="14">
        <v>0</v>
      </c>
      <c r="AM227" s="453">
        <v>0</v>
      </c>
      <c r="AN227" s="453">
        <v>0</v>
      </c>
      <c r="AO227" s="453">
        <v>0</v>
      </c>
      <c r="AP227" s="453">
        <v>0</v>
      </c>
      <c r="AQ227" s="453">
        <v>0</v>
      </c>
      <c r="AR227" s="453">
        <v>0</v>
      </c>
      <c r="AS227" s="453">
        <v>0</v>
      </c>
      <c r="AT227" s="453">
        <v>0</v>
      </c>
      <c r="AU227" s="453">
        <v>0</v>
      </c>
      <c r="AV227" s="453">
        <v>0</v>
      </c>
      <c r="AW227" s="453">
        <v>0</v>
      </c>
      <c r="AX227" s="453">
        <v>0</v>
      </c>
      <c r="AY227" s="453">
        <v>0</v>
      </c>
      <c r="AZ227" s="453">
        <v>0</v>
      </c>
      <c r="BA227" s="453">
        <v>0</v>
      </c>
      <c r="BB227" s="453">
        <v>0</v>
      </c>
      <c r="BC227" s="453">
        <v>0</v>
      </c>
      <c r="BD227" s="453">
        <v>0</v>
      </c>
      <c r="BE227" s="105">
        <v>0</v>
      </c>
      <c r="BF227" s="453">
        <v>0</v>
      </c>
      <c r="BG227" s="453">
        <v>0</v>
      </c>
      <c r="BH227" s="105">
        <v>0</v>
      </c>
      <c r="BI227" s="453">
        <v>0</v>
      </c>
      <c r="BJ227" s="453">
        <v>0</v>
      </c>
      <c r="BK227" s="105">
        <v>0</v>
      </c>
      <c r="BL227" s="453">
        <v>0</v>
      </c>
      <c r="BM227" s="453">
        <v>0</v>
      </c>
      <c r="BN227" s="453">
        <v>0</v>
      </c>
      <c r="BO227" s="453">
        <v>0</v>
      </c>
      <c r="BP227" s="453">
        <v>0</v>
      </c>
      <c r="BQ227" s="453">
        <v>0</v>
      </c>
      <c r="BR227" s="14">
        <v>0</v>
      </c>
      <c r="BS227" s="14">
        <v>0</v>
      </c>
      <c r="BT227" s="377" t="str">
        <v/>
      </c>
      <c r="BU227" s="105" t="str">
        <v/>
      </c>
      <c r="BV227" s="453" t="str">
        <v/>
      </c>
      <c r="BW227" s="105" t="str">
        <f ca="1"/>
        <v/>
      </c>
    </row>
    <row r="228" spans="1:75" x14ac:dyDescent="0.3">
      <c r="A228" s="1">
        <v>0</v>
      </c>
      <c r="B228" s="106">
        <v>0</v>
      </c>
      <c r="C228" s="14">
        <v>0</v>
      </c>
      <c r="D228" s="14">
        <v>0</v>
      </c>
      <c r="E228" s="14">
        <v>0</v>
      </c>
      <c r="F228" s="453">
        <v>0</v>
      </c>
      <c r="G228" s="377">
        <v>0</v>
      </c>
      <c r="H228" s="453">
        <v>0</v>
      </c>
      <c r="I228" s="453">
        <v>0</v>
      </c>
      <c r="J228" s="453">
        <v>0</v>
      </c>
      <c r="K228" s="453">
        <v>0</v>
      </c>
      <c r="L228" s="453">
        <v>0</v>
      </c>
      <c r="M228" s="453">
        <v>0</v>
      </c>
      <c r="N228" s="453">
        <v>0</v>
      </c>
      <c r="O228" s="453">
        <v>0</v>
      </c>
      <c r="P228" s="14">
        <v>0</v>
      </c>
      <c r="Q228" s="14">
        <v>0</v>
      </c>
      <c r="R228" s="453">
        <v>0</v>
      </c>
      <c r="S228" s="453">
        <v>0</v>
      </c>
      <c r="T228" s="453">
        <v>0</v>
      </c>
      <c r="U228" s="453">
        <v>0</v>
      </c>
      <c r="V228" s="453">
        <v>0</v>
      </c>
      <c r="W228" s="453">
        <v>0</v>
      </c>
      <c r="X228" s="453">
        <v>0</v>
      </c>
      <c r="Y228" s="453">
        <v>0</v>
      </c>
      <c r="Z228" s="453">
        <v>0</v>
      </c>
      <c r="AA228" s="14">
        <v>0</v>
      </c>
      <c r="AB228" s="14">
        <v>0</v>
      </c>
      <c r="AC228" s="453">
        <v>0</v>
      </c>
      <c r="AD228" s="14">
        <v>0</v>
      </c>
      <c r="AE228" s="14">
        <v>0</v>
      </c>
      <c r="AF228" s="14">
        <v>0</v>
      </c>
      <c r="AG228" s="14">
        <v>0</v>
      </c>
      <c r="AH228" s="14">
        <v>0</v>
      </c>
      <c r="AI228" s="14">
        <v>0</v>
      </c>
      <c r="AJ228" s="14">
        <v>0</v>
      </c>
      <c r="AK228" s="14">
        <v>0</v>
      </c>
      <c r="AL228" s="14">
        <v>0</v>
      </c>
      <c r="AM228" s="453">
        <v>0</v>
      </c>
      <c r="AN228" s="453">
        <v>0</v>
      </c>
      <c r="AO228" s="453">
        <v>0</v>
      </c>
      <c r="AP228" s="453">
        <v>0</v>
      </c>
      <c r="AQ228" s="453">
        <v>0</v>
      </c>
      <c r="AR228" s="453">
        <v>0</v>
      </c>
      <c r="AS228" s="453">
        <v>0</v>
      </c>
      <c r="AT228" s="453">
        <v>0</v>
      </c>
      <c r="AU228" s="453">
        <v>0</v>
      </c>
      <c r="AV228" s="453">
        <v>0</v>
      </c>
      <c r="AW228" s="453">
        <v>0</v>
      </c>
      <c r="AX228" s="453">
        <v>0</v>
      </c>
      <c r="AY228" s="453">
        <v>0</v>
      </c>
      <c r="AZ228" s="453">
        <v>0</v>
      </c>
      <c r="BA228" s="453">
        <v>0</v>
      </c>
      <c r="BB228" s="453">
        <v>0</v>
      </c>
      <c r="BC228" s="453">
        <v>0</v>
      </c>
      <c r="BD228" s="453">
        <v>0</v>
      </c>
      <c r="BE228" s="105">
        <v>0</v>
      </c>
      <c r="BF228" s="453">
        <v>0</v>
      </c>
      <c r="BG228" s="453">
        <v>0</v>
      </c>
      <c r="BH228" s="105">
        <v>0</v>
      </c>
      <c r="BI228" s="453">
        <v>0</v>
      </c>
      <c r="BJ228" s="453">
        <v>0</v>
      </c>
      <c r="BK228" s="105">
        <v>0</v>
      </c>
      <c r="BL228" s="453">
        <v>0</v>
      </c>
      <c r="BM228" s="453">
        <v>0</v>
      </c>
      <c r="BN228" s="453">
        <v>0</v>
      </c>
      <c r="BO228" s="453">
        <v>0</v>
      </c>
      <c r="BP228" s="453">
        <v>0</v>
      </c>
      <c r="BQ228" s="453">
        <v>0</v>
      </c>
      <c r="BR228" s="14">
        <v>0</v>
      </c>
      <c r="BS228" s="14">
        <v>0</v>
      </c>
      <c r="BT228" s="377" t="str">
        <v/>
      </c>
      <c r="BU228" s="105" t="str">
        <v/>
      </c>
      <c r="BV228" s="453" t="str">
        <v/>
      </c>
      <c r="BW228" s="105" t="str">
        <f ca="1"/>
        <v/>
      </c>
    </row>
    <row r="229" spans="1:75" x14ac:dyDescent="0.3">
      <c r="A229" s="1">
        <v>0</v>
      </c>
      <c r="B229" s="106">
        <v>0</v>
      </c>
      <c r="C229" s="14">
        <v>0</v>
      </c>
      <c r="D229" s="14">
        <v>0</v>
      </c>
      <c r="E229" s="14">
        <v>0</v>
      </c>
      <c r="F229" s="453">
        <v>0</v>
      </c>
      <c r="G229" s="377">
        <v>0</v>
      </c>
      <c r="H229" s="453">
        <v>0</v>
      </c>
      <c r="I229" s="453">
        <v>0</v>
      </c>
      <c r="J229" s="453">
        <v>0</v>
      </c>
      <c r="K229" s="453">
        <v>0</v>
      </c>
      <c r="L229" s="453">
        <v>0</v>
      </c>
      <c r="M229" s="453">
        <v>0</v>
      </c>
      <c r="N229" s="453">
        <v>0</v>
      </c>
      <c r="O229" s="453">
        <v>0</v>
      </c>
      <c r="P229" s="14">
        <v>0</v>
      </c>
      <c r="Q229" s="14">
        <v>0</v>
      </c>
      <c r="R229" s="453">
        <v>0</v>
      </c>
      <c r="S229" s="453">
        <v>0</v>
      </c>
      <c r="T229" s="453">
        <v>0</v>
      </c>
      <c r="U229" s="453">
        <v>0</v>
      </c>
      <c r="V229" s="453">
        <v>0</v>
      </c>
      <c r="W229" s="453">
        <v>0</v>
      </c>
      <c r="X229" s="453">
        <v>0</v>
      </c>
      <c r="Y229" s="453">
        <v>0</v>
      </c>
      <c r="Z229" s="453">
        <v>0</v>
      </c>
      <c r="AA229" s="14">
        <v>0</v>
      </c>
      <c r="AB229" s="14">
        <v>0</v>
      </c>
      <c r="AC229" s="453">
        <v>0</v>
      </c>
      <c r="AD229" s="14">
        <v>0</v>
      </c>
      <c r="AE229" s="14">
        <v>0</v>
      </c>
      <c r="AF229" s="14">
        <v>0</v>
      </c>
      <c r="AG229" s="14">
        <v>0</v>
      </c>
      <c r="AH229" s="14">
        <v>0</v>
      </c>
      <c r="AI229" s="14">
        <v>0</v>
      </c>
      <c r="AJ229" s="14">
        <v>0</v>
      </c>
      <c r="AK229" s="14">
        <v>0</v>
      </c>
      <c r="AL229" s="14">
        <v>0</v>
      </c>
      <c r="AM229" s="453">
        <v>0</v>
      </c>
      <c r="AN229" s="453">
        <v>0</v>
      </c>
      <c r="AO229" s="453">
        <v>0</v>
      </c>
      <c r="AP229" s="453">
        <v>0</v>
      </c>
      <c r="AQ229" s="453">
        <v>0</v>
      </c>
      <c r="AR229" s="453">
        <v>0</v>
      </c>
      <c r="AS229" s="453">
        <v>0</v>
      </c>
      <c r="AT229" s="453">
        <v>0</v>
      </c>
      <c r="AU229" s="453">
        <v>0</v>
      </c>
      <c r="AV229" s="453">
        <v>0</v>
      </c>
      <c r="AW229" s="453">
        <v>0</v>
      </c>
      <c r="AX229" s="453">
        <v>0</v>
      </c>
      <c r="AY229" s="453">
        <v>0</v>
      </c>
      <c r="AZ229" s="453">
        <v>0</v>
      </c>
      <c r="BA229" s="453">
        <v>0</v>
      </c>
      <c r="BB229" s="453">
        <v>0</v>
      </c>
      <c r="BC229" s="453">
        <v>0</v>
      </c>
      <c r="BD229" s="453">
        <v>0</v>
      </c>
      <c r="BE229" s="105">
        <v>0</v>
      </c>
      <c r="BF229" s="453">
        <v>0</v>
      </c>
      <c r="BG229" s="453">
        <v>0</v>
      </c>
      <c r="BH229" s="105">
        <v>0</v>
      </c>
      <c r="BI229" s="453">
        <v>0</v>
      </c>
      <c r="BJ229" s="453">
        <v>0</v>
      </c>
      <c r="BK229" s="105">
        <v>0</v>
      </c>
      <c r="BL229" s="453">
        <v>0</v>
      </c>
      <c r="BM229" s="453">
        <v>0</v>
      </c>
      <c r="BN229" s="453">
        <v>0</v>
      </c>
      <c r="BO229" s="453">
        <v>0</v>
      </c>
      <c r="BP229" s="453">
        <v>0</v>
      </c>
      <c r="BQ229" s="453">
        <v>0</v>
      </c>
      <c r="BR229" s="14">
        <v>0</v>
      </c>
      <c r="BS229" s="14">
        <v>0</v>
      </c>
      <c r="BT229" s="377" t="str">
        <v/>
      </c>
      <c r="BU229" s="105" t="str">
        <v/>
      </c>
      <c r="BV229" s="453" t="str">
        <v/>
      </c>
      <c r="BW229" s="105" t="str">
        <f ca="1"/>
        <v/>
      </c>
    </row>
    <row r="230" spans="1:75" x14ac:dyDescent="0.3">
      <c r="A230" s="1">
        <v>0</v>
      </c>
      <c r="B230" s="106">
        <v>0</v>
      </c>
      <c r="C230" s="14">
        <v>0</v>
      </c>
      <c r="D230" s="14">
        <v>0</v>
      </c>
      <c r="E230" s="14">
        <v>0</v>
      </c>
      <c r="F230" s="453">
        <v>0</v>
      </c>
      <c r="G230" s="377">
        <v>0</v>
      </c>
      <c r="H230" s="453">
        <v>0</v>
      </c>
      <c r="I230" s="453">
        <v>0</v>
      </c>
      <c r="J230" s="453">
        <v>0</v>
      </c>
      <c r="K230" s="453">
        <v>0</v>
      </c>
      <c r="L230" s="453">
        <v>0</v>
      </c>
      <c r="M230" s="453">
        <v>0</v>
      </c>
      <c r="N230" s="453">
        <v>0</v>
      </c>
      <c r="O230" s="453">
        <v>0</v>
      </c>
      <c r="P230" s="14">
        <v>0</v>
      </c>
      <c r="Q230" s="14">
        <v>0</v>
      </c>
      <c r="R230" s="453">
        <v>0</v>
      </c>
      <c r="S230" s="453">
        <v>0</v>
      </c>
      <c r="T230" s="453">
        <v>0</v>
      </c>
      <c r="U230" s="453">
        <v>0</v>
      </c>
      <c r="V230" s="453">
        <v>0</v>
      </c>
      <c r="W230" s="453">
        <v>0</v>
      </c>
      <c r="X230" s="453">
        <v>0</v>
      </c>
      <c r="Y230" s="453">
        <v>0</v>
      </c>
      <c r="Z230" s="453">
        <v>0</v>
      </c>
      <c r="AA230" s="14">
        <v>0</v>
      </c>
      <c r="AB230" s="14">
        <v>0</v>
      </c>
      <c r="AC230" s="453">
        <v>0</v>
      </c>
      <c r="AD230" s="14">
        <v>0</v>
      </c>
      <c r="AE230" s="14">
        <v>0</v>
      </c>
      <c r="AF230" s="14">
        <v>0</v>
      </c>
      <c r="AG230" s="14">
        <v>0</v>
      </c>
      <c r="AH230" s="14">
        <v>0</v>
      </c>
      <c r="AI230" s="14">
        <v>0</v>
      </c>
      <c r="AJ230" s="14">
        <v>0</v>
      </c>
      <c r="AK230" s="14">
        <v>0</v>
      </c>
      <c r="AL230" s="14">
        <v>0</v>
      </c>
      <c r="AM230" s="453">
        <v>0</v>
      </c>
      <c r="AN230" s="453">
        <v>0</v>
      </c>
      <c r="AO230" s="453">
        <v>0</v>
      </c>
      <c r="AP230" s="453">
        <v>0</v>
      </c>
      <c r="AQ230" s="453">
        <v>0</v>
      </c>
      <c r="AR230" s="453">
        <v>0</v>
      </c>
      <c r="AS230" s="453">
        <v>0</v>
      </c>
      <c r="AT230" s="453">
        <v>0</v>
      </c>
      <c r="AU230" s="453">
        <v>0</v>
      </c>
      <c r="AV230" s="453">
        <v>0</v>
      </c>
      <c r="AW230" s="453">
        <v>0</v>
      </c>
      <c r="AX230" s="453">
        <v>0</v>
      </c>
      <c r="AY230" s="453">
        <v>0</v>
      </c>
      <c r="AZ230" s="453">
        <v>0</v>
      </c>
      <c r="BA230" s="453">
        <v>0</v>
      </c>
      <c r="BB230" s="453">
        <v>0</v>
      </c>
      <c r="BC230" s="453">
        <v>0</v>
      </c>
      <c r="BD230" s="453">
        <v>0</v>
      </c>
      <c r="BE230" s="105">
        <v>0</v>
      </c>
      <c r="BF230" s="453">
        <v>0</v>
      </c>
      <c r="BG230" s="453">
        <v>0</v>
      </c>
      <c r="BH230" s="105">
        <v>0</v>
      </c>
      <c r="BI230" s="453">
        <v>0</v>
      </c>
      <c r="BJ230" s="453">
        <v>0</v>
      </c>
      <c r="BK230" s="105">
        <v>0</v>
      </c>
      <c r="BL230" s="453">
        <v>0</v>
      </c>
      <c r="BM230" s="453">
        <v>0</v>
      </c>
      <c r="BN230" s="453">
        <v>0</v>
      </c>
      <c r="BO230" s="453">
        <v>0</v>
      </c>
      <c r="BP230" s="453">
        <v>0</v>
      </c>
      <c r="BQ230" s="453">
        <v>0</v>
      </c>
      <c r="BR230" s="14">
        <v>0</v>
      </c>
      <c r="BS230" s="14">
        <v>0</v>
      </c>
      <c r="BT230" s="377" t="str">
        <v/>
      </c>
      <c r="BU230" s="105" t="str">
        <v/>
      </c>
      <c r="BV230" s="453" t="str">
        <v/>
      </c>
      <c r="BW230" s="105" t="str">
        <f ca="1"/>
        <v/>
      </c>
    </row>
    <row r="231" spans="1:75" x14ac:dyDescent="0.3">
      <c r="A231" s="1">
        <v>0</v>
      </c>
      <c r="B231" s="106">
        <v>0</v>
      </c>
      <c r="C231" s="14">
        <v>0</v>
      </c>
      <c r="D231" s="14">
        <v>0</v>
      </c>
      <c r="E231" s="14">
        <v>0</v>
      </c>
      <c r="F231" s="453">
        <v>0</v>
      </c>
      <c r="G231" s="377">
        <v>0</v>
      </c>
      <c r="H231" s="453">
        <v>0</v>
      </c>
      <c r="I231" s="453">
        <v>0</v>
      </c>
      <c r="J231" s="453">
        <v>0</v>
      </c>
      <c r="K231" s="453">
        <v>0</v>
      </c>
      <c r="L231" s="453">
        <v>0</v>
      </c>
      <c r="M231" s="453">
        <v>0</v>
      </c>
      <c r="N231" s="453">
        <v>0</v>
      </c>
      <c r="O231" s="453">
        <v>0</v>
      </c>
      <c r="P231" s="14">
        <v>0</v>
      </c>
      <c r="Q231" s="14">
        <v>0</v>
      </c>
      <c r="R231" s="453">
        <v>0</v>
      </c>
      <c r="S231" s="453">
        <v>0</v>
      </c>
      <c r="T231" s="453">
        <v>0</v>
      </c>
      <c r="U231" s="453">
        <v>0</v>
      </c>
      <c r="V231" s="453">
        <v>0</v>
      </c>
      <c r="W231" s="453">
        <v>0</v>
      </c>
      <c r="X231" s="453">
        <v>0</v>
      </c>
      <c r="Y231" s="453">
        <v>0</v>
      </c>
      <c r="Z231" s="453">
        <v>0</v>
      </c>
      <c r="AA231" s="14">
        <v>0</v>
      </c>
      <c r="AB231" s="14">
        <v>0</v>
      </c>
      <c r="AC231" s="453">
        <v>0</v>
      </c>
      <c r="AD231" s="14">
        <v>0</v>
      </c>
      <c r="AE231" s="14">
        <v>0</v>
      </c>
      <c r="AF231" s="14">
        <v>0</v>
      </c>
      <c r="AG231" s="14">
        <v>0</v>
      </c>
      <c r="AH231" s="14">
        <v>0</v>
      </c>
      <c r="AI231" s="14">
        <v>0</v>
      </c>
      <c r="AJ231" s="14">
        <v>0</v>
      </c>
      <c r="AK231" s="14">
        <v>0</v>
      </c>
      <c r="AL231" s="14">
        <v>0</v>
      </c>
      <c r="AM231" s="453">
        <v>0</v>
      </c>
      <c r="AN231" s="453">
        <v>0</v>
      </c>
      <c r="AO231" s="453">
        <v>0</v>
      </c>
      <c r="AP231" s="453">
        <v>0</v>
      </c>
      <c r="AQ231" s="453">
        <v>0</v>
      </c>
      <c r="AR231" s="453">
        <v>0</v>
      </c>
      <c r="AS231" s="453">
        <v>0</v>
      </c>
      <c r="AT231" s="453">
        <v>0</v>
      </c>
      <c r="AU231" s="453">
        <v>0</v>
      </c>
      <c r="AV231" s="453">
        <v>0</v>
      </c>
      <c r="AW231" s="453">
        <v>0</v>
      </c>
      <c r="AX231" s="453">
        <v>0</v>
      </c>
      <c r="AY231" s="453">
        <v>0</v>
      </c>
      <c r="AZ231" s="453">
        <v>0</v>
      </c>
      <c r="BA231" s="453">
        <v>0</v>
      </c>
      <c r="BB231" s="453">
        <v>0</v>
      </c>
      <c r="BC231" s="453">
        <v>0</v>
      </c>
      <c r="BD231" s="453">
        <v>0</v>
      </c>
      <c r="BE231" s="105">
        <v>0</v>
      </c>
      <c r="BF231" s="453">
        <v>0</v>
      </c>
      <c r="BG231" s="453">
        <v>0</v>
      </c>
      <c r="BH231" s="105">
        <v>0</v>
      </c>
      <c r="BI231" s="453">
        <v>0</v>
      </c>
      <c r="BJ231" s="453">
        <v>0</v>
      </c>
      <c r="BK231" s="105">
        <v>0</v>
      </c>
      <c r="BL231" s="453">
        <v>0</v>
      </c>
      <c r="BM231" s="453">
        <v>0</v>
      </c>
      <c r="BN231" s="453">
        <v>0</v>
      </c>
      <c r="BO231" s="453">
        <v>0</v>
      </c>
      <c r="BP231" s="453">
        <v>0</v>
      </c>
      <c r="BQ231" s="453">
        <v>0</v>
      </c>
      <c r="BR231" s="14">
        <v>0</v>
      </c>
      <c r="BS231" s="14">
        <v>0</v>
      </c>
      <c r="BT231" s="377" t="str">
        <v/>
      </c>
      <c r="BU231" s="105" t="str">
        <v/>
      </c>
      <c r="BV231" s="453" t="str">
        <v/>
      </c>
      <c r="BW231" s="105" t="str">
        <f ca="1"/>
        <v/>
      </c>
    </row>
    <row r="232" spans="1:75" x14ac:dyDescent="0.3">
      <c r="A232" s="1">
        <v>0</v>
      </c>
      <c r="B232" s="106">
        <v>0</v>
      </c>
      <c r="C232" s="14">
        <v>0</v>
      </c>
      <c r="D232" s="14">
        <v>0</v>
      </c>
      <c r="E232" s="14">
        <v>0</v>
      </c>
      <c r="F232" s="453">
        <v>0</v>
      </c>
      <c r="G232" s="377">
        <v>0</v>
      </c>
      <c r="H232" s="453">
        <v>0</v>
      </c>
      <c r="I232" s="453">
        <v>0</v>
      </c>
      <c r="J232" s="453">
        <v>0</v>
      </c>
      <c r="K232" s="453">
        <v>0</v>
      </c>
      <c r="L232" s="453">
        <v>0</v>
      </c>
      <c r="M232" s="453">
        <v>0</v>
      </c>
      <c r="N232" s="453">
        <v>0</v>
      </c>
      <c r="O232" s="453">
        <v>0</v>
      </c>
      <c r="P232" s="14">
        <v>0</v>
      </c>
      <c r="Q232" s="14">
        <v>0</v>
      </c>
      <c r="R232" s="453">
        <v>0</v>
      </c>
      <c r="S232" s="453">
        <v>0</v>
      </c>
      <c r="T232" s="453">
        <v>0</v>
      </c>
      <c r="U232" s="453">
        <v>0</v>
      </c>
      <c r="V232" s="453">
        <v>0</v>
      </c>
      <c r="W232" s="453">
        <v>0</v>
      </c>
      <c r="X232" s="453">
        <v>0</v>
      </c>
      <c r="Y232" s="453">
        <v>0</v>
      </c>
      <c r="Z232" s="453">
        <v>0</v>
      </c>
      <c r="AA232" s="14">
        <v>0</v>
      </c>
      <c r="AB232" s="14">
        <v>0</v>
      </c>
      <c r="AC232" s="453">
        <v>0</v>
      </c>
      <c r="AD232" s="14">
        <v>0</v>
      </c>
      <c r="AE232" s="14">
        <v>0</v>
      </c>
      <c r="AF232" s="14">
        <v>0</v>
      </c>
      <c r="AG232" s="14">
        <v>0</v>
      </c>
      <c r="AH232" s="14">
        <v>0</v>
      </c>
      <c r="AI232" s="14">
        <v>0</v>
      </c>
      <c r="AJ232" s="14">
        <v>0</v>
      </c>
      <c r="AK232" s="14">
        <v>0</v>
      </c>
      <c r="AL232" s="14">
        <v>0</v>
      </c>
      <c r="AM232" s="453">
        <v>0</v>
      </c>
      <c r="AN232" s="453">
        <v>0</v>
      </c>
      <c r="AO232" s="453">
        <v>0</v>
      </c>
      <c r="AP232" s="453">
        <v>0</v>
      </c>
      <c r="AQ232" s="453">
        <v>0</v>
      </c>
      <c r="AR232" s="453">
        <v>0</v>
      </c>
      <c r="AS232" s="453">
        <v>0</v>
      </c>
      <c r="AT232" s="453">
        <v>0</v>
      </c>
      <c r="AU232" s="453">
        <v>0</v>
      </c>
      <c r="AV232" s="453">
        <v>0</v>
      </c>
      <c r="AW232" s="453">
        <v>0</v>
      </c>
      <c r="AX232" s="453">
        <v>0</v>
      </c>
      <c r="AY232" s="453">
        <v>0</v>
      </c>
      <c r="AZ232" s="453">
        <v>0</v>
      </c>
      <c r="BA232" s="453">
        <v>0</v>
      </c>
      <c r="BB232" s="453">
        <v>0</v>
      </c>
      <c r="BC232" s="453">
        <v>0</v>
      </c>
      <c r="BD232" s="453">
        <v>0</v>
      </c>
      <c r="BE232" s="105">
        <v>0</v>
      </c>
      <c r="BF232" s="453">
        <v>0</v>
      </c>
      <c r="BG232" s="453">
        <v>0</v>
      </c>
      <c r="BH232" s="105">
        <v>0</v>
      </c>
      <c r="BI232" s="453">
        <v>0</v>
      </c>
      <c r="BJ232" s="453">
        <v>0</v>
      </c>
      <c r="BK232" s="105">
        <v>0</v>
      </c>
      <c r="BL232" s="453">
        <v>0</v>
      </c>
      <c r="BM232" s="453">
        <v>0</v>
      </c>
      <c r="BN232" s="453">
        <v>0</v>
      </c>
      <c r="BO232" s="453">
        <v>0</v>
      </c>
      <c r="BP232" s="453">
        <v>0</v>
      </c>
      <c r="BQ232" s="453">
        <v>0</v>
      </c>
      <c r="BR232" s="14">
        <v>0</v>
      </c>
      <c r="BS232" s="14">
        <v>0</v>
      </c>
      <c r="BT232" s="377" t="str">
        <v/>
      </c>
      <c r="BU232" s="105" t="str">
        <v/>
      </c>
      <c r="BV232" s="453" t="str">
        <v/>
      </c>
      <c r="BW232" s="105" t="str">
        <f ca="1"/>
        <v/>
      </c>
    </row>
    <row r="233" spans="1:75" x14ac:dyDescent="0.3">
      <c r="A233" s="1">
        <v>0</v>
      </c>
      <c r="B233" s="106">
        <v>0</v>
      </c>
      <c r="C233" s="14">
        <v>0</v>
      </c>
      <c r="D233" s="14">
        <v>0</v>
      </c>
      <c r="E233" s="14">
        <v>0</v>
      </c>
      <c r="F233" s="453">
        <v>0</v>
      </c>
      <c r="G233" s="377">
        <v>0</v>
      </c>
      <c r="H233" s="453">
        <v>0</v>
      </c>
      <c r="I233" s="453">
        <v>0</v>
      </c>
      <c r="J233" s="453">
        <v>0</v>
      </c>
      <c r="K233" s="453">
        <v>0</v>
      </c>
      <c r="L233" s="453">
        <v>0</v>
      </c>
      <c r="M233" s="453">
        <v>0</v>
      </c>
      <c r="N233" s="453">
        <v>0</v>
      </c>
      <c r="O233" s="453">
        <v>0</v>
      </c>
      <c r="P233" s="14">
        <v>0</v>
      </c>
      <c r="Q233" s="14">
        <v>0</v>
      </c>
      <c r="R233" s="453">
        <v>0</v>
      </c>
      <c r="S233" s="453">
        <v>0</v>
      </c>
      <c r="T233" s="453">
        <v>0</v>
      </c>
      <c r="U233" s="453">
        <v>0</v>
      </c>
      <c r="V233" s="453">
        <v>0</v>
      </c>
      <c r="W233" s="453">
        <v>0</v>
      </c>
      <c r="X233" s="453">
        <v>0</v>
      </c>
      <c r="Y233" s="453">
        <v>0</v>
      </c>
      <c r="Z233" s="453">
        <v>0</v>
      </c>
      <c r="AA233" s="14">
        <v>0</v>
      </c>
      <c r="AB233" s="14">
        <v>0</v>
      </c>
      <c r="AC233" s="453">
        <v>0</v>
      </c>
      <c r="AD233" s="14">
        <v>0</v>
      </c>
      <c r="AE233" s="14">
        <v>0</v>
      </c>
      <c r="AF233" s="14">
        <v>0</v>
      </c>
      <c r="AG233" s="14">
        <v>0</v>
      </c>
      <c r="AH233" s="14">
        <v>0</v>
      </c>
      <c r="AI233" s="14">
        <v>0</v>
      </c>
      <c r="AJ233" s="14">
        <v>0</v>
      </c>
      <c r="AK233" s="14">
        <v>0</v>
      </c>
      <c r="AL233" s="14">
        <v>0</v>
      </c>
      <c r="AM233" s="453">
        <v>0</v>
      </c>
      <c r="AN233" s="453">
        <v>0</v>
      </c>
      <c r="AO233" s="453">
        <v>0</v>
      </c>
      <c r="AP233" s="453">
        <v>0</v>
      </c>
      <c r="AQ233" s="453">
        <v>0</v>
      </c>
      <c r="AR233" s="453">
        <v>0</v>
      </c>
      <c r="AS233" s="453">
        <v>0</v>
      </c>
      <c r="AT233" s="453">
        <v>0</v>
      </c>
      <c r="AU233" s="453">
        <v>0</v>
      </c>
      <c r="AV233" s="453">
        <v>0</v>
      </c>
      <c r="AW233" s="453">
        <v>0</v>
      </c>
      <c r="AX233" s="453">
        <v>0</v>
      </c>
      <c r="AY233" s="453">
        <v>0</v>
      </c>
      <c r="AZ233" s="453">
        <v>0</v>
      </c>
      <c r="BA233" s="453">
        <v>0</v>
      </c>
      <c r="BB233" s="453">
        <v>0</v>
      </c>
      <c r="BC233" s="453">
        <v>0</v>
      </c>
      <c r="BD233" s="453">
        <v>0</v>
      </c>
      <c r="BE233" s="105">
        <v>0</v>
      </c>
      <c r="BF233" s="453">
        <v>0</v>
      </c>
      <c r="BG233" s="453">
        <v>0</v>
      </c>
      <c r="BH233" s="105">
        <v>0</v>
      </c>
      <c r="BI233" s="453">
        <v>0</v>
      </c>
      <c r="BJ233" s="453">
        <v>0</v>
      </c>
      <c r="BK233" s="105">
        <v>0</v>
      </c>
      <c r="BL233" s="453">
        <v>0</v>
      </c>
      <c r="BM233" s="453">
        <v>0</v>
      </c>
      <c r="BN233" s="453">
        <v>0</v>
      </c>
      <c r="BO233" s="453">
        <v>0</v>
      </c>
      <c r="BP233" s="453">
        <v>0</v>
      </c>
      <c r="BQ233" s="453">
        <v>0</v>
      </c>
      <c r="BR233" s="14">
        <v>0</v>
      </c>
      <c r="BS233" s="14">
        <v>0</v>
      </c>
      <c r="BT233" s="377" t="str">
        <v/>
      </c>
      <c r="BU233" s="105" t="str">
        <v/>
      </c>
      <c r="BV233" s="453" t="str">
        <v/>
      </c>
      <c r="BW233" s="105" t="str">
        <f ca="1"/>
        <v/>
      </c>
    </row>
    <row r="234" spans="1:75" x14ac:dyDescent="0.3">
      <c r="A234" s="1">
        <v>0</v>
      </c>
      <c r="B234" s="106">
        <v>0</v>
      </c>
      <c r="C234" s="14">
        <v>0</v>
      </c>
      <c r="D234" s="14">
        <v>0</v>
      </c>
      <c r="E234" s="14">
        <v>0</v>
      </c>
      <c r="F234" s="453">
        <v>0</v>
      </c>
      <c r="G234" s="377">
        <v>0</v>
      </c>
      <c r="H234" s="453">
        <v>0</v>
      </c>
      <c r="I234" s="453">
        <v>0</v>
      </c>
      <c r="J234" s="453">
        <v>0</v>
      </c>
      <c r="K234" s="453">
        <v>0</v>
      </c>
      <c r="L234" s="453">
        <v>0</v>
      </c>
      <c r="M234" s="453">
        <v>0</v>
      </c>
      <c r="N234" s="453">
        <v>0</v>
      </c>
      <c r="O234" s="453">
        <v>0</v>
      </c>
      <c r="P234" s="14">
        <v>0</v>
      </c>
      <c r="Q234" s="14">
        <v>0</v>
      </c>
      <c r="R234" s="453">
        <v>0</v>
      </c>
      <c r="S234" s="453">
        <v>0</v>
      </c>
      <c r="T234" s="453">
        <v>0</v>
      </c>
      <c r="U234" s="453">
        <v>0</v>
      </c>
      <c r="V234" s="453">
        <v>0</v>
      </c>
      <c r="W234" s="453">
        <v>0</v>
      </c>
      <c r="X234" s="453">
        <v>0</v>
      </c>
      <c r="Y234" s="453">
        <v>0</v>
      </c>
      <c r="Z234" s="453">
        <v>0</v>
      </c>
      <c r="AA234" s="14">
        <v>0</v>
      </c>
      <c r="AB234" s="14">
        <v>0</v>
      </c>
      <c r="AC234" s="453">
        <v>0</v>
      </c>
      <c r="AD234" s="14">
        <v>0</v>
      </c>
      <c r="AE234" s="14">
        <v>0</v>
      </c>
      <c r="AF234" s="14">
        <v>0</v>
      </c>
      <c r="AG234" s="14">
        <v>0</v>
      </c>
      <c r="AH234" s="14">
        <v>0</v>
      </c>
      <c r="AI234" s="14">
        <v>0</v>
      </c>
      <c r="AJ234" s="14">
        <v>0</v>
      </c>
      <c r="AK234" s="14">
        <v>0</v>
      </c>
      <c r="AL234" s="14">
        <v>0</v>
      </c>
      <c r="AM234" s="453">
        <v>0</v>
      </c>
      <c r="AN234" s="453">
        <v>0</v>
      </c>
      <c r="AO234" s="453">
        <v>0</v>
      </c>
      <c r="AP234" s="453">
        <v>0</v>
      </c>
      <c r="AQ234" s="453">
        <v>0</v>
      </c>
      <c r="AR234" s="453">
        <v>0</v>
      </c>
      <c r="AS234" s="453">
        <v>0</v>
      </c>
      <c r="AT234" s="453">
        <v>0</v>
      </c>
      <c r="AU234" s="453">
        <v>0</v>
      </c>
      <c r="AV234" s="453">
        <v>0</v>
      </c>
      <c r="AW234" s="453">
        <v>0</v>
      </c>
      <c r="AX234" s="453">
        <v>0</v>
      </c>
      <c r="AY234" s="453">
        <v>0</v>
      </c>
      <c r="AZ234" s="453">
        <v>0</v>
      </c>
      <c r="BA234" s="453">
        <v>0</v>
      </c>
      <c r="BB234" s="453">
        <v>0</v>
      </c>
      <c r="BC234" s="453">
        <v>0</v>
      </c>
      <c r="BD234" s="453">
        <v>0</v>
      </c>
      <c r="BE234" s="105">
        <v>0</v>
      </c>
      <c r="BF234" s="453">
        <v>0</v>
      </c>
      <c r="BG234" s="453">
        <v>0</v>
      </c>
      <c r="BH234" s="105">
        <v>0</v>
      </c>
      <c r="BI234" s="453">
        <v>0</v>
      </c>
      <c r="BJ234" s="453">
        <v>0</v>
      </c>
      <c r="BK234" s="105">
        <v>0</v>
      </c>
      <c r="BL234" s="453">
        <v>0</v>
      </c>
      <c r="BM234" s="453">
        <v>0</v>
      </c>
      <c r="BN234" s="453">
        <v>0</v>
      </c>
      <c r="BO234" s="453">
        <v>0</v>
      </c>
      <c r="BP234" s="453">
        <v>0</v>
      </c>
      <c r="BQ234" s="453">
        <v>0</v>
      </c>
      <c r="BR234" s="14">
        <v>0</v>
      </c>
      <c r="BS234" s="14">
        <v>0</v>
      </c>
      <c r="BT234" s="377" t="str">
        <v/>
      </c>
      <c r="BU234" s="105" t="str">
        <v/>
      </c>
      <c r="BV234" s="453" t="str">
        <v/>
      </c>
      <c r="BW234" s="105" t="str">
        <f ca="1"/>
        <v/>
      </c>
    </row>
    <row r="235" spans="1:75" x14ac:dyDescent="0.3">
      <c r="A235" s="1">
        <v>0</v>
      </c>
      <c r="B235" s="106">
        <v>0</v>
      </c>
      <c r="C235" s="14">
        <v>0</v>
      </c>
      <c r="D235" s="14">
        <v>0</v>
      </c>
      <c r="E235" s="14">
        <v>0</v>
      </c>
      <c r="F235" s="453">
        <v>0</v>
      </c>
      <c r="G235" s="377">
        <v>0</v>
      </c>
      <c r="H235" s="453">
        <v>0</v>
      </c>
      <c r="I235" s="453">
        <v>0</v>
      </c>
      <c r="J235" s="453">
        <v>0</v>
      </c>
      <c r="K235" s="453">
        <v>0</v>
      </c>
      <c r="L235" s="453">
        <v>0</v>
      </c>
      <c r="M235" s="453">
        <v>0</v>
      </c>
      <c r="N235" s="453">
        <v>0</v>
      </c>
      <c r="O235" s="453">
        <v>0</v>
      </c>
      <c r="P235" s="14">
        <v>0</v>
      </c>
      <c r="Q235" s="14">
        <v>0</v>
      </c>
      <c r="R235" s="453">
        <v>0</v>
      </c>
      <c r="S235" s="453">
        <v>0</v>
      </c>
      <c r="T235" s="453">
        <v>0</v>
      </c>
      <c r="U235" s="453">
        <v>0</v>
      </c>
      <c r="V235" s="453">
        <v>0</v>
      </c>
      <c r="W235" s="453">
        <v>0</v>
      </c>
      <c r="X235" s="453">
        <v>0</v>
      </c>
      <c r="Y235" s="453">
        <v>0</v>
      </c>
      <c r="Z235" s="453">
        <v>0</v>
      </c>
      <c r="AA235" s="14">
        <v>0</v>
      </c>
      <c r="AB235" s="14">
        <v>0</v>
      </c>
      <c r="AC235" s="453">
        <v>0</v>
      </c>
      <c r="AD235" s="14">
        <v>0</v>
      </c>
      <c r="AE235" s="14">
        <v>0</v>
      </c>
      <c r="AF235" s="14">
        <v>0</v>
      </c>
      <c r="AG235" s="14">
        <v>0</v>
      </c>
      <c r="AH235" s="14">
        <v>0</v>
      </c>
      <c r="AI235" s="14">
        <v>0</v>
      </c>
      <c r="AJ235" s="14">
        <v>0</v>
      </c>
      <c r="AK235" s="14">
        <v>0</v>
      </c>
      <c r="AL235" s="14">
        <v>0</v>
      </c>
      <c r="AM235" s="453">
        <v>0</v>
      </c>
      <c r="AN235" s="453">
        <v>0</v>
      </c>
      <c r="AO235" s="453">
        <v>0</v>
      </c>
      <c r="AP235" s="453">
        <v>0</v>
      </c>
      <c r="AQ235" s="453">
        <v>0</v>
      </c>
      <c r="AR235" s="453">
        <v>0</v>
      </c>
      <c r="AS235" s="453">
        <v>0</v>
      </c>
      <c r="AT235" s="453">
        <v>0</v>
      </c>
      <c r="AU235" s="453">
        <v>0</v>
      </c>
      <c r="AV235" s="453">
        <v>0</v>
      </c>
      <c r="AW235" s="453">
        <v>0</v>
      </c>
      <c r="AX235" s="453">
        <v>0</v>
      </c>
      <c r="AY235" s="453">
        <v>0</v>
      </c>
      <c r="AZ235" s="453">
        <v>0</v>
      </c>
      <c r="BA235" s="453">
        <v>0</v>
      </c>
      <c r="BB235" s="453">
        <v>0</v>
      </c>
      <c r="BC235" s="453">
        <v>0</v>
      </c>
      <c r="BD235" s="453">
        <v>0</v>
      </c>
      <c r="BE235" s="105">
        <v>0</v>
      </c>
      <c r="BF235" s="453">
        <v>0</v>
      </c>
      <c r="BG235" s="453">
        <v>0</v>
      </c>
      <c r="BH235" s="105">
        <v>0</v>
      </c>
      <c r="BI235" s="453">
        <v>0</v>
      </c>
      <c r="BJ235" s="453">
        <v>0</v>
      </c>
      <c r="BK235" s="105">
        <v>0</v>
      </c>
      <c r="BL235" s="453">
        <v>0</v>
      </c>
      <c r="BM235" s="453">
        <v>0</v>
      </c>
      <c r="BN235" s="453">
        <v>0</v>
      </c>
      <c r="BO235" s="453">
        <v>0</v>
      </c>
      <c r="BP235" s="453">
        <v>0</v>
      </c>
      <c r="BQ235" s="453">
        <v>0</v>
      </c>
      <c r="BR235" s="14">
        <v>0</v>
      </c>
      <c r="BS235" s="14">
        <v>0</v>
      </c>
      <c r="BT235" s="377" t="str">
        <v/>
      </c>
      <c r="BU235" s="105" t="str">
        <v/>
      </c>
      <c r="BV235" s="453" t="str">
        <v/>
      </c>
      <c r="BW235" s="105" t="str">
        <f ca="1"/>
        <v/>
      </c>
    </row>
    <row r="236" spans="1:75" x14ac:dyDescent="0.3">
      <c r="A236" s="1">
        <v>0</v>
      </c>
      <c r="B236" s="106">
        <v>0</v>
      </c>
      <c r="C236" s="14">
        <v>0</v>
      </c>
      <c r="D236" s="14">
        <v>0</v>
      </c>
      <c r="E236" s="14">
        <v>0</v>
      </c>
      <c r="F236" s="453">
        <v>0</v>
      </c>
      <c r="G236" s="377">
        <v>0</v>
      </c>
      <c r="H236" s="453">
        <v>0</v>
      </c>
      <c r="I236" s="453">
        <v>0</v>
      </c>
      <c r="J236" s="453">
        <v>0</v>
      </c>
      <c r="K236" s="453">
        <v>0</v>
      </c>
      <c r="L236" s="453">
        <v>0</v>
      </c>
      <c r="M236" s="453">
        <v>0</v>
      </c>
      <c r="N236" s="453">
        <v>0</v>
      </c>
      <c r="O236" s="453">
        <v>0</v>
      </c>
      <c r="P236" s="14">
        <v>0</v>
      </c>
      <c r="Q236" s="14">
        <v>0</v>
      </c>
      <c r="R236" s="453">
        <v>0</v>
      </c>
      <c r="S236" s="453">
        <v>0</v>
      </c>
      <c r="T236" s="453">
        <v>0</v>
      </c>
      <c r="U236" s="453">
        <v>0</v>
      </c>
      <c r="V236" s="453">
        <v>0</v>
      </c>
      <c r="W236" s="453">
        <v>0</v>
      </c>
      <c r="X236" s="453">
        <v>0</v>
      </c>
      <c r="Y236" s="453">
        <v>0</v>
      </c>
      <c r="Z236" s="453">
        <v>0</v>
      </c>
      <c r="AA236" s="14">
        <v>0</v>
      </c>
      <c r="AB236" s="14">
        <v>0</v>
      </c>
      <c r="AC236" s="453">
        <v>0</v>
      </c>
      <c r="AD236" s="14">
        <v>0</v>
      </c>
      <c r="AE236" s="14">
        <v>0</v>
      </c>
      <c r="AF236" s="14">
        <v>0</v>
      </c>
      <c r="AG236" s="14">
        <v>0</v>
      </c>
      <c r="AH236" s="14">
        <v>0</v>
      </c>
      <c r="AI236" s="14">
        <v>0</v>
      </c>
      <c r="AJ236" s="14">
        <v>0</v>
      </c>
      <c r="AK236" s="14">
        <v>0</v>
      </c>
      <c r="AL236" s="14">
        <v>0</v>
      </c>
      <c r="AM236" s="453">
        <v>0</v>
      </c>
      <c r="AN236" s="453">
        <v>0</v>
      </c>
      <c r="AO236" s="453">
        <v>0</v>
      </c>
      <c r="AP236" s="453">
        <v>0</v>
      </c>
      <c r="AQ236" s="453">
        <v>0</v>
      </c>
      <c r="AR236" s="453">
        <v>0</v>
      </c>
      <c r="AS236" s="453">
        <v>0</v>
      </c>
      <c r="AT236" s="453">
        <v>0</v>
      </c>
      <c r="AU236" s="453">
        <v>0</v>
      </c>
      <c r="AV236" s="453">
        <v>0</v>
      </c>
      <c r="AW236" s="453">
        <v>0</v>
      </c>
      <c r="AX236" s="453">
        <v>0</v>
      </c>
      <c r="AY236" s="453">
        <v>0</v>
      </c>
      <c r="AZ236" s="453">
        <v>0</v>
      </c>
      <c r="BA236" s="453">
        <v>0</v>
      </c>
      <c r="BB236" s="453">
        <v>0</v>
      </c>
      <c r="BC236" s="453">
        <v>0</v>
      </c>
      <c r="BD236" s="453">
        <v>0</v>
      </c>
      <c r="BE236" s="105">
        <v>0</v>
      </c>
      <c r="BF236" s="453">
        <v>0</v>
      </c>
      <c r="BG236" s="453">
        <v>0</v>
      </c>
      <c r="BH236" s="105">
        <v>0</v>
      </c>
      <c r="BI236" s="453">
        <v>0</v>
      </c>
      <c r="BJ236" s="453">
        <v>0</v>
      </c>
      <c r="BK236" s="105">
        <v>0</v>
      </c>
      <c r="BL236" s="453">
        <v>0</v>
      </c>
      <c r="BM236" s="453">
        <v>0</v>
      </c>
      <c r="BN236" s="453">
        <v>0</v>
      </c>
      <c r="BO236" s="453">
        <v>0</v>
      </c>
      <c r="BP236" s="453">
        <v>0</v>
      </c>
      <c r="BQ236" s="453">
        <v>0</v>
      </c>
      <c r="BR236" s="14">
        <v>0</v>
      </c>
      <c r="BS236" s="14">
        <v>0</v>
      </c>
      <c r="BT236" s="377" t="str">
        <v/>
      </c>
      <c r="BU236" s="105" t="str">
        <v/>
      </c>
      <c r="BV236" s="453" t="str">
        <v/>
      </c>
      <c r="BW236" s="105" t="str">
        <f ca="1"/>
        <v/>
      </c>
    </row>
    <row r="237" spans="1:75" x14ac:dyDescent="0.3">
      <c r="A237" s="1">
        <v>0</v>
      </c>
      <c r="B237" s="106">
        <v>0</v>
      </c>
      <c r="C237" s="14">
        <v>0</v>
      </c>
      <c r="D237" s="14">
        <v>0</v>
      </c>
      <c r="E237" s="14">
        <v>0</v>
      </c>
      <c r="F237" s="453">
        <v>0</v>
      </c>
      <c r="G237" s="377">
        <v>0</v>
      </c>
      <c r="H237" s="453">
        <v>0</v>
      </c>
      <c r="I237" s="453">
        <v>0</v>
      </c>
      <c r="J237" s="453">
        <v>0</v>
      </c>
      <c r="K237" s="453">
        <v>0</v>
      </c>
      <c r="L237" s="453">
        <v>0</v>
      </c>
      <c r="M237" s="453">
        <v>0</v>
      </c>
      <c r="N237" s="453">
        <v>0</v>
      </c>
      <c r="O237" s="453">
        <v>0</v>
      </c>
      <c r="P237" s="14">
        <v>0</v>
      </c>
      <c r="Q237" s="14">
        <v>0</v>
      </c>
      <c r="R237" s="453">
        <v>0</v>
      </c>
      <c r="S237" s="453">
        <v>0</v>
      </c>
      <c r="T237" s="453">
        <v>0</v>
      </c>
      <c r="U237" s="453">
        <v>0</v>
      </c>
      <c r="V237" s="453">
        <v>0</v>
      </c>
      <c r="W237" s="453">
        <v>0</v>
      </c>
      <c r="X237" s="453">
        <v>0</v>
      </c>
      <c r="Y237" s="453">
        <v>0</v>
      </c>
      <c r="Z237" s="453">
        <v>0</v>
      </c>
      <c r="AA237" s="14">
        <v>0</v>
      </c>
      <c r="AB237" s="14">
        <v>0</v>
      </c>
      <c r="AC237" s="453">
        <v>0</v>
      </c>
      <c r="AD237" s="14">
        <v>0</v>
      </c>
      <c r="AE237" s="14">
        <v>0</v>
      </c>
      <c r="AF237" s="14">
        <v>0</v>
      </c>
      <c r="AG237" s="14">
        <v>0</v>
      </c>
      <c r="AH237" s="14">
        <v>0</v>
      </c>
      <c r="AI237" s="14">
        <v>0</v>
      </c>
      <c r="AJ237" s="14">
        <v>0</v>
      </c>
      <c r="AK237" s="14">
        <v>0</v>
      </c>
      <c r="AL237" s="14">
        <v>0</v>
      </c>
      <c r="AM237" s="453">
        <v>0</v>
      </c>
      <c r="AN237" s="453">
        <v>0</v>
      </c>
      <c r="AO237" s="453">
        <v>0</v>
      </c>
      <c r="AP237" s="453">
        <v>0</v>
      </c>
      <c r="AQ237" s="453">
        <v>0</v>
      </c>
      <c r="AR237" s="453">
        <v>0</v>
      </c>
      <c r="AS237" s="453">
        <v>0</v>
      </c>
      <c r="AT237" s="453">
        <v>0</v>
      </c>
      <c r="AU237" s="453">
        <v>0</v>
      </c>
      <c r="AV237" s="453">
        <v>0</v>
      </c>
      <c r="AW237" s="453">
        <v>0</v>
      </c>
      <c r="AX237" s="453">
        <v>0</v>
      </c>
      <c r="AY237" s="453">
        <v>0</v>
      </c>
      <c r="AZ237" s="453">
        <v>0</v>
      </c>
      <c r="BA237" s="453">
        <v>0</v>
      </c>
      <c r="BB237" s="453">
        <v>0</v>
      </c>
      <c r="BC237" s="453">
        <v>0</v>
      </c>
      <c r="BD237" s="453">
        <v>0</v>
      </c>
      <c r="BE237" s="105">
        <v>0</v>
      </c>
      <c r="BF237" s="453">
        <v>0</v>
      </c>
      <c r="BG237" s="453">
        <v>0</v>
      </c>
      <c r="BH237" s="105">
        <v>0</v>
      </c>
      <c r="BI237" s="453">
        <v>0</v>
      </c>
      <c r="BJ237" s="453">
        <v>0</v>
      </c>
      <c r="BK237" s="105">
        <v>0</v>
      </c>
      <c r="BL237" s="453">
        <v>0</v>
      </c>
      <c r="BM237" s="453">
        <v>0</v>
      </c>
      <c r="BN237" s="453">
        <v>0</v>
      </c>
      <c r="BO237" s="453">
        <v>0</v>
      </c>
      <c r="BP237" s="453">
        <v>0</v>
      </c>
      <c r="BQ237" s="453">
        <v>0</v>
      </c>
      <c r="BR237" s="14">
        <v>0</v>
      </c>
      <c r="BS237" s="14">
        <v>0</v>
      </c>
      <c r="BT237" s="377" t="str">
        <v/>
      </c>
      <c r="BU237" s="105" t="str">
        <v/>
      </c>
      <c r="BV237" s="453" t="str">
        <v/>
      </c>
      <c r="BW237" s="105" t="str">
        <f ca="1"/>
        <v/>
      </c>
    </row>
    <row r="238" spans="1:75" x14ac:dyDescent="0.3">
      <c r="A238" s="1">
        <v>0</v>
      </c>
      <c r="B238" s="106">
        <v>0</v>
      </c>
      <c r="C238" s="14">
        <v>0</v>
      </c>
      <c r="D238" s="14">
        <v>0</v>
      </c>
      <c r="E238" s="14">
        <v>0</v>
      </c>
      <c r="F238" s="453">
        <v>0</v>
      </c>
      <c r="G238" s="377">
        <v>0</v>
      </c>
      <c r="H238" s="453">
        <v>0</v>
      </c>
      <c r="I238" s="453">
        <v>0</v>
      </c>
      <c r="J238" s="453">
        <v>0</v>
      </c>
      <c r="K238" s="453">
        <v>0</v>
      </c>
      <c r="L238" s="453">
        <v>0</v>
      </c>
      <c r="M238" s="453">
        <v>0</v>
      </c>
      <c r="N238" s="453">
        <v>0</v>
      </c>
      <c r="O238" s="453">
        <v>0</v>
      </c>
      <c r="P238" s="14">
        <v>0</v>
      </c>
      <c r="Q238" s="14">
        <v>0</v>
      </c>
      <c r="R238" s="453">
        <v>0</v>
      </c>
      <c r="S238" s="453">
        <v>0</v>
      </c>
      <c r="T238" s="453">
        <v>0</v>
      </c>
      <c r="U238" s="453">
        <v>0</v>
      </c>
      <c r="V238" s="453">
        <v>0</v>
      </c>
      <c r="W238" s="453">
        <v>0</v>
      </c>
      <c r="X238" s="453">
        <v>0</v>
      </c>
      <c r="Y238" s="453">
        <v>0</v>
      </c>
      <c r="Z238" s="453">
        <v>0</v>
      </c>
      <c r="AA238" s="14">
        <v>0</v>
      </c>
      <c r="AB238" s="14">
        <v>0</v>
      </c>
      <c r="AC238" s="453">
        <v>0</v>
      </c>
      <c r="AD238" s="14">
        <v>0</v>
      </c>
      <c r="AE238" s="14">
        <v>0</v>
      </c>
      <c r="AF238" s="14">
        <v>0</v>
      </c>
      <c r="AG238" s="14">
        <v>0</v>
      </c>
      <c r="AH238" s="14">
        <v>0</v>
      </c>
      <c r="AI238" s="14">
        <v>0</v>
      </c>
      <c r="AJ238" s="14">
        <v>0</v>
      </c>
      <c r="AK238" s="14">
        <v>0</v>
      </c>
      <c r="AL238" s="14">
        <v>0</v>
      </c>
      <c r="AM238" s="453">
        <v>0</v>
      </c>
      <c r="AN238" s="453">
        <v>0</v>
      </c>
      <c r="AO238" s="453">
        <v>0</v>
      </c>
      <c r="AP238" s="453">
        <v>0</v>
      </c>
      <c r="AQ238" s="453">
        <v>0</v>
      </c>
      <c r="AR238" s="453">
        <v>0</v>
      </c>
      <c r="AS238" s="453">
        <v>0</v>
      </c>
      <c r="AT238" s="453">
        <v>0</v>
      </c>
      <c r="AU238" s="453">
        <v>0</v>
      </c>
      <c r="AV238" s="453">
        <v>0</v>
      </c>
      <c r="AW238" s="453">
        <v>0</v>
      </c>
      <c r="AX238" s="453">
        <v>0</v>
      </c>
      <c r="AY238" s="453">
        <v>0</v>
      </c>
      <c r="AZ238" s="453">
        <v>0</v>
      </c>
      <c r="BA238" s="453">
        <v>0</v>
      </c>
      <c r="BB238" s="453">
        <v>0</v>
      </c>
      <c r="BC238" s="453">
        <v>0</v>
      </c>
      <c r="BD238" s="453">
        <v>0</v>
      </c>
      <c r="BE238" s="105">
        <v>0</v>
      </c>
      <c r="BF238" s="453">
        <v>0</v>
      </c>
      <c r="BG238" s="453">
        <v>0</v>
      </c>
      <c r="BH238" s="105">
        <v>0</v>
      </c>
      <c r="BI238" s="453">
        <v>0</v>
      </c>
      <c r="BJ238" s="453">
        <v>0</v>
      </c>
      <c r="BK238" s="105">
        <v>0</v>
      </c>
      <c r="BL238" s="453">
        <v>0</v>
      </c>
      <c r="BM238" s="453">
        <v>0</v>
      </c>
      <c r="BN238" s="453">
        <v>0</v>
      </c>
      <c r="BO238" s="453">
        <v>0</v>
      </c>
      <c r="BP238" s="453">
        <v>0</v>
      </c>
      <c r="BQ238" s="453">
        <v>0</v>
      </c>
      <c r="BR238" s="14">
        <v>0</v>
      </c>
      <c r="BS238" s="14">
        <v>0</v>
      </c>
      <c r="BT238" s="377" t="str">
        <v/>
      </c>
      <c r="BU238" s="105" t="str">
        <v/>
      </c>
      <c r="BV238" s="453" t="str">
        <v/>
      </c>
      <c r="BW238" s="105" t="str">
        <f ca="1"/>
        <v/>
      </c>
    </row>
    <row r="239" spans="1:75" x14ac:dyDescent="0.3">
      <c r="A239" s="1">
        <v>0</v>
      </c>
      <c r="B239" s="106">
        <v>0</v>
      </c>
      <c r="C239" s="14">
        <v>0</v>
      </c>
      <c r="D239" s="14">
        <v>0</v>
      </c>
      <c r="E239" s="14">
        <v>0</v>
      </c>
      <c r="F239" s="453">
        <v>0</v>
      </c>
      <c r="G239" s="377">
        <v>0</v>
      </c>
      <c r="H239" s="453">
        <v>0</v>
      </c>
      <c r="I239" s="453">
        <v>0</v>
      </c>
      <c r="J239" s="453">
        <v>0</v>
      </c>
      <c r="K239" s="453">
        <v>0</v>
      </c>
      <c r="L239" s="453">
        <v>0</v>
      </c>
      <c r="M239" s="453">
        <v>0</v>
      </c>
      <c r="N239" s="453">
        <v>0</v>
      </c>
      <c r="O239" s="453">
        <v>0</v>
      </c>
      <c r="P239" s="14">
        <v>0</v>
      </c>
      <c r="Q239" s="14">
        <v>0</v>
      </c>
      <c r="R239" s="453">
        <v>0</v>
      </c>
      <c r="S239" s="453">
        <v>0</v>
      </c>
      <c r="T239" s="453">
        <v>0</v>
      </c>
      <c r="U239" s="453">
        <v>0</v>
      </c>
      <c r="V239" s="453">
        <v>0</v>
      </c>
      <c r="W239" s="453">
        <v>0</v>
      </c>
      <c r="X239" s="453">
        <v>0</v>
      </c>
      <c r="Y239" s="453">
        <v>0</v>
      </c>
      <c r="Z239" s="453">
        <v>0</v>
      </c>
      <c r="AA239" s="14">
        <v>0</v>
      </c>
      <c r="AB239" s="14">
        <v>0</v>
      </c>
      <c r="AC239" s="453">
        <v>0</v>
      </c>
      <c r="AD239" s="14">
        <v>0</v>
      </c>
      <c r="AE239" s="14">
        <v>0</v>
      </c>
      <c r="AF239" s="14">
        <v>0</v>
      </c>
      <c r="AG239" s="14">
        <v>0</v>
      </c>
      <c r="AH239" s="14">
        <v>0</v>
      </c>
      <c r="AI239" s="14">
        <v>0</v>
      </c>
      <c r="AJ239" s="14">
        <v>0</v>
      </c>
      <c r="AK239" s="14">
        <v>0</v>
      </c>
      <c r="AL239" s="14">
        <v>0</v>
      </c>
      <c r="AM239" s="453">
        <v>0</v>
      </c>
      <c r="AN239" s="453">
        <v>0</v>
      </c>
      <c r="AO239" s="453">
        <v>0</v>
      </c>
      <c r="AP239" s="453">
        <v>0</v>
      </c>
      <c r="AQ239" s="453">
        <v>0</v>
      </c>
      <c r="AR239" s="453">
        <v>0</v>
      </c>
      <c r="AS239" s="453">
        <v>0</v>
      </c>
      <c r="AT239" s="453">
        <v>0</v>
      </c>
      <c r="AU239" s="453">
        <v>0</v>
      </c>
      <c r="AV239" s="453">
        <v>0</v>
      </c>
      <c r="AW239" s="453">
        <v>0</v>
      </c>
      <c r="AX239" s="453">
        <v>0</v>
      </c>
      <c r="AY239" s="453">
        <v>0</v>
      </c>
      <c r="AZ239" s="453">
        <v>0</v>
      </c>
      <c r="BA239" s="453">
        <v>0</v>
      </c>
      <c r="BB239" s="453">
        <v>0</v>
      </c>
      <c r="BC239" s="453">
        <v>0</v>
      </c>
      <c r="BD239" s="453">
        <v>0</v>
      </c>
      <c r="BE239" s="105">
        <v>0</v>
      </c>
      <c r="BF239" s="453">
        <v>0</v>
      </c>
      <c r="BG239" s="453">
        <v>0</v>
      </c>
      <c r="BH239" s="105">
        <v>0</v>
      </c>
      <c r="BI239" s="453">
        <v>0</v>
      </c>
      <c r="BJ239" s="453">
        <v>0</v>
      </c>
      <c r="BK239" s="105">
        <v>0</v>
      </c>
      <c r="BL239" s="453">
        <v>0</v>
      </c>
      <c r="BM239" s="453">
        <v>0</v>
      </c>
      <c r="BN239" s="453">
        <v>0</v>
      </c>
      <c r="BO239" s="453">
        <v>0</v>
      </c>
      <c r="BP239" s="453">
        <v>0</v>
      </c>
      <c r="BQ239" s="453">
        <v>0</v>
      </c>
      <c r="BR239" s="14">
        <v>0</v>
      </c>
      <c r="BS239" s="14">
        <v>0</v>
      </c>
      <c r="BT239" s="377" t="str">
        <v/>
      </c>
      <c r="BU239" s="105" t="str">
        <v/>
      </c>
      <c r="BV239" s="453" t="str">
        <v/>
      </c>
      <c r="BW239" s="105" t="str">
        <f ca="1"/>
        <v/>
      </c>
    </row>
    <row r="240" spans="1:75" x14ac:dyDescent="0.3">
      <c r="A240" s="1">
        <v>0</v>
      </c>
      <c r="B240" s="106">
        <v>0</v>
      </c>
      <c r="C240" s="14">
        <v>0</v>
      </c>
      <c r="D240" s="14">
        <v>0</v>
      </c>
      <c r="E240" s="14">
        <v>0</v>
      </c>
      <c r="F240" s="453">
        <v>0</v>
      </c>
      <c r="G240" s="377">
        <v>0</v>
      </c>
      <c r="H240" s="453">
        <v>0</v>
      </c>
      <c r="I240" s="453">
        <v>0</v>
      </c>
      <c r="J240" s="453">
        <v>0</v>
      </c>
      <c r="K240" s="453">
        <v>0</v>
      </c>
      <c r="L240" s="453">
        <v>0</v>
      </c>
      <c r="M240" s="453">
        <v>0</v>
      </c>
      <c r="N240" s="453">
        <v>0</v>
      </c>
      <c r="O240" s="453">
        <v>0</v>
      </c>
      <c r="P240" s="14">
        <v>0</v>
      </c>
      <c r="Q240" s="14">
        <v>0</v>
      </c>
      <c r="R240" s="453">
        <v>0</v>
      </c>
      <c r="S240" s="453">
        <v>0</v>
      </c>
      <c r="T240" s="453">
        <v>0</v>
      </c>
      <c r="U240" s="453">
        <v>0</v>
      </c>
      <c r="V240" s="453">
        <v>0</v>
      </c>
      <c r="W240" s="453">
        <v>0</v>
      </c>
      <c r="X240" s="453">
        <v>0</v>
      </c>
      <c r="Y240" s="453">
        <v>0</v>
      </c>
      <c r="Z240" s="453">
        <v>0</v>
      </c>
      <c r="AA240" s="14">
        <v>0</v>
      </c>
      <c r="AB240" s="14">
        <v>0</v>
      </c>
      <c r="AC240" s="453">
        <v>0</v>
      </c>
      <c r="AD240" s="14">
        <v>0</v>
      </c>
      <c r="AE240" s="14">
        <v>0</v>
      </c>
      <c r="AF240" s="14">
        <v>0</v>
      </c>
      <c r="AG240" s="14">
        <v>0</v>
      </c>
      <c r="AH240" s="14">
        <v>0</v>
      </c>
      <c r="AI240" s="14">
        <v>0</v>
      </c>
      <c r="AJ240" s="14">
        <v>0</v>
      </c>
      <c r="AK240" s="14">
        <v>0</v>
      </c>
      <c r="AL240" s="14">
        <v>0</v>
      </c>
      <c r="AM240" s="453">
        <v>0</v>
      </c>
      <c r="AN240" s="453">
        <v>0</v>
      </c>
      <c r="AO240" s="453">
        <v>0</v>
      </c>
      <c r="AP240" s="453">
        <v>0</v>
      </c>
      <c r="AQ240" s="453">
        <v>0</v>
      </c>
      <c r="AR240" s="453">
        <v>0</v>
      </c>
      <c r="AS240" s="453">
        <v>0</v>
      </c>
      <c r="AT240" s="453">
        <v>0</v>
      </c>
      <c r="AU240" s="453">
        <v>0</v>
      </c>
      <c r="AV240" s="453">
        <v>0</v>
      </c>
      <c r="AW240" s="453">
        <v>0</v>
      </c>
      <c r="AX240" s="453">
        <v>0</v>
      </c>
      <c r="AY240" s="453">
        <v>0</v>
      </c>
      <c r="AZ240" s="453">
        <v>0</v>
      </c>
      <c r="BA240" s="453">
        <v>0</v>
      </c>
      <c r="BB240" s="453">
        <v>0</v>
      </c>
      <c r="BC240" s="453">
        <v>0</v>
      </c>
      <c r="BD240" s="453">
        <v>0</v>
      </c>
      <c r="BE240" s="105">
        <v>0</v>
      </c>
      <c r="BF240" s="453">
        <v>0</v>
      </c>
      <c r="BG240" s="453">
        <v>0</v>
      </c>
      <c r="BH240" s="105">
        <v>0</v>
      </c>
      <c r="BI240" s="453">
        <v>0</v>
      </c>
      <c r="BJ240" s="453">
        <v>0</v>
      </c>
      <c r="BK240" s="105">
        <v>0</v>
      </c>
      <c r="BL240" s="453">
        <v>0</v>
      </c>
      <c r="BM240" s="453">
        <v>0</v>
      </c>
      <c r="BN240" s="453">
        <v>0</v>
      </c>
      <c r="BO240" s="453">
        <v>0</v>
      </c>
      <c r="BP240" s="453">
        <v>0</v>
      </c>
      <c r="BQ240" s="453">
        <v>0</v>
      </c>
      <c r="BR240" s="14">
        <v>0</v>
      </c>
      <c r="BS240" s="14">
        <v>0</v>
      </c>
      <c r="BT240" s="377" t="str">
        <v/>
      </c>
      <c r="BU240" s="105" t="str">
        <v/>
      </c>
      <c r="BV240" s="453" t="str">
        <v/>
      </c>
      <c r="BW240" s="105" t="str">
        <f ca="1"/>
        <v/>
      </c>
    </row>
    <row r="241" spans="1:75" x14ac:dyDescent="0.3">
      <c r="A241" s="1">
        <v>0</v>
      </c>
      <c r="B241" s="106">
        <v>0</v>
      </c>
      <c r="C241" s="14">
        <v>0</v>
      </c>
      <c r="D241" s="14">
        <v>0</v>
      </c>
      <c r="E241" s="14">
        <v>0</v>
      </c>
      <c r="F241" s="453">
        <v>0</v>
      </c>
      <c r="G241" s="377">
        <v>0</v>
      </c>
      <c r="H241" s="453">
        <v>0</v>
      </c>
      <c r="I241" s="453">
        <v>0</v>
      </c>
      <c r="J241" s="453">
        <v>0</v>
      </c>
      <c r="K241" s="453">
        <v>0</v>
      </c>
      <c r="L241" s="453">
        <v>0</v>
      </c>
      <c r="M241" s="453">
        <v>0</v>
      </c>
      <c r="N241" s="453">
        <v>0</v>
      </c>
      <c r="O241" s="453">
        <v>0</v>
      </c>
      <c r="P241" s="14">
        <v>0</v>
      </c>
      <c r="Q241" s="14">
        <v>0</v>
      </c>
      <c r="R241" s="453">
        <v>0</v>
      </c>
      <c r="S241" s="453">
        <v>0</v>
      </c>
      <c r="T241" s="453">
        <v>0</v>
      </c>
      <c r="U241" s="453">
        <v>0</v>
      </c>
      <c r="V241" s="453">
        <v>0</v>
      </c>
      <c r="W241" s="453">
        <v>0</v>
      </c>
      <c r="X241" s="453">
        <v>0</v>
      </c>
      <c r="Y241" s="453">
        <v>0</v>
      </c>
      <c r="Z241" s="453">
        <v>0</v>
      </c>
      <c r="AA241" s="14">
        <v>0</v>
      </c>
      <c r="AB241" s="14">
        <v>0</v>
      </c>
      <c r="AC241" s="453">
        <v>0</v>
      </c>
      <c r="AD241" s="14">
        <v>0</v>
      </c>
      <c r="AE241" s="14">
        <v>0</v>
      </c>
      <c r="AF241" s="14">
        <v>0</v>
      </c>
      <c r="AG241" s="14">
        <v>0</v>
      </c>
      <c r="AH241" s="14">
        <v>0</v>
      </c>
      <c r="AI241" s="14">
        <v>0</v>
      </c>
      <c r="AJ241" s="14">
        <v>0</v>
      </c>
      <c r="AK241" s="14">
        <v>0</v>
      </c>
      <c r="AL241" s="14">
        <v>0</v>
      </c>
      <c r="AM241" s="453">
        <v>0</v>
      </c>
      <c r="AN241" s="453">
        <v>0</v>
      </c>
      <c r="AO241" s="453">
        <v>0</v>
      </c>
      <c r="AP241" s="453">
        <v>0</v>
      </c>
      <c r="AQ241" s="453">
        <v>0</v>
      </c>
      <c r="AR241" s="453">
        <v>0</v>
      </c>
      <c r="AS241" s="453">
        <v>0</v>
      </c>
      <c r="AT241" s="453">
        <v>0</v>
      </c>
      <c r="AU241" s="453">
        <v>0</v>
      </c>
      <c r="AV241" s="453">
        <v>0</v>
      </c>
      <c r="AW241" s="453">
        <v>0</v>
      </c>
      <c r="AX241" s="453">
        <v>0</v>
      </c>
      <c r="AY241" s="453">
        <v>0</v>
      </c>
      <c r="AZ241" s="453">
        <v>0</v>
      </c>
      <c r="BA241" s="453">
        <v>0</v>
      </c>
      <c r="BB241" s="453">
        <v>0</v>
      </c>
      <c r="BC241" s="453">
        <v>0</v>
      </c>
      <c r="BD241" s="453">
        <v>0</v>
      </c>
      <c r="BE241" s="105">
        <v>0</v>
      </c>
      <c r="BF241" s="453">
        <v>0</v>
      </c>
      <c r="BG241" s="453">
        <v>0</v>
      </c>
      <c r="BH241" s="105">
        <v>0</v>
      </c>
      <c r="BI241" s="453">
        <v>0</v>
      </c>
      <c r="BJ241" s="453">
        <v>0</v>
      </c>
      <c r="BK241" s="105">
        <v>0</v>
      </c>
      <c r="BL241" s="453">
        <v>0</v>
      </c>
      <c r="BM241" s="453">
        <v>0</v>
      </c>
      <c r="BN241" s="453">
        <v>0</v>
      </c>
      <c r="BO241" s="453">
        <v>0</v>
      </c>
      <c r="BP241" s="453">
        <v>0</v>
      </c>
      <c r="BQ241" s="453">
        <v>0</v>
      </c>
      <c r="BR241" s="14">
        <v>0</v>
      </c>
      <c r="BS241" s="14">
        <v>0</v>
      </c>
      <c r="BT241" s="377" t="str">
        <v/>
      </c>
      <c r="BU241" s="105" t="str">
        <v/>
      </c>
      <c r="BV241" s="453" t="str">
        <v/>
      </c>
      <c r="BW241" s="105" t="str">
        <f ca="1"/>
        <v/>
      </c>
    </row>
    <row r="242" spans="1:75" x14ac:dyDescent="0.3">
      <c r="A242" s="1">
        <v>0</v>
      </c>
      <c r="B242" s="106">
        <v>0</v>
      </c>
      <c r="C242" s="14">
        <v>0</v>
      </c>
      <c r="D242" s="14">
        <v>0</v>
      </c>
      <c r="E242" s="14">
        <v>0</v>
      </c>
      <c r="F242" s="453">
        <v>0</v>
      </c>
      <c r="G242" s="377">
        <v>0</v>
      </c>
      <c r="H242" s="453">
        <v>0</v>
      </c>
      <c r="I242" s="453">
        <v>0</v>
      </c>
      <c r="J242" s="453">
        <v>0</v>
      </c>
      <c r="K242" s="453">
        <v>0</v>
      </c>
      <c r="L242" s="453">
        <v>0</v>
      </c>
      <c r="M242" s="453">
        <v>0</v>
      </c>
      <c r="N242" s="453">
        <v>0</v>
      </c>
      <c r="O242" s="453">
        <v>0</v>
      </c>
      <c r="P242" s="14">
        <v>0</v>
      </c>
      <c r="Q242" s="14">
        <v>0</v>
      </c>
      <c r="R242" s="453">
        <v>0</v>
      </c>
      <c r="S242" s="453">
        <v>0</v>
      </c>
      <c r="T242" s="453">
        <v>0</v>
      </c>
      <c r="U242" s="453">
        <v>0</v>
      </c>
      <c r="V242" s="453">
        <v>0</v>
      </c>
      <c r="W242" s="453">
        <v>0</v>
      </c>
      <c r="X242" s="453">
        <v>0</v>
      </c>
      <c r="Y242" s="453">
        <v>0</v>
      </c>
      <c r="Z242" s="453">
        <v>0</v>
      </c>
      <c r="AA242" s="14">
        <v>0</v>
      </c>
      <c r="AB242" s="14">
        <v>0</v>
      </c>
      <c r="AC242" s="453">
        <v>0</v>
      </c>
      <c r="AD242" s="14">
        <v>0</v>
      </c>
      <c r="AE242" s="14">
        <v>0</v>
      </c>
      <c r="AF242" s="14">
        <v>0</v>
      </c>
      <c r="AG242" s="14">
        <v>0</v>
      </c>
      <c r="AH242" s="14">
        <v>0</v>
      </c>
      <c r="AI242" s="14">
        <v>0</v>
      </c>
      <c r="AJ242" s="14">
        <v>0</v>
      </c>
      <c r="AK242" s="14">
        <v>0</v>
      </c>
      <c r="AL242" s="14">
        <v>0</v>
      </c>
      <c r="AM242" s="453">
        <v>0</v>
      </c>
      <c r="AN242" s="453">
        <v>0</v>
      </c>
      <c r="AO242" s="453">
        <v>0</v>
      </c>
      <c r="AP242" s="453">
        <v>0</v>
      </c>
      <c r="AQ242" s="453">
        <v>0</v>
      </c>
      <c r="AR242" s="453">
        <v>0</v>
      </c>
      <c r="AS242" s="453">
        <v>0</v>
      </c>
      <c r="AT242" s="453">
        <v>0</v>
      </c>
      <c r="AU242" s="453">
        <v>0</v>
      </c>
      <c r="AV242" s="453">
        <v>0</v>
      </c>
      <c r="AW242" s="453">
        <v>0</v>
      </c>
      <c r="AX242" s="453">
        <v>0</v>
      </c>
      <c r="AY242" s="453">
        <v>0</v>
      </c>
      <c r="AZ242" s="453">
        <v>0</v>
      </c>
      <c r="BA242" s="453">
        <v>0</v>
      </c>
      <c r="BB242" s="453">
        <v>0</v>
      </c>
      <c r="BC242" s="453">
        <v>0</v>
      </c>
      <c r="BD242" s="453">
        <v>0</v>
      </c>
      <c r="BE242" s="105">
        <v>0</v>
      </c>
      <c r="BF242" s="453">
        <v>0</v>
      </c>
      <c r="BG242" s="453">
        <v>0</v>
      </c>
      <c r="BH242" s="105">
        <v>0</v>
      </c>
      <c r="BI242" s="453">
        <v>0</v>
      </c>
      <c r="BJ242" s="453">
        <v>0</v>
      </c>
      <c r="BK242" s="105">
        <v>0</v>
      </c>
      <c r="BL242" s="453">
        <v>0</v>
      </c>
      <c r="BM242" s="453">
        <v>0</v>
      </c>
      <c r="BN242" s="453">
        <v>0</v>
      </c>
      <c r="BO242" s="453">
        <v>0</v>
      </c>
      <c r="BP242" s="453">
        <v>0</v>
      </c>
      <c r="BQ242" s="453">
        <v>0</v>
      </c>
      <c r="BR242" s="14">
        <v>0</v>
      </c>
      <c r="BS242" s="14">
        <v>0</v>
      </c>
      <c r="BT242" s="377" t="str">
        <v/>
      </c>
      <c r="BU242" s="105" t="str">
        <v/>
      </c>
      <c r="BV242" s="453" t="str">
        <v/>
      </c>
      <c r="BW242" s="105" t="str">
        <f ca="1"/>
        <v/>
      </c>
    </row>
    <row r="243" spans="1:75" x14ac:dyDescent="0.3">
      <c r="A243" s="1">
        <v>0</v>
      </c>
      <c r="B243" s="106">
        <v>0</v>
      </c>
      <c r="C243" s="14">
        <v>0</v>
      </c>
      <c r="D243" s="14">
        <v>0</v>
      </c>
      <c r="E243" s="14">
        <v>0</v>
      </c>
      <c r="F243" s="453">
        <v>0</v>
      </c>
      <c r="G243" s="377">
        <v>0</v>
      </c>
      <c r="H243" s="453">
        <v>0</v>
      </c>
      <c r="I243" s="453">
        <v>0</v>
      </c>
      <c r="J243" s="453">
        <v>0</v>
      </c>
      <c r="K243" s="453">
        <v>0</v>
      </c>
      <c r="L243" s="453">
        <v>0</v>
      </c>
      <c r="M243" s="453">
        <v>0</v>
      </c>
      <c r="N243" s="453">
        <v>0</v>
      </c>
      <c r="O243" s="453">
        <v>0</v>
      </c>
      <c r="P243" s="14">
        <v>0</v>
      </c>
      <c r="Q243" s="14">
        <v>0</v>
      </c>
      <c r="R243" s="453">
        <v>0</v>
      </c>
      <c r="S243" s="453">
        <v>0</v>
      </c>
      <c r="T243" s="453">
        <v>0</v>
      </c>
      <c r="U243" s="453">
        <v>0</v>
      </c>
      <c r="V243" s="453">
        <v>0</v>
      </c>
      <c r="W243" s="453">
        <v>0</v>
      </c>
      <c r="X243" s="453">
        <v>0</v>
      </c>
      <c r="Y243" s="453">
        <v>0</v>
      </c>
      <c r="Z243" s="453">
        <v>0</v>
      </c>
      <c r="AA243" s="14">
        <v>0</v>
      </c>
      <c r="AB243" s="14">
        <v>0</v>
      </c>
      <c r="AC243" s="453">
        <v>0</v>
      </c>
      <c r="AD243" s="14">
        <v>0</v>
      </c>
      <c r="AE243" s="14">
        <v>0</v>
      </c>
      <c r="AF243" s="14">
        <v>0</v>
      </c>
      <c r="AG243" s="14">
        <v>0</v>
      </c>
      <c r="AH243" s="14">
        <v>0</v>
      </c>
      <c r="AI243" s="14">
        <v>0</v>
      </c>
      <c r="AJ243" s="14">
        <v>0</v>
      </c>
      <c r="AK243" s="14">
        <v>0</v>
      </c>
      <c r="AL243" s="14">
        <v>0</v>
      </c>
      <c r="AM243" s="453">
        <v>0</v>
      </c>
      <c r="AN243" s="453">
        <v>0</v>
      </c>
      <c r="AO243" s="453">
        <v>0</v>
      </c>
      <c r="AP243" s="453">
        <v>0</v>
      </c>
      <c r="AQ243" s="453">
        <v>0</v>
      </c>
      <c r="AR243" s="453">
        <v>0</v>
      </c>
      <c r="AS243" s="453">
        <v>0</v>
      </c>
      <c r="AT243" s="453">
        <v>0</v>
      </c>
      <c r="AU243" s="453">
        <v>0</v>
      </c>
      <c r="AV243" s="453">
        <v>0</v>
      </c>
      <c r="AW243" s="453">
        <v>0</v>
      </c>
      <c r="AX243" s="453">
        <v>0</v>
      </c>
      <c r="AY243" s="453">
        <v>0</v>
      </c>
      <c r="AZ243" s="453">
        <v>0</v>
      </c>
      <c r="BA243" s="453">
        <v>0</v>
      </c>
      <c r="BB243" s="453">
        <v>0</v>
      </c>
      <c r="BC243" s="453">
        <v>0</v>
      </c>
      <c r="BD243" s="453">
        <v>0</v>
      </c>
      <c r="BE243" s="105">
        <v>0</v>
      </c>
      <c r="BF243" s="453">
        <v>0</v>
      </c>
      <c r="BG243" s="453">
        <v>0</v>
      </c>
      <c r="BH243" s="105">
        <v>0</v>
      </c>
      <c r="BI243" s="453">
        <v>0</v>
      </c>
      <c r="BJ243" s="453">
        <v>0</v>
      </c>
      <c r="BK243" s="105">
        <v>0</v>
      </c>
      <c r="BL243" s="453">
        <v>0</v>
      </c>
      <c r="BM243" s="453">
        <v>0</v>
      </c>
      <c r="BN243" s="453">
        <v>0</v>
      </c>
      <c r="BO243" s="453">
        <v>0</v>
      </c>
      <c r="BP243" s="453">
        <v>0</v>
      </c>
      <c r="BQ243" s="453">
        <v>0</v>
      </c>
      <c r="BR243" s="14">
        <v>0</v>
      </c>
      <c r="BS243" s="14">
        <v>0</v>
      </c>
      <c r="BT243" s="377" t="str">
        <v/>
      </c>
      <c r="BU243" s="105" t="str">
        <v/>
      </c>
      <c r="BV243" s="453" t="str">
        <v/>
      </c>
      <c r="BW243" s="105" t="str">
        <f ca="1"/>
        <v/>
      </c>
    </row>
    <row r="244" spans="1:75" x14ac:dyDescent="0.3">
      <c r="A244" s="1">
        <v>0</v>
      </c>
      <c r="B244" s="106">
        <v>0</v>
      </c>
      <c r="C244" s="14">
        <v>0</v>
      </c>
      <c r="D244" s="14">
        <v>0</v>
      </c>
      <c r="E244" s="14">
        <v>0</v>
      </c>
      <c r="F244" s="453">
        <v>0</v>
      </c>
      <c r="G244" s="377">
        <v>0</v>
      </c>
      <c r="H244" s="453">
        <v>0</v>
      </c>
      <c r="I244" s="453">
        <v>0</v>
      </c>
      <c r="J244" s="453">
        <v>0</v>
      </c>
      <c r="K244" s="453">
        <v>0</v>
      </c>
      <c r="L244" s="453">
        <v>0</v>
      </c>
      <c r="M244" s="453">
        <v>0</v>
      </c>
      <c r="N244" s="453">
        <v>0</v>
      </c>
      <c r="O244" s="453">
        <v>0</v>
      </c>
      <c r="P244" s="14">
        <v>0</v>
      </c>
      <c r="Q244" s="14">
        <v>0</v>
      </c>
      <c r="R244" s="453">
        <v>0</v>
      </c>
      <c r="S244" s="453">
        <v>0</v>
      </c>
      <c r="T244" s="453">
        <v>0</v>
      </c>
      <c r="U244" s="453">
        <v>0</v>
      </c>
      <c r="V244" s="453">
        <v>0</v>
      </c>
      <c r="W244" s="453">
        <v>0</v>
      </c>
      <c r="X244" s="453">
        <v>0</v>
      </c>
      <c r="Y244" s="453">
        <v>0</v>
      </c>
      <c r="Z244" s="453">
        <v>0</v>
      </c>
      <c r="AA244" s="14">
        <v>0</v>
      </c>
      <c r="AB244" s="14">
        <v>0</v>
      </c>
      <c r="AC244" s="453">
        <v>0</v>
      </c>
      <c r="AD244" s="14">
        <v>0</v>
      </c>
      <c r="AE244" s="14">
        <v>0</v>
      </c>
      <c r="AF244" s="14">
        <v>0</v>
      </c>
      <c r="AG244" s="14">
        <v>0</v>
      </c>
      <c r="AH244" s="14">
        <v>0</v>
      </c>
      <c r="AI244" s="14">
        <v>0</v>
      </c>
      <c r="AJ244" s="14">
        <v>0</v>
      </c>
      <c r="AK244" s="14">
        <v>0</v>
      </c>
      <c r="AL244" s="14">
        <v>0</v>
      </c>
      <c r="AM244" s="453">
        <v>0</v>
      </c>
      <c r="AN244" s="453">
        <v>0</v>
      </c>
      <c r="AO244" s="453">
        <v>0</v>
      </c>
      <c r="AP244" s="453">
        <v>0</v>
      </c>
      <c r="AQ244" s="453">
        <v>0</v>
      </c>
      <c r="AR244" s="453">
        <v>0</v>
      </c>
      <c r="AS244" s="453">
        <v>0</v>
      </c>
      <c r="AT244" s="453">
        <v>0</v>
      </c>
      <c r="AU244" s="453">
        <v>0</v>
      </c>
      <c r="AV244" s="453">
        <v>0</v>
      </c>
      <c r="AW244" s="453">
        <v>0</v>
      </c>
      <c r="AX244" s="453">
        <v>0</v>
      </c>
      <c r="AY244" s="453">
        <v>0</v>
      </c>
      <c r="AZ244" s="453">
        <v>0</v>
      </c>
      <c r="BA244" s="453">
        <v>0</v>
      </c>
      <c r="BB244" s="453">
        <v>0</v>
      </c>
      <c r="BC244" s="453">
        <v>0</v>
      </c>
      <c r="BD244" s="453">
        <v>0</v>
      </c>
      <c r="BE244" s="105">
        <v>0</v>
      </c>
      <c r="BF244" s="453">
        <v>0</v>
      </c>
      <c r="BG244" s="453">
        <v>0</v>
      </c>
      <c r="BH244" s="105">
        <v>0</v>
      </c>
      <c r="BI244" s="453">
        <v>0</v>
      </c>
      <c r="BJ244" s="453">
        <v>0</v>
      </c>
      <c r="BK244" s="105">
        <v>0</v>
      </c>
      <c r="BL244" s="453">
        <v>0</v>
      </c>
      <c r="BM244" s="453">
        <v>0</v>
      </c>
      <c r="BN244" s="453">
        <v>0</v>
      </c>
      <c r="BO244" s="453">
        <v>0</v>
      </c>
      <c r="BP244" s="453">
        <v>0</v>
      </c>
      <c r="BQ244" s="453">
        <v>0</v>
      </c>
      <c r="BR244" s="14">
        <v>0</v>
      </c>
      <c r="BS244" s="14">
        <v>0</v>
      </c>
      <c r="BT244" s="377" t="str">
        <v/>
      </c>
      <c r="BU244" s="105" t="str">
        <v/>
      </c>
      <c r="BV244" s="453" t="str">
        <v/>
      </c>
      <c r="BW244" s="105" t="str">
        <f ca="1"/>
        <v/>
      </c>
    </row>
    <row r="245" spans="1:75" x14ac:dyDescent="0.3">
      <c r="A245" s="1">
        <v>0</v>
      </c>
      <c r="B245" s="106">
        <v>0</v>
      </c>
      <c r="C245" s="14">
        <v>0</v>
      </c>
      <c r="D245" s="14">
        <v>0</v>
      </c>
      <c r="E245" s="14">
        <v>0</v>
      </c>
      <c r="F245" s="453">
        <v>0</v>
      </c>
      <c r="G245" s="377">
        <v>0</v>
      </c>
      <c r="H245" s="453">
        <v>0</v>
      </c>
      <c r="I245" s="453">
        <v>0</v>
      </c>
      <c r="J245" s="453">
        <v>0</v>
      </c>
      <c r="K245" s="453">
        <v>0</v>
      </c>
      <c r="L245" s="453">
        <v>0</v>
      </c>
      <c r="M245" s="453">
        <v>0</v>
      </c>
      <c r="N245" s="453">
        <v>0</v>
      </c>
      <c r="O245" s="453">
        <v>0</v>
      </c>
      <c r="P245" s="14">
        <v>0</v>
      </c>
      <c r="Q245" s="14">
        <v>0</v>
      </c>
      <c r="R245" s="453">
        <v>0</v>
      </c>
      <c r="S245" s="453">
        <v>0</v>
      </c>
      <c r="T245" s="453">
        <v>0</v>
      </c>
      <c r="U245" s="453">
        <v>0</v>
      </c>
      <c r="V245" s="453">
        <v>0</v>
      </c>
      <c r="W245" s="453">
        <v>0</v>
      </c>
      <c r="X245" s="453">
        <v>0</v>
      </c>
      <c r="Y245" s="453">
        <v>0</v>
      </c>
      <c r="Z245" s="453">
        <v>0</v>
      </c>
      <c r="AA245" s="14">
        <v>0</v>
      </c>
      <c r="AB245" s="14">
        <v>0</v>
      </c>
      <c r="AC245" s="453">
        <v>0</v>
      </c>
      <c r="AD245" s="14">
        <v>0</v>
      </c>
      <c r="AE245" s="14">
        <v>0</v>
      </c>
      <c r="AF245" s="14">
        <v>0</v>
      </c>
      <c r="AG245" s="14">
        <v>0</v>
      </c>
      <c r="AH245" s="14">
        <v>0</v>
      </c>
      <c r="AI245" s="14">
        <v>0</v>
      </c>
      <c r="AJ245" s="14">
        <v>0</v>
      </c>
      <c r="AK245" s="14">
        <v>0</v>
      </c>
      <c r="AL245" s="14">
        <v>0</v>
      </c>
      <c r="AM245" s="453">
        <v>0</v>
      </c>
      <c r="AN245" s="453">
        <v>0</v>
      </c>
      <c r="AO245" s="453">
        <v>0</v>
      </c>
      <c r="AP245" s="453">
        <v>0</v>
      </c>
      <c r="AQ245" s="453">
        <v>0</v>
      </c>
      <c r="AR245" s="453">
        <v>0</v>
      </c>
      <c r="AS245" s="453">
        <v>0</v>
      </c>
      <c r="AT245" s="453">
        <v>0</v>
      </c>
      <c r="AU245" s="453">
        <v>0</v>
      </c>
      <c r="AV245" s="453">
        <v>0</v>
      </c>
      <c r="AW245" s="453">
        <v>0</v>
      </c>
      <c r="AX245" s="453">
        <v>0</v>
      </c>
      <c r="AY245" s="453">
        <v>0</v>
      </c>
      <c r="AZ245" s="453">
        <v>0</v>
      </c>
      <c r="BA245" s="453">
        <v>0</v>
      </c>
      <c r="BB245" s="453">
        <v>0</v>
      </c>
      <c r="BC245" s="453">
        <v>0</v>
      </c>
      <c r="BD245" s="453">
        <v>0</v>
      </c>
      <c r="BE245" s="105">
        <v>0</v>
      </c>
      <c r="BF245" s="453">
        <v>0</v>
      </c>
      <c r="BG245" s="453">
        <v>0</v>
      </c>
      <c r="BH245" s="105">
        <v>0</v>
      </c>
      <c r="BI245" s="453">
        <v>0</v>
      </c>
      <c r="BJ245" s="453">
        <v>0</v>
      </c>
      <c r="BK245" s="105">
        <v>0</v>
      </c>
      <c r="BL245" s="453">
        <v>0</v>
      </c>
      <c r="BM245" s="453">
        <v>0</v>
      </c>
      <c r="BN245" s="453">
        <v>0</v>
      </c>
      <c r="BO245" s="453">
        <v>0</v>
      </c>
      <c r="BP245" s="453">
        <v>0</v>
      </c>
      <c r="BQ245" s="453">
        <v>0</v>
      </c>
      <c r="BR245" s="14">
        <v>0</v>
      </c>
      <c r="BS245" s="14">
        <v>0</v>
      </c>
      <c r="BT245" s="377" t="str">
        <v/>
      </c>
      <c r="BU245" s="105" t="str">
        <v/>
      </c>
      <c r="BV245" s="453" t="str">
        <v/>
      </c>
      <c r="BW245" s="105" t="str">
        <f ca="1"/>
        <v/>
      </c>
    </row>
    <row r="246" spans="1:75" x14ac:dyDescent="0.3">
      <c r="A246" s="1">
        <v>0</v>
      </c>
      <c r="B246" s="106">
        <v>0</v>
      </c>
      <c r="C246" s="14">
        <v>0</v>
      </c>
      <c r="D246" s="14">
        <v>0</v>
      </c>
      <c r="E246" s="14">
        <v>0</v>
      </c>
      <c r="F246" s="453">
        <v>0</v>
      </c>
      <c r="G246" s="377">
        <v>0</v>
      </c>
      <c r="H246" s="453">
        <v>0</v>
      </c>
      <c r="I246" s="453">
        <v>0</v>
      </c>
      <c r="J246" s="453">
        <v>0</v>
      </c>
      <c r="K246" s="453">
        <v>0</v>
      </c>
      <c r="L246" s="453">
        <v>0</v>
      </c>
      <c r="M246" s="453">
        <v>0</v>
      </c>
      <c r="N246" s="453">
        <v>0</v>
      </c>
      <c r="O246" s="453">
        <v>0</v>
      </c>
      <c r="P246" s="14">
        <v>0</v>
      </c>
      <c r="Q246" s="14">
        <v>0</v>
      </c>
      <c r="R246" s="453">
        <v>0</v>
      </c>
      <c r="S246" s="453">
        <v>0</v>
      </c>
      <c r="T246" s="453">
        <v>0</v>
      </c>
      <c r="U246" s="453">
        <v>0</v>
      </c>
      <c r="V246" s="453">
        <v>0</v>
      </c>
      <c r="W246" s="453">
        <v>0</v>
      </c>
      <c r="X246" s="453">
        <v>0</v>
      </c>
      <c r="Y246" s="453">
        <v>0</v>
      </c>
      <c r="Z246" s="453">
        <v>0</v>
      </c>
      <c r="AA246" s="14">
        <v>0</v>
      </c>
      <c r="AB246" s="14">
        <v>0</v>
      </c>
      <c r="AC246" s="453">
        <v>0</v>
      </c>
      <c r="AD246" s="14">
        <v>0</v>
      </c>
      <c r="AE246" s="14">
        <v>0</v>
      </c>
      <c r="AF246" s="14">
        <v>0</v>
      </c>
      <c r="AG246" s="14">
        <v>0</v>
      </c>
      <c r="AH246" s="14">
        <v>0</v>
      </c>
      <c r="AI246" s="14">
        <v>0</v>
      </c>
      <c r="AJ246" s="14">
        <v>0</v>
      </c>
      <c r="AK246" s="14">
        <v>0</v>
      </c>
      <c r="AL246" s="14">
        <v>0</v>
      </c>
      <c r="AM246" s="453">
        <v>0</v>
      </c>
      <c r="AN246" s="453">
        <v>0</v>
      </c>
      <c r="AO246" s="453">
        <v>0</v>
      </c>
      <c r="AP246" s="453">
        <v>0</v>
      </c>
      <c r="AQ246" s="453">
        <v>0</v>
      </c>
      <c r="AR246" s="453">
        <v>0</v>
      </c>
      <c r="AS246" s="453">
        <v>0</v>
      </c>
      <c r="AT246" s="453">
        <v>0</v>
      </c>
      <c r="AU246" s="453">
        <v>0</v>
      </c>
      <c r="AV246" s="453">
        <v>0</v>
      </c>
      <c r="AW246" s="453">
        <v>0</v>
      </c>
      <c r="AX246" s="453">
        <v>0</v>
      </c>
      <c r="AY246" s="453">
        <v>0</v>
      </c>
      <c r="AZ246" s="453">
        <v>0</v>
      </c>
      <c r="BA246" s="453">
        <v>0</v>
      </c>
      <c r="BB246" s="453">
        <v>0</v>
      </c>
      <c r="BC246" s="453">
        <v>0</v>
      </c>
      <c r="BD246" s="453">
        <v>0</v>
      </c>
      <c r="BE246" s="105">
        <v>0</v>
      </c>
      <c r="BF246" s="453">
        <v>0</v>
      </c>
      <c r="BG246" s="453">
        <v>0</v>
      </c>
      <c r="BH246" s="105">
        <v>0</v>
      </c>
      <c r="BI246" s="453">
        <v>0</v>
      </c>
      <c r="BJ246" s="453">
        <v>0</v>
      </c>
      <c r="BK246" s="105">
        <v>0</v>
      </c>
      <c r="BL246" s="453">
        <v>0</v>
      </c>
      <c r="BM246" s="453">
        <v>0</v>
      </c>
      <c r="BN246" s="453">
        <v>0</v>
      </c>
      <c r="BO246" s="453">
        <v>0</v>
      </c>
      <c r="BP246" s="453">
        <v>0</v>
      </c>
      <c r="BQ246" s="453">
        <v>0</v>
      </c>
      <c r="BR246" s="14">
        <v>0</v>
      </c>
      <c r="BS246" s="14">
        <v>0</v>
      </c>
      <c r="BT246" s="377" t="str">
        <v/>
      </c>
      <c r="BU246" s="105" t="str">
        <v/>
      </c>
      <c r="BV246" s="453" t="str">
        <v/>
      </c>
      <c r="BW246" s="105" t="str">
        <f ca="1"/>
        <v/>
      </c>
    </row>
    <row r="247" spans="1:75" x14ac:dyDescent="0.3">
      <c r="A247" s="1">
        <v>0</v>
      </c>
      <c r="B247" s="106">
        <v>0</v>
      </c>
      <c r="C247" s="14">
        <v>0</v>
      </c>
      <c r="D247" s="14">
        <v>0</v>
      </c>
      <c r="E247" s="14">
        <v>0</v>
      </c>
      <c r="F247" s="453">
        <v>0</v>
      </c>
      <c r="G247" s="377">
        <v>0</v>
      </c>
      <c r="H247" s="453">
        <v>0</v>
      </c>
      <c r="I247" s="453">
        <v>0</v>
      </c>
      <c r="J247" s="453">
        <v>0</v>
      </c>
      <c r="K247" s="453">
        <v>0</v>
      </c>
      <c r="L247" s="453">
        <v>0</v>
      </c>
      <c r="M247" s="453">
        <v>0</v>
      </c>
      <c r="N247" s="453">
        <v>0</v>
      </c>
      <c r="O247" s="453">
        <v>0</v>
      </c>
      <c r="P247" s="14">
        <v>0</v>
      </c>
      <c r="Q247" s="14">
        <v>0</v>
      </c>
      <c r="R247" s="453">
        <v>0</v>
      </c>
      <c r="S247" s="453">
        <v>0</v>
      </c>
      <c r="T247" s="453">
        <v>0</v>
      </c>
      <c r="U247" s="453">
        <v>0</v>
      </c>
      <c r="V247" s="453">
        <v>0</v>
      </c>
      <c r="W247" s="453">
        <v>0</v>
      </c>
      <c r="X247" s="453">
        <v>0</v>
      </c>
      <c r="Y247" s="453">
        <v>0</v>
      </c>
      <c r="Z247" s="453">
        <v>0</v>
      </c>
      <c r="AA247" s="14">
        <v>0</v>
      </c>
      <c r="AB247" s="14">
        <v>0</v>
      </c>
      <c r="AC247" s="453">
        <v>0</v>
      </c>
      <c r="AD247" s="14">
        <v>0</v>
      </c>
      <c r="AE247" s="14">
        <v>0</v>
      </c>
      <c r="AF247" s="14">
        <v>0</v>
      </c>
      <c r="AG247" s="14">
        <v>0</v>
      </c>
      <c r="AH247" s="14">
        <v>0</v>
      </c>
      <c r="AI247" s="14">
        <v>0</v>
      </c>
      <c r="AJ247" s="14">
        <v>0</v>
      </c>
      <c r="AK247" s="14">
        <v>0</v>
      </c>
      <c r="AL247" s="14">
        <v>0</v>
      </c>
      <c r="AM247" s="453">
        <v>0</v>
      </c>
      <c r="AN247" s="453">
        <v>0</v>
      </c>
      <c r="AO247" s="453">
        <v>0</v>
      </c>
      <c r="AP247" s="453">
        <v>0</v>
      </c>
      <c r="AQ247" s="453">
        <v>0</v>
      </c>
      <c r="AR247" s="453">
        <v>0</v>
      </c>
      <c r="AS247" s="453">
        <v>0</v>
      </c>
      <c r="AT247" s="453">
        <v>0</v>
      </c>
      <c r="AU247" s="453">
        <v>0</v>
      </c>
      <c r="AV247" s="453">
        <v>0</v>
      </c>
      <c r="AW247" s="453">
        <v>0</v>
      </c>
      <c r="AX247" s="453">
        <v>0</v>
      </c>
      <c r="AY247" s="453">
        <v>0</v>
      </c>
      <c r="AZ247" s="453">
        <v>0</v>
      </c>
      <c r="BA247" s="453">
        <v>0</v>
      </c>
      <c r="BB247" s="453">
        <v>0</v>
      </c>
      <c r="BC247" s="453">
        <v>0</v>
      </c>
      <c r="BD247" s="453">
        <v>0</v>
      </c>
      <c r="BE247" s="105">
        <v>0</v>
      </c>
      <c r="BF247" s="453">
        <v>0</v>
      </c>
      <c r="BG247" s="453">
        <v>0</v>
      </c>
      <c r="BH247" s="105">
        <v>0</v>
      </c>
      <c r="BI247" s="453">
        <v>0</v>
      </c>
      <c r="BJ247" s="453">
        <v>0</v>
      </c>
      <c r="BK247" s="105">
        <v>0</v>
      </c>
      <c r="BL247" s="453">
        <v>0</v>
      </c>
      <c r="BM247" s="453">
        <v>0</v>
      </c>
      <c r="BN247" s="453">
        <v>0</v>
      </c>
      <c r="BO247" s="453">
        <v>0</v>
      </c>
      <c r="BP247" s="453">
        <v>0</v>
      </c>
      <c r="BQ247" s="453">
        <v>0</v>
      </c>
      <c r="BR247" s="14">
        <v>0</v>
      </c>
      <c r="BS247" s="14">
        <v>0</v>
      </c>
      <c r="BT247" s="377" t="str">
        <v/>
      </c>
      <c r="BU247" s="105" t="str">
        <v/>
      </c>
      <c r="BV247" s="453" t="str">
        <v/>
      </c>
      <c r="BW247" s="105" t="str">
        <f ca="1"/>
        <v/>
      </c>
    </row>
    <row r="248" spans="1:75" x14ac:dyDescent="0.3">
      <c r="A248" s="1">
        <v>0</v>
      </c>
      <c r="B248" s="106">
        <v>0</v>
      </c>
      <c r="C248" s="14">
        <v>0</v>
      </c>
      <c r="D248" s="14">
        <v>0</v>
      </c>
      <c r="E248" s="14">
        <v>0</v>
      </c>
      <c r="F248" s="453">
        <v>0</v>
      </c>
      <c r="G248" s="377">
        <v>0</v>
      </c>
      <c r="H248" s="453">
        <v>0</v>
      </c>
      <c r="I248" s="453">
        <v>0</v>
      </c>
      <c r="J248" s="453">
        <v>0</v>
      </c>
      <c r="K248" s="453">
        <v>0</v>
      </c>
      <c r="L248" s="453">
        <v>0</v>
      </c>
      <c r="M248" s="453">
        <v>0</v>
      </c>
      <c r="N248" s="453">
        <v>0</v>
      </c>
      <c r="O248" s="453">
        <v>0</v>
      </c>
      <c r="P248" s="14">
        <v>0</v>
      </c>
      <c r="Q248" s="14">
        <v>0</v>
      </c>
      <c r="R248" s="453">
        <v>0</v>
      </c>
      <c r="S248" s="453">
        <v>0</v>
      </c>
      <c r="T248" s="453">
        <v>0</v>
      </c>
      <c r="U248" s="453">
        <v>0</v>
      </c>
      <c r="V248" s="453">
        <v>0</v>
      </c>
      <c r="W248" s="453">
        <v>0</v>
      </c>
      <c r="X248" s="453">
        <v>0</v>
      </c>
      <c r="Y248" s="453">
        <v>0</v>
      </c>
      <c r="Z248" s="453">
        <v>0</v>
      </c>
      <c r="AA248" s="14">
        <v>0</v>
      </c>
      <c r="AB248" s="14">
        <v>0</v>
      </c>
      <c r="AC248" s="453">
        <v>0</v>
      </c>
      <c r="AD248" s="14">
        <v>0</v>
      </c>
      <c r="AE248" s="14">
        <v>0</v>
      </c>
      <c r="AF248" s="14">
        <v>0</v>
      </c>
      <c r="AG248" s="14">
        <v>0</v>
      </c>
      <c r="AH248" s="14">
        <v>0</v>
      </c>
      <c r="AI248" s="14">
        <v>0</v>
      </c>
      <c r="AJ248" s="14">
        <v>0</v>
      </c>
      <c r="AK248" s="14">
        <v>0</v>
      </c>
      <c r="AL248" s="14">
        <v>0</v>
      </c>
      <c r="AM248" s="453">
        <v>0</v>
      </c>
      <c r="AN248" s="453">
        <v>0</v>
      </c>
      <c r="AO248" s="453">
        <v>0</v>
      </c>
      <c r="AP248" s="453">
        <v>0</v>
      </c>
      <c r="AQ248" s="453">
        <v>0</v>
      </c>
      <c r="AR248" s="453">
        <v>0</v>
      </c>
      <c r="AS248" s="453">
        <v>0</v>
      </c>
      <c r="AT248" s="453">
        <v>0</v>
      </c>
      <c r="AU248" s="453">
        <v>0</v>
      </c>
      <c r="AV248" s="453">
        <v>0</v>
      </c>
      <c r="AW248" s="453">
        <v>0</v>
      </c>
      <c r="AX248" s="453">
        <v>0</v>
      </c>
      <c r="AY248" s="453">
        <v>0</v>
      </c>
      <c r="AZ248" s="453">
        <v>0</v>
      </c>
      <c r="BA248" s="453">
        <v>0</v>
      </c>
      <c r="BB248" s="453">
        <v>0</v>
      </c>
      <c r="BC248" s="453">
        <v>0</v>
      </c>
      <c r="BD248" s="453">
        <v>0</v>
      </c>
      <c r="BE248" s="105">
        <v>0</v>
      </c>
      <c r="BF248" s="453">
        <v>0</v>
      </c>
      <c r="BG248" s="453">
        <v>0</v>
      </c>
      <c r="BH248" s="105">
        <v>0</v>
      </c>
      <c r="BI248" s="453">
        <v>0</v>
      </c>
      <c r="BJ248" s="453">
        <v>0</v>
      </c>
      <c r="BK248" s="105">
        <v>0</v>
      </c>
      <c r="BL248" s="453">
        <v>0</v>
      </c>
      <c r="BM248" s="453">
        <v>0</v>
      </c>
      <c r="BN248" s="453">
        <v>0</v>
      </c>
      <c r="BO248" s="453">
        <v>0</v>
      </c>
      <c r="BP248" s="453">
        <v>0</v>
      </c>
      <c r="BQ248" s="453">
        <v>0</v>
      </c>
      <c r="BR248" s="14">
        <v>0</v>
      </c>
      <c r="BS248" s="14">
        <v>0</v>
      </c>
      <c r="BT248" s="377" t="str">
        <v/>
      </c>
      <c r="BU248" s="105" t="str">
        <v/>
      </c>
      <c r="BV248" s="453" t="str">
        <v/>
      </c>
      <c r="BW248" s="105" t="str">
        <f ca="1"/>
        <v/>
      </c>
    </row>
    <row r="249" spans="1:75" x14ac:dyDescent="0.3">
      <c r="A249" s="1">
        <v>0</v>
      </c>
      <c r="B249" s="106">
        <v>0</v>
      </c>
      <c r="C249" s="14">
        <v>0</v>
      </c>
      <c r="D249" s="14">
        <v>0</v>
      </c>
      <c r="E249" s="14">
        <v>0</v>
      </c>
      <c r="F249" s="453">
        <v>0</v>
      </c>
      <c r="G249" s="377">
        <v>0</v>
      </c>
      <c r="H249" s="453">
        <v>0</v>
      </c>
      <c r="I249" s="453">
        <v>0</v>
      </c>
      <c r="J249" s="453">
        <v>0</v>
      </c>
      <c r="K249" s="453">
        <v>0</v>
      </c>
      <c r="L249" s="453">
        <v>0</v>
      </c>
      <c r="M249" s="453">
        <v>0</v>
      </c>
      <c r="N249" s="453">
        <v>0</v>
      </c>
      <c r="O249" s="453">
        <v>0</v>
      </c>
      <c r="P249" s="14">
        <v>0</v>
      </c>
      <c r="Q249" s="14">
        <v>0</v>
      </c>
      <c r="R249" s="453">
        <v>0</v>
      </c>
      <c r="S249" s="453">
        <v>0</v>
      </c>
      <c r="T249" s="453">
        <v>0</v>
      </c>
      <c r="U249" s="453">
        <v>0</v>
      </c>
      <c r="V249" s="453">
        <v>0</v>
      </c>
      <c r="W249" s="453">
        <v>0</v>
      </c>
      <c r="X249" s="453">
        <v>0</v>
      </c>
      <c r="Y249" s="453">
        <v>0</v>
      </c>
      <c r="Z249" s="453">
        <v>0</v>
      </c>
      <c r="AA249" s="14">
        <v>0</v>
      </c>
      <c r="AB249" s="14">
        <v>0</v>
      </c>
      <c r="AC249" s="453">
        <v>0</v>
      </c>
      <c r="AD249" s="14">
        <v>0</v>
      </c>
      <c r="AE249" s="14">
        <v>0</v>
      </c>
      <c r="AF249" s="14">
        <v>0</v>
      </c>
      <c r="AG249" s="14">
        <v>0</v>
      </c>
      <c r="AH249" s="14">
        <v>0</v>
      </c>
      <c r="AI249" s="14">
        <v>0</v>
      </c>
      <c r="AJ249" s="14">
        <v>0</v>
      </c>
      <c r="AK249" s="14">
        <v>0</v>
      </c>
      <c r="AL249" s="14">
        <v>0</v>
      </c>
      <c r="AM249" s="453">
        <v>0</v>
      </c>
      <c r="AN249" s="453">
        <v>0</v>
      </c>
      <c r="AO249" s="453">
        <v>0</v>
      </c>
      <c r="AP249" s="453">
        <v>0</v>
      </c>
      <c r="AQ249" s="453">
        <v>0</v>
      </c>
      <c r="AR249" s="453">
        <v>0</v>
      </c>
      <c r="AS249" s="453">
        <v>0</v>
      </c>
      <c r="AT249" s="453">
        <v>0</v>
      </c>
      <c r="AU249" s="453">
        <v>0</v>
      </c>
      <c r="AV249" s="453">
        <v>0</v>
      </c>
      <c r="AW249" s="453">
        <v>0</v>
      </c>
      <c r="AX249" s="453">
        <v>0</v>
      </c>
      <c r="AY249" s="453">
        <v>0</v>
      </c>
      <c r="AZ249" s="453">
        <v>0</v>
      </c>
      <c r="BA249" s="453">
        <v>0</v>
      </c>
      <c r="BB249" s="453">
        <v>0</v>
      </c>
      <c r="BC249" s="453">
        <v>0</v>
      </c>
      <c r="BD249" s="453">
        <v>0</v>
      </c>
      <c r="BE249" s="105">
        <v>0</v>
      </c>
      <c r="BF249" s="453">
        <v>0</v>
      </c>
      <c r="BG249" s="453">
        <v>0</v>
      </c>
      <c r="BH249" s="105">
        <v>0</v>
      </c>
      <c r="BI249" s="453">
        <v>0</v>
      </c>
      <c r="BJ249" s="453">
        <v>0</v>
      </c>
      <c r="BK249" s="105">
        <v>0</v>
      </c>
      <c r="BL249" s="453">
        <v>0</v>
      </c>
      <c r="BM249" s="453">
        <v>0</v>
      </c>
      <c r="BN249" s="453">
        <v>0</v>
      </c>
      <c r="BO249" s="453">
        <v>0</v>
      </c>
      <c r="BP249" s="453">
        <v>0</v>
      </c>
      <c r="BQ249" s="453">
        <v>0</v>
      </c>
      <c r="BR249" s="14">
        <v>0</v>
      </c>
      <c r="BS249" s="14">
        <v>0</v>
      </c>
      <c r="BT249" s="377" t="str">
        <v/>
      </c>
      <c r="BU249" s="105" t="str">
        <v/>
      </c>
      <c r="BV249" s="453" t="str">
        <v/>
      </c>
      <c r="BW249" s="105" t="str">
        <f ca="1"/>
        <v/>
      </c>
    </row>
    <row r="250" spans="1:75" x14ac:dyDescent="0.3">
      <c r="A250" s="1">
        <v>0</v>
      </c>
      <c r="B250" s="106">
        <v>0</v>
      </c>
      <c r="C250" s="14">
        <v>0</v>
      </c>
      <c r="D250" s="14">
        <v>0</v>
      </c>
      <c r="E250" s="14">
        <v>0</v>
      </c>
      <c r="F250" s="453">
        <v>0</v>
      </c>
      <c r="G250" s="377">
        <v>0</v>
      </c>
      <c r="H250" s="453">
        <v>0</v>
      </c>
      <c r="I250" s="453">
        <v>0</v>
      </c>
      <c r="J250" s="453">
        <v>0</v>
      </c>
      <c r="K250" s="453">
        <v>0</v>
      </c>
      <c r="L250" s="453">
        <v>0</v>
      </c>
      <c r="M250" s="453">
        <v>0</v>
      </c>
      <c r="N250" s="453">
        <v>0</v>
      </c>
      <c r="O250" s="453">
        <v>0</v>
      </c>
      <c r="P250" s="14">
        <v>0</v>
      </c>
      <c r="Q250" s="14">
        <v>0</v>
      </c>
      <c r="R250" s="453">
        <v>0</v>
      </c>
      <c r="S250" s="453">
        <v>0</v>
      </c>
      <c r="T250" s="453">
        <v>0</v>
      </c>
      <c r="U250" s="453">
        <v>0</v>
      </c>
      <c r="V250" s="453">
        <v>0</v>
      </c>
      <c r="W250" s="453">
        <v>0</v>
      </c>
      <c r="X250" s="453">
        <v>0</v>
      </c>
      <c r="Y250" s="453">
        <v>0</v>
      </c>
      <c r="Z250" s="453">
        <v>0</v>
      </c>
      <c r="AA250" s="14">
        <v>0</v>
      </c>
      <c r="AB250" s="14">
        <v>0</v>
      </c>
      <c r="AC250" s="453">
        <v>0</v>
      </c>
      <c r="AD250" s="14">
        <v>0</v>
      </c>
      <c r="AE250" s="14">
        <v>0</v>
      </c>
      <c r="AF250" s="14">
        <v>0</v>
      </c>
      <c r="AG250" s="14">
        <v>0</v>
      </c>
      <c r="AH250" s="14">
        <v>0</v>
      </c>
      <c r="AI250" s="14">
        <v>0</v>
      </c>
      <c r="AJ250" s="14">
        <v>0</v>
      </c>
      <c r="AK250" s="14">
        <v>0</v>
      </c>
      <c r="AL250" s="14">
        <v>0</v>
      </c>
      <c r="AM250" s="453">
        <v>0</v>
      </c>
      <c r="AN250" s="453">
        <v>0</v>
      </c>
      <c r="AO250" s="453">
        <v>0</v>
      </c>
      <c r="AP250" s="453">
        <v>0</v>
      </c>
      <c r="AQ250" s="453">
        <v>0</v>
      </c>
      <c r="AR250" s="453">
        <v>0</v>
      </c>
      <c r="AS250" s="453">
        <v>0</v>
      </c>
      <c r="AT250" s="453">
        <v>0</v>
      </c>
      <c r="AU250" s="453">
        <v>0</v>
      </c>
      <c r="AV250" s="453">
        <v>0</v>
      </c>
      <c r="AW250" s="453">
        <v>0</v>
      </c>
      <c r="AX250" s="453">
        <v>0</v>
      </c>
      <c r="AY250" s="453">
        <v>0</v>
      </c>
      <c r="AZ250" s="453">
        <v>0</v>
      </c>
      <c r="BA250" s="453">
        <v>0</v>
      </c>
      <c r="BB250" s="453">
        <v>0</v>
      </c>
      <c r="BC250" s="453">
        <v>0</v>
      </c>
      <c r="BD250" s="453">
        <v>0</v>
      </c>
      <c r="BE250" s="105">
        <v>0</v>
      </c>
      <c r="BF250" s="453">
        <v>0</v>
      </c>
      <c r="BG250" s="453">
        <v>0</v>
      </c>
      <c r="BH250" s="105">
        <v>0</v>
      </c>
      <c r="BI250" s="453">
        <v>0</v>
      </c>
      <c r="BJ250" s="453">
        <v>0</v>
      </c>
      <c r="BK250" s="105">
        <v>0</v>
      </c>
      <c r="BL250" s="453">
        <v>0</v>
      </c>
      <c r="BM250" s="453">
        <v>0</v>
      </c>
      <c r="BN250" s="453">
        <v>0</v>
      </c>
      <c r="BO250" s="453">
        <v>0</v>
      </c>
      <c r="BP250" s="453">
        <v>0</v>
      </c>
      <c r="BQ250" s="453">
        <v>0</v>
      </c>
      <c r="BR250" s="14">
        <v>0</v>
      </c>
      <c r="BS250" s="14">
        <v>0</v>
      </c>
      <c r="BT250" s="377" t="str">
        <v/>
      </c>
      <c r="BU250" s="105" t="str">
        <v/>
      </c>
      <c r="BV250" s="453" t="str">
        <v/>
      </c>
      <c r="BW250" s="105" t="str">
        <f ca="1"/>
        <v/>
      </c>
    </row>
    <row r="251" spans="1:75" x14ac:dyDescent="0.3">
      <c r="A251" s="1">
        <v>0</v>
      </c>
      <c r="B251" s="106">
        <v>0</v>
      </c>
      <c r="C251" s="14">
        <v>0</v>
      </c>
      <c r="D251" s="14">
        <v>0</v>
      </c>
      <c r="E251" s="14">
        <v>0</v>
      </c>
      <c r="F251" s="453">
        <v>0</v>
      </c>
      <c r="G251" s="377">
        <v>0</v>
      </c>
      <c r="H251" s="453">
        <v>0</v>
      </c>
      <c r="I251" s="453">
        <v>0</v>
      </c>
      <c r="J251" s="453">
        <v>0</v>
      </c>
      <c r="K251" s="453">
        <v>0</v>
      </c>
      <c r="L251" s="453">
        <v>0</v>
      </c>
      <c r="M251" s="453">
        <v>0</v>
      </c>
      <c r="N251" s="453">
        <v>0</v>
      </c>
      <c r="O251" s="453">
        <v>0</v>
      </c>
      <c r="P251" s="14">
        <v>0</v>
      </c>
      <c r="Q251" s="14">
        <v>0</v>
      </c>
      <c r="R251" s="453">
        <v>0</v>
      </c>
      <c r="S251" s="453">
        <v>0</v>
      </c>
      <c r="T251" s="453">
        <v>0</v>
      </c>
      <c r="U251" s="453">
        <v>0</v>
      </c>
      <c r="V251" s="453">
        <v>0</v>
      </c>
      <c r="W251" s="453">
        <v>0</v>
      </c>
      <c r="X251" s="453">
        <v>0</v>
      </c>
      <c r="Y251" s="453">
        <v>0</v>
      </c>
      <c r="Z251" s="453">
        <v>0</v>
      </c>
      <c r="AA251" s="14">
        <v>0</v>
      </c>
      <c r="AB251" s="14">
        <v>0</v>
      </c>
      <c r="AC251" s="453">
        <v>0</v>
      </c>
      <c r="AD251" s="14">
        <v>0</v>
      </c>
      <c r="AE251" s="14">
        <v>0</v>
      </c>
      <c r="AF251" s="14">
        <v>0</v>
      </c>
      <c r="AG251" s="14">
        <v>0</v>
      </c>
      <c r="AH251" s="14">
        <v>0</v>
      </c>
      <c r="AI251" s="14">
        <v>0</v>
      </c>
      <c r="AJ251" s="14">
        <v>0</v>
      </c>
      <c r="AK251" s="14">
        <v>0</v>
      </c>
      <c r="AL251" s="14">
        <v>0</v>
      </c>
      <c r="AM251" s="453">
        <v>0</v>
      </c>
      <c r="AN251" s="453">
        <v>0</v>
      </c>
      <c r="AO251" s="453">
        <v>0</v>
      </c>
      <c r="AP251" s="453">
        <v>0</v>
      </c>
      <c r="AQ251" s="453">
        <v>0</v>
      </c>
      <c r="AR251" s="453">
        <v>0</v>
      </c>
      <c r="AS251" s="453">
        <v>0</v>
      </c>
      <c r="AT251" s="453">
        <v>0</v>
      </c>
      <c r="AU251" s="453">
        <v>0</v>
      </c>
      <c r="AV251" s="453">
        <v>0</v>
      </c>
      <c r="AW251" s="453">
        <v>0</v>
      </c>
      <c r="AX251" s="453">
        <v>0</v>
      </c>
      <c r="AY251" s="453">
        <v>0</v>
      </c>
      <c r="AZ251" s="453">
        <v>0</v>
      </c>
      <c r="BA251" s="453">
        <v>0</v>
      </c>
      <c r="BB251" s="453">
        <v>0</v>
      </c>
      <c r="BC251" s="453">
        <v>0</v>
      </c>
      <c r="BD251" s="453">
        <v>0</v>
      </c>
      <c r="BE251" s="105">
        <v>0</v>
      </c>
      <c r="BF251" s="453">
        <v>0</v>
      </c>
      <c r="BG251" s="453">
        <v>0</v>
      </c>
      <c r="BH251" s="105">
        <v>0</v>
      </c>
      <c r="BI251" s="453">
        <v>0</v>
      </c>
      <c r="BJ251" s="453">
        <v>0</v>
      </c>
      <c r="BK251" s="105">
        <v>0</v>
      </c>
      <c r="BL251" s="453">
        <v>0</v>
      </c>
      <c r="BM251" s="453">
        <v>0</v>
      </c>
      <c r="BN251" s="453">
        <v>0</v>
      </c>
      <c r="BO251" s="453">
        <v>0</v>
      </c>
      <c r="BP251" s="453">
        <v>0</v>
      </c>
      <c r="BQ251" s="453">
        <v>0</v>
      </c>
      <c r="BR251" s="14">
        <v>0</v>
      </c>
      <c r="BS251" s="14">
        <v>0</v>
      </c>
      <c r="BT251" s="377" t="str">
        <v/>
      </c>
      <c r="BU251" s="105" t="str">
        <v/>
      </c>
      <c r="BV251" s="453" t="str">
        <v/>
      </c>
      <c r="BW251" s="105" t="str">
        <f ca="1"/>
        <v/>
      </c>
    </row>
    <row r="252" spans="1:75" x14ac:dyDescent="0.3">
      <c r="A252" s="1">
        <v>0</v>
      </c>
      <c r="B252" s="106">
        <v>0</v>
      </c>
      <c r="C252" s="14">
        <v>0</v>
      </c>
      <c r="D252" s="14">
        <v>0</v>
      </c>
      <c r="E252" s="14">
        <v>0</v>
      </c>
      <c r="F252" s="453">
        <v>0</v>
      </c>
      <c r="G252" s="377">
        <v>0</v>
      </c>
      <c r="H252" s="453">
        <v>0</v>
      </c>
      <c r="I252" s="453">
        <v>0</v>
      </c>
      <c r="J252" s="453">
        <v>0</v>
      </c>
      <c r="K252" s="453">
        <v>0</v>
      </c>
      <c r="L252" s="453">
        <v>0</v>
      </c>
      <c r="M252" s="453">
        <v>0</v>
      </c>
      <c r="N252" s="453">
        <v>0</v>
      </c>
      <c r="O252" s="453">
        <v>0</v>
      </c>
      <c r="P252" s="14">
        <v>0</v>
      </c>
      <c r="Q252" s="14">
        <v>0</v>
      </c>
      <c r="R252" s="453">
        <v>0</v>
      </c>
      <c r="S252" s="453">
        <v>0</v>
      </c>
      <c r="T252" s="453">
        <v>0</v>
      </c>
      <c r="U252" s="453">
        <v>0</v>
      </c>
      <c r="V252" s="453">
        <v>0</v>
      </c>
      <c r="W252" s="453">
        <v>0</v>
      </c>
      <c r="X252" s="453">
        <v>0</v>
      </c>
      <c r="Y252" s="453">
        <v>0</v>
      </c>
      <c r="Z252" s="453">
        <v>0</v>
      </c>
      <c r="AA252" s="14">
        <v>0</v>
      </c>
      <c r="AB252" s="14">
        <v>0</v>
      </c>
      <c r="AC252" s="453">
        <v>0</v>
      </c>
      <c r="AD252" s="14">
        <v>0</v>
      </c>
      <c r="AE252" s="14">
        <v>0</v>
      </c>
      <c r="AF252" s="14">
        <v>0</v>
      </c>
      <c r="AG252" s="14">
        <v>0</v>
      </c>
      <c r="AH252" s="14">
        <v>0</v>
      </c>
      <c r="AI252" s="14">
        <v>0</v>
      </c>
      <c r="AJ252" s="14">
        <v>0</v>
      </c>
      <c r="AK252" s="14">
        <v>0</v>
      </c>
      <c r="AL252" s="14">
        <v>0</v>
      </c>
      <c r="AM252" s="453">
        <v>0</v>
      </c>
      <c r="AN252" s="453">
        <v>0</v>
      </c>
      <c r="AO252" s="453">
        <v>0</v>
      </c>
      <c r="AP252" s="453">
        <v>0</v>
      </c>
      <c r="AQ252" s="453">
        <v>0</v>
      </c>
      <c r="AR252" s="453">
        <v>0</v>
      </c>
      <c r="AS252" s="453">
        <v>0</v>
      </c>
      <c r="AT252" s="453">
        <v>0</v>
      </c>
      <c r="AU252" s="453">
        <v>0</v>
      </c>
      <c r="AV252" s="453">
        <v>0</v>
      </c>
      <c r="AW252" s="453">
        <v>0</v>
      </c>
      <c r="AX252" s="453">
        <v>0</v>
      </c>
      <c r="AY252" s="453">
        <v>0</v>
      </c>
      <c r="AZ252" s="453">
        <v>0</v>
      </c>
      <c r="BA252" s="453">
        <v>0</v>
      </c>
      <c r="BB252" s="453">
        <v>0</v>
      </c>
      <c r="BC252" s="453">
        <v>0</v>
      </c>
      <c r="BD252" s="453">
        <v>0</v>
      </c>
      <c r="BE252" s="105">
        <v>0</v>
      </c>
      <c r="BF252" s="453">
        <v>0</v>
      </c>
      <c r="BG252" s="453">
        <v>0</v>
      </c>
      <c r="BH252" s="105">
        <v>0</v>
      </c>
      <c r="BI252" s="453">
        <v>0</v>
      </c>
      <c r="BJ252" s="453">
        <v>0</v>
      </c>
      <c r="BK252" s="105">
        <v>0</v>
      </c>
      <c r="BL252" s="453">
        <v>0</v>
      </c>
      <c r="BM252" s="453">
        <v>0</v>
      </c>
      <c r="BN252" s="453">
        <v>0</v>
      </c>
      <c r="BO252" s="453">
        <v>0</v>
      </c>
      <c r="BP252" s="453">
        <v>0</v>
      </c>
      <c r="BQ252" s="453">
        <v>0</v>
      </c>
      <c r="BR252" s="14">
        <v>0</v>
      </c>
      <c r="BS252" s="14">
        <v>0</v>
      </c>
      <c r="BT252" s="377" t="str">
        <v/>
      </c>
      <c r="BU252" s="105" t="str">
        <v/>
      </c>
      <c r="BV252" s="453" t="str">
        <v/>
      </c>
      <c r="BW252" s="105" t="str">
        <f ca="1"/>
        <v/>
      </c>
    </row>
    <row r="253" spans="1:75" x14ac:dyDescent="0.3">
      <c r="A253" s="1">
        <v>0</v>
      </c>
      <c r="B253" s="106">
        <v>0</v>
      </c>
      <c r="C253" s="14">
        <v>0</v>
      </c>
      <c r="D253" s="14">
        <v>0</v>
      </c>
      <c r="E253" s="14">
        <v>0</v>
      </c>
      <c r="F253" s="453">
        <v>0</v>
      </c>
      <c r="G253" s="377">
        <v>0</v>
      </c>
      <c r="H253" s="453">
        <v>0</v>
      </c>
      <c r="I253" s="453">
        <v>0</v>
      </c>
      <c r="J253" s="453">
        <v>0</v>
      </c>
      <c r="K253" s="453">
        <v>0</v>
      </c>
      <c r="L253" s="453">
        <v>0</v>
      </c>
      <c r="M253" s="453">
        <v>0</v>
      </c>
      <c r="N253" s="453">
        <v>0</v>
      </c>
      <c r="O253" s="453">
        <v>0</v>
      </c>
      <c r="P253" s="14">
        <v>0</v>
      </c>
      <c r="Q253" s="14">
        <v>0</v>
      </c>
      <c r="R253" s="453">
        <v>0</v>
      </c>
      <c r="S253" s="453">
        <v>0</v>
      </c>
      <c r="T253" s="453">
        <v>0</v>
      </c>
      <c r="U253" s="453">
        <v>0</v>
      </c>
      <c r="V253" s="453">
        <v>0</v>
      </c>
      <c r="W253" s="453">
        <v>0</v>
      </c>
      <c r="X253" s="453">
        <v>0</v>
      </c>
      <c r="Y253" s="453">
        <v>0</v>
      </c>
      <c r="Z253" s="453">
        <v>0</v>
      </c>
      <c r="AA253" s="14">
        <v>0</v>
      </c>
      <c r="AB253" s="14">
        <v>0</v>
      </c>
      <c r="AC253" s="453">
        <v>0</v>
      </c>
      <c r="AD253" s="14">
        <v>0</v>
      </c>
      <c r="AE253" s="14">
        <v>0</v>
      </c>
      <c r="AF253" s="14">
        <v>0</v>
      </c>
      <c r="AG253" s="14">
        <v>0</v>
      </c>
      <c r="AH253" s="14">
        <v>0</v>
      </c>
      <c r="AI253" s="14">
        <v>0</v>
      </c>
      <c r="AJ253" s="14">
        <v>0</v>
      </c>
      <c r="AK253" s="14">
        <v>0</v>
      </c>
      <c r="AL253" s="14">
        <v>0</v>
      </c>
      <c r="AM253" s="453">
        <v>0</v>
      </c>
      <c r="AN253" s="453">
        <v>0</v>
      </c>
      <c r="AO253" s="453">
        <v>0</v>
      </c>
      <c r="AP253" s="453">
        <v>0</v>
      </c>
      <c r="AQ253" s="453">
        <v>0</v>
      </c>
      <c r="AR253" s="453">
        <v>0</v>
      </c>
      <c r="AS253" s="453">
        <v>0</v>
      </c>
      <c r="AT253" s="453">
        <v>0</v>
      </c>
      <c r="AU253" s="453">
        <v>0</v>
      </c>
      <c r="AV253" s="453">
        <v>0</v>
      </c>
      <c r="AW253" s="453">
        <v>0</v>
      </c>
      <c r="AX253" s="453">
        <v>0</v>
      </c>
      <c r="AY253" s="453">
        <v>0</v>
      </c>
      <c r="AZ253" s="453">
        <v>0</v>
      </c>
      <c r="BA253" s="453">
        <v>0</v>
      </c>
      <c r="BB253" s="453">
        <v>0</v>
      </c>
      <c r="BC253" s="453">
        <v>0</v>
      </c>
      <c r="BD253" s="453">
        <v>0</v>
      </c>
      <c r="BE253" s="105">
        <v>0</v>
      </c>
      <c r="BF253" s="453">
        <v>0</v>
      </c>
      <c r="BG253" s="453">
        <v>0</v>
      </c>
      <c r="BH253" s="105">
        <v>0</v>
      </c>
      <c r="BI253" s="453">
        <v>0</v>
      </c>
      <c r="BJ253" s="453">
        <v>0</v>
      </c>
      <c r="BK253" s="105">
        <v>0</v>
      </c>
      <c r="BL253" s="453">
        <v>0</v>
      </c>
      <c r="BM253" s="453">
        <v>0</v>
      </c>
      <c r="BN253" s="453">
        <v>0</v>
      </c>
      <c r="BO253" s="453">
        <v>0</v>
      </c>
      <c r="BP253" s="453">
        <v>0</v>
      </c>
      <c r="BQ253" s="453">
        <v>0</v>
      </c>
      <c r="BR253" s="14">
        <v>0</v>
      </c>
      <c r="BS253" s="14">
        <v>0</v>
      </c>
      <c r="BT253" s="377" t="str">
        <v/>
      </c>
      <c r="BU253" s="105" t="str">
        <v/>
      </c>
      <c r="BV253" s="453" t="str">
        <v/>
      </c>
      <c r="BW253" s="105" t="str">
        <f ca="1"/>
        <v/>
      </c>
    </row>
    <row r="254" spans="1:75" x14ac:dyDescent="0.3">
      <c r="A254" s="1">
        <v>0</v>
      </c>
      <c r="B254" s="106">
        <v>0</v>
      </c>
      <c r="C254" s="14">
        <v>0</v>
      </c>
      <c r="D254" s="14">
        <v>0</v>
      </c>
      <c r="E254" s="14">
        <v>0</v>
      </c>
      <c r="F254" s="453">
        <v>0</v>
      </c>
      <c r="G254" s="377">
        <v>0</v>
      </c>
      <c r="H254" s="453">
        <v>0</v>
      </c>
      <c r="I254" s="453">
        <v>0</v>
      </c>
      <c r="J254" s="453">
        <v>0</v>
      </c>
      <c r="K254" s="453">
        <v>0</v>
      </c>
      <c r="L254" s="453">
        <v>0</v>
      </c>
      <c r="M254" s="453">
        <v>0</v>
      </c>
      <c r="N254" s="453">
        <v>0</v>
      </c>
      <c r="O254" s="453">
        <v>0</v>
      </c>
      <c r="P254" s="14">
        <v>0</v>
      </c>
      <c r="Q254" s="14">
        <v>0</v>
      </c>
      <c r="R254" s="453">
        <v>0</v>
      </c>
      <c r="S254" s="453">
        <v>0</v>
      </c>
      <c r="T254" s="453">
        <v>0</v>
      </c>
      <c r="U254" s="453">
        <v>0</v>
      </c>
      <c r="V254" s="453">
        <v>0</v>
      </c>
      <c r="W254" s="453">
        <v>0</v>
      </c>
      <c r="X254" s="453">
        <v>0</v>
      </c>
      <c r="Y254" s="453">
        <v>0</v>
      </c>
      <c r="Z254" s="453">
        <v>0</v>
      </c>
      <c r="AA254" s="14">
        <v>0</v>
      </c>
      <c r="AB254" s="14">
        <v>0</v>
      </c>
      <c r="AC254" s="453">
        <v>0</v>
      </c>
      <c r="AD254" s="14">
        <v>0</v>
      </c>
      <c r="AE254" s="14">
        <v>0</v>
      </c>
      <c r="AF254" s="14">
        <v>0</v>
      </c>
      <c r="AG254" s="14">
        <v>0</v>
      </c>
      <c r="AH254" s="14">
        <v>0</v>
      </c>
      <c r="AI254" s="14">
        <v>0</v>
      </c>
      <c r="AJ254" s="14">
        <v>0</v>
      </c>
      <c r="AK254" s="14">
        <v>0</v>
      </c>
      <c r="AL254" s="14">
        <v>0</v>
      </c>
      <c r="AM254" s="453">
        <v>0</v>
      </c>
      <c r="AN254" s="453">
        <v>0</v>
      </c>
      <c r="AO254" s="453">
        <v>0</v>
      </c>
      <c r="AP254" s="453">
        <v>0</v>
      </c>
      <c r="AQ254" s="453">
        <v>0</v>
      </c>
      <c r="AR254" s="453">
        <v>0</v>
      </c>
      <c r="AS254" s="453">
        <v>0</v>
      </c>
      <c r="AT254" s="453">
        <v>0</v>
      </c>
      <c r="AU254" s="453">
        <v>0</v>
      </c>
      <c r="AV254" s="453">
        <v>0</v>
      </c>
      <c r="AW254" s="453">
        <v>0</v>
      </c>
      <c r="AX254" s="453">
        <v>0</v>
      </c>
      <c r="AY254" s="453">
        <v>0</v>
      </c>
      <c r="AZ254" s="453">
        <v>0</v>
      </c>
      <c r="BA254" s="453">
        <v>0</v>
      </c>
      <c r="BB254" s="453">
        <v>0</v>
      </c>
      <c r="BC254" s="453">
        <v>0</v>
      </c>
      <c r="BD254" s="453">
        <v>0</v>
      </c>
      <c r="BE254" s="105">
        <v>0</v>
      </c>
      <c r="BF254" s="453">
        <v>0</v>
      </c>
      <c r="BG254" s="453">
        <v>0</v>
      </c>
      <c r="BH254" s="105">
        <v>0</v>
      </c>
      <c r="BI254" s="453">
        <v>0</v>
      </c>
      <c r="BJ254" s="453">
        <v>0</v>
      </c>
      <c r="BK254" s="105">
        <v>0</v>
      </c>
      <c r="BL254" s="453">
        <v>0</v>
      </c>
      <c r="BM254" s="453">
        <v>0</v>
      </c>
      <c r="BN254" s="453">
        <v>0</v>
      </c>
      <c r="BO254" s="453">
        <v>0</v>
      </c>
      <c r="BP254" s="453">
        <v>0</v>
      </c>
      <c r="BQ254" s="453">
        <v>0</v>
      </c>
      <c r="BR254" s="14">
        <v>0</v>
      </c>
      <c r="BS254" s="14">
        <v>0</v>
      </c>
      <c r="BT254" s="377" t="str">
        <v/>
      </c>
      <c r="BU254" s="105" t="str">
        <v/>
      </c>
      <c r="BV254" s="453" t="str">
        <v/>
      </c>
      <c r="BW254" s="105" t="str">
        <f ca="1"/>
        <v/>
      </c>
    </row>
    <row r="255" spans="1:75" x14ac:dyDescent="0.3">
      <c r="A255" s="1">
        <v>0</v>
      </c>
      <c r="B255" s="106">
        <v>0</v>
      </c>
      <c r="C255" s="14">
        <v>0</v>
      </c>
      <c r="D255" s="14">
        <v>0</v>
      </c>
      <c r="E255" s="14">
        <v>0</v>
      </c>
      <c r="F255" s="453">
        <v>0</v>
      </c>
      <c r="G255" s="377">
        <v>0</v>
      </c>
      <c r="H255" s="453">
        <v>0</v>
      </c>
      <c r="I255" s="453">
        <v>0</v>
      </c>
      <c r="J255" s="453">
        <v>0</v>
      </c>
      <c r="K255" s="453">
        <v>0</v>
      </c>
      <c r="L255" s="453">
        <v>0</v>
      </c>
      <c r="M255" s="453">
        <v>0</v>
      </c>
      <c r="N255" s="453">
        <v>0</v>
      </c>
      <c r="O255" s="453">
        <v>0</v>
      </c>
      <c r="P255" s="14">
        <v>0</v>
      </c>
      <c r="Q255" s="14">
        <v>0</v>
      </c>
      <c r="R255" s="453">
        <v>0</v>
      </c>
      <c r="S255" s="453">
        <v>0</v>
      </c>
      <c r="T255" s="453">
        <v>0</v>
      </c>
      <c r="U255" s="453">
        <v>0</v>
      </c>
      <c r="V255" s="453">
        <v>0</v>
      </c>
      <c r="W255" s="453">
        <v>0</v>
      </c>
      <c r="X255" s="453">
        <v>0</v>
      </c>
      <c r="Y255" s="453">
        <v>0</v>
      </c>
      <c r="Z255" s="453">
        <v>0</v>
      </c>
      <c r="AA255" s="14">
        <v>0</v>
      </c>
      <c r="AB255" s="14">
        <v>0</v>
      </c>
      <c r="AC255" s="453">
        <v>0</v>
      </c>
      <c r="AD255" s="14">
        <v>0</v>
      </c>
      <c r="AE255" s="14">
        <v>0</v>
      </c>
      <c r="AF255" s="14">
        <v>0</v>
      </c>
      <c r="AG255" s="14">
        <v>0</v>
      </c>
      <c r="AH255" s="14">
        <v>0</v>
      </c>
      <c r="AI255" s="14">
        <v>0</v>
      </c>
      <c r="AJ255" s="14">
        <v>0</v>
      </c>
      <c r="AK255" s="14">
        <v>0</v>
      </c>
      <c r="AL255" s="14">
        <v>0</v>
      </c>
      <c r="AM255" s="453">
        <v>0</v>
      </c>
      <c r="AN255" s="453">
        <v>0</v>
      </c>
      <c r="AO255" s="453">
        <v>0</v>
      </c>
      <c r="AP255" s="453">
        <v>0</v>
      </c>
      <c r="AQ255" s="453">
        <v>0</v>
      </c>
      <c r="AR255" s="453">
        <v>0</v>
      </c>
      <c r="AS255" s="453">
        <v>0</v>
      </c>
      <c r="AT255" s="453">
        <v>0</v>
      </c>
      <c r="AU255" s="453">
        <v>0</v>
      </c>
      <c r="AV255" s="453">
        <v>0</v>
      </c>
      <c r="AW255" s="453">
        <v>0</v>
      </c>
      <c r="AX255" s="453">
        <v>0</v>
      </c>
      <c r="AY255" s="453">
        <v>0</v>
      </c>
      <c r="AZ255" s="453">
        <v>0</v>
      </c>
      <c r="BA255" s="453">
        <v>0</v>
      </c>
      <c r="BB255" s="453">
        <v>0</v>
      </c>
      <c r="BC255" s="453">
        <v>0</v>
      </c>
      <c r="BD255" s="453">
        <v>0</v>
      </c>
      <c r="BE255" s="105">
        <v>0</v>
      </c>
      <c r="BF255" s="453">
        <v>0</v>
      </c>
      <c r="BG255" s="453">
        <v>0</v>
      </c>
      <c r="BH255" s="105">
        <v>0</v>
      </c>
      <c r="BI255" s="453">
        <v>0</v>
      </c>
      <c r="BJ255" s="453">
        <v>0</v>
      </c>
      <c r="BK255" s="105">
        <v>0</v>
      </c>
      <c r="BL255" s="453">
        <v>0</v>
      </c>
      <c r="BM255" s="453">
        <v>0</v>
      </c>
      <c r="BN255" s="453">
        <v>0</v>
      </c>
      <c r="BO255" s="453">
        <v>0</v>
      </c>
      <c r="BP255" s="453">
        <v>0</v>
      </c>
      <c r="BQ255" s="453">
        <v>0</v>
      </c>
      <c r="BR255" s="14">
        <v>0</v>
      </c>
      <c r="BS255" s="14">
        <v>0</v>
      </c>
      <c r="BT255" s="377" t="str">
        <v/>
      </c>
      <c r="BU255" s="105" t="str">
        <v/>
      </c>
      <c r="BV255" s="453" t="str">
        <v/>
      </c>
      <c r="BW255" s="105" t="str">
        <f ca="1"/>
        <v/>
      </c>
    </row>
    <row r="256" spans="1:75" x14ac:dyDescent="0.3">
      <c r="A256" s="1">
        <v>0</v>
      </c>
      <c r="B256" s="106">
        <v>0</v>
      </c>
      <c r="C256" s="14">
        <v>0</v>
      </c>
      <c r="D256" s="14">
        <v>0</v>
      </c>
      <c r="E256" s="14">
        <v>0</v>
      </c>
      <c r="F256" s="453">
        <v>0</v>
      </c>
      <c r="G256" s="377">
        <v>0</v>
      </c>
      <c r="H256" s="453">
        <v>0</v>
      </c>
      <c r="I256" s="453">
        <v>0</v>
      </c>
      <c r="J256" s="453">
        <v>0</v>
      </c>
      <c r="K256" s="453">
        <v>0</v>
      </c>
      <c r="L256" s="453">
        <v>0</v>
      </c>
      <c r="M256" s="453">
        <v>0</v>
      </c>
      <c r="N256" s="453">
        <v>0</v>
      </c>
      <c r="O256" s="453">
        <v>0</v>
      </c>
      <c r="P256" s="14">
        <v>0</v>
      </c>
      <c r="Q256" s="14">
        <v>0</v>
      </c>
      <c r="R256" s="453">
        <v>0</v>
      </c>
      <c r="S256" s="453">
        <v>0</v>
      </c>
      <c r="T256" s="453">
        <v>0</v>
      </c>
      <c r="U256" s="453">
        <v>0</v>
      </c>
      <c r="V256" s="453">
        <v>0</v>
      </c>
      <c r="W256" s="453">
        <v>0</v>
      </c>
      <c r="X256" s="453">
        <v>0</v>
      </c>
      <c r="Y256" s="453">
        <v>0</v>
      </c>
      <c r="Z256" s="453">
        <v>0</v>
      </c>
      <c r="AA256" s="14">
        <v>0</v>
      </c>
      <c r="AB256" s="14">
        <v>0</v>
      </c>
      <c r="AC256" s="453">
        <v>0</v>
      </c>
      <c r="AD256" s="14">
        <v>0</v>
      </c>
      <c r="AE256" s="14">
        <v>0</v>
      </c>
      <c r="AF256" s="14">
        <v>0</v>
      </c>
      <c r="AG256" s="14">
        <v>0</v>
      </c>
      <c r="AH256" s="14">
        <v>0</v>
      </c>
      <c r="AI256" s="14">
        <v>0</v>
      </c>
      <c r="AJ256" s="14">
        <v>0</v>
      </c>
      <c r="AK256" s="14">
        <v>0</v>
      </c>
      <c r="AL256" s="14">
        <v>0</v>
      </c>
      <c r="AM256" s="453">
        <v>0</v>
      </c>
      <c r="AN256" s="453">
        <v>0</v>
      </c>
      <c r="AO256" s="453">
        <v>0</v>
      </c>
      <c r="AP256" s="453">
        <v>0</v>
      </c>
      <c r="AQ256" s="453">
        <v>0</v>
      </c>
      <c r="AR256" s="453">
        <v>0</v>
      </c>
      <c r="AS256" s="453">
        <v>0</v>
      </c>
      <c r="AT256" s="453">
        <v>0</v>
      </c>
      <c r="AU256" s="453">
        <v>0</v>
      </c>
      <c r="AV256" s="453">
        <v>0</v>
      </c>
      <c r="AW256" s="453">
        <v>0</v>
      </c>
      <c r="AX256" s="453">
        <v>0</v>
      </c>
      <c r="AY256" s="453">
        <v>0</v>
      </c>
      <c r="AZ256" s="453">
        <v>0</v>
      </c>
      <c r="BA256" s="453">
        <v>0</v>
      </c>
      <c r="BB256" s="453">
        <v>0</v>
      </c>
      <c r="BC256" s="453">
        <v>0</v>
      </c>
      <c r="BD256" s="453">
        <v>0</v>
      </c>
      <c r="BE256" s="105">
        <v>0</v>
      </c>
      <c r="BF256" s="453">
        <v>0</v>
      </c>
      <c r="BG256" s="453">
        <v>0</v>
      </c>
      <c r="BH256" s="105">
        <v>0</v>
      </c>
      <c r="BI256" s="453">
        <v>0</v>
      </c>
      <c r="BJ256" s="453">
        <v>0</v>
      </c>
      <c r="BK256" s="105">
        <v>0</v>
      </c>
      <c r="BL256" s="453">
        <v>0</v>
      </c>
      <c r="BM256" s="453">
        <v>0</v>
      </c>
      <c r="BN256" s="453">
        <v>0</v>
      </c>
      <c r="BO256" s="453">
        <v>0</v>
      </c>
      <c r="BP256" s="453">
        <v>0</v>
      </c>
      <c r="BQ256" s="453">
        <v>0</v>
      </c>
      <c r="BR256" s="14">
        <v>0</v>
      </c>
      <c r="BS256" s="14">
        <v>0</v>
      </c>
      <c r="BT256" s="377" t="str">
        <v/>
      </c>
      <c r="BU256" s="105" t="str">
        <v/>
      </c>
      <c r="BV256" s="453" t="str">
        <v/>
      </c>
      <c r="BW256" s="105" t="str">
        <f ca="1"/>
        <v/>
      </c>
    </row>
    <row r="257" spans="1:75" x14ac:dyDescent="0.3">
      <c r="A257" s="1">
        <v>0</v>
      </c>
      <c r="B257" s="106">
        <v>0</v>
      </c>
      <c r="C257" s="14">
        <v>0</v>
      </c>
      <c r="D257" s="14">
        <v>0</v>
      </c>
      <c r="E257" s="14">
        <v>0</v>
      </c>
      <c r="F257" s="453">
        <v>0</v>
      </c>
      <c r="G257" s="377">
        <v>0</v>
      </c>
      <c r="H257" s="453">
        <v>0</v>
      </c>
      <c r="I257" s="453">
        <v>0</v>
      </c>
      <c r="J257" s="453">
        <v>0</v>
      </c>
      <c r="K257" s="453">
        <v>0</v>
      </c>
      <c r="L257" s="453">
        <v>0</v>
      </c>
      <c r="M257" s="453">
        <v>0</v>
      </c>
      <c r="N257" s="453">
        <v>0</v>
      </c>
      <c r="O257" s="453">
        <v>0</v>
      </c>
      <c r="P257" s="14">
        <v>0</v>
      </c>
      <c r="Q257" s="14">
        <v>0</v>
      </c>
      <c r="R257" s="453">
        <v>0</v>
      </c>
      <c r="S257" s="453">
        <v>0</v>
      </c>
      <c r="T257" s="453">
        <v>0</v>
      </c>
      <c r="U257" s="453">
        <v>0</v>
      </c>
      <c r="V257" s="453">
        <v>0</v>
      </c>
      <c r="W257" s="453">
        <v>0</v>
      </c>
      <c r="X257" s="453">
        <v>0</v>
      </c>
      <c r="Y257" s="453">
        <v>0</v>
      </c>
      <c r="Z257" s="453">
        <v>0</v>
      </c>
      <c r="AA257" s="14">
        <v>0</v>
      </c>
      <c r="AB257" s="14">
        <v>0</v>
      </c>
      <c r="AC257" s="453">
        <v>0</v>
      </c>
      <c r="AD257" s="14">
        <v>0</v>
      </c>
      <c r="AE257" s="14">
        <v>0</v>
      </c>
      <c r="AF257" s="14">
        <v>0</v>
      </c>
      <c r="AG257" s="14">
        <v>0</v>
      </c>
      <c r="AH257" s="14">
        <v>0</v>
      </c>
      <c r="AI257" s="14">
        <v>0</v>
      </c>
      <c r="AJ257" s="14">
        <v>0</v>
      </c>
      <c r="AK257" s="14">
        <v>0</v>
      </c>
      <c r="AL257" s="14">
        <v>0</v>
      </c>
      <c r="AM257" s="453">
        <v>0</v>
      </c>
      <c r="AN257" s="453">
        <v>0</v>
      </c>
      <c r="AO257" s="453">
        <v>0</v>
      </c>
      <c r="AP257" s="453">
        <v>0</v>
      </c>
      <c r="AQ257" s="453">
        <v>0</v>
      </c>
      <c r="AR257" s="453">
        <v>0</v>
      </c>
      <c r="AS257" s="453">
        <v>0</v>
      </c>
      <c r="AT257" s="453">
        <v>0</v>
      </c>
      <c r="AU257" s="453">
        <v>0</v>
      </c>
      <c r="AV257" s="453">
        <v>0</v>
      </c>
      <c r="AW257" s="453">
        <v>0</v>
      </c>
      <c r="AX257" s="453">
        <v>0</v>
      </c>
      <c r="AY257" s="453">
        <v>0</v>
      </c>
      <c r="AZ257" s="453">
        <v>0</v>
      </c>
      <c r="BA257" s="453">
        <v>0</v>
      </c>
      <c r="BB257" s="453">
        <v>0</v>
      </c>
      <c r="BC257" s="453">
        <v>0</v>
      </c>
      <c r="BD257" s="453">
        <v>0</v>
      </c>
      <c r="BE257" s="105">
        <v>0</v>
      </c>
      <c r="BF257" s="453">
        <v>0</v>
      </c>
      <c r="BG257" s="453">
        <v>0</v>
      </c>
      <c r="BH257" s="105">
        <v>0</v>
      </c>
      <c r="BI257" s="453">
        <v>0</v>
      </c>
      <c r="BJ257" s="453">
        <v>0</v>
      </c>
      <c r="BK257" s="105">
        <v>0</v>
      </c>
      <c r="BL257" s="453">
        <v>0</v>
      </c>
      <c r="BM257" s="453">
        <v>0</v>
      </c>
      <c r="BN257" s="453">
        <v>0</v>
      </c>
      <c r="BO257" s="453">
        <v>0</v>
      </c>
      <c r="BP257" s="453">
        <v>0</v>
      </c>
      <c r="BQ257" s="453">
        <v>0</v>
      </c>
      <c r="BR257" s="14">
        <v>0</v>
      </c>
      <c r="BS257" s="14">
        <v>0</v>
      </c>
      <c r="BT257" s="377" t="str">
        <v/>
      </c>
      <c r="BU257" s="105" t="str">
        <v/>
      </c>
      <c r="BV257" s="453" t="str">
        <v/>
      </c>
      <c r="BW257" s="105" t="str">
        <f ca="1"/>
        <v/>
      </c>
    </row>
    <row r="258" spans="1:75" x14ac:dyDescent="0.3">
      <c r="A258" s="1">
        <v>0</v>
      </c>
      <c r="B258" s="106">
        <v>0</v>
      </c>
      <c r="C258" s="14">
        <v>0</v>
      </c>
      <c r="D258" s="14">
        <v>0</v>
      </c>
      <c r="E258" s="14">
        <v>0</v>
      </c>
      <c r="F258" s="453">
        <v>0</v>
      </c>
      <c r="G258" s="377">
        <v>0</v>
      </c>
      <c r="H258" s="453">
        <v>0</v>
      </c>
      <c r="I258" s="453">
        <v>0</v>
      </c>
      <c r="J258" s="453">
        <v>0</v>
      </c>
      <c r="K258" s="453">
        <v>0</v>
      </c>
      <c r="L258" s="453">
        <v>0</v>
      </c>
      <c r="M258" s="453">
        <v>0</v>
      </c>
      <c r="N258" s="453">
        <v>0</v>
      </c>
      <c r="O258" s="453">
        <v>0</v>
      </c>
      <c r="P258" s="14">
        <v>0</v>
      </c>
      <c r="Q258" s="14">
        <v>0</v>
      </c>
      <c r="R258" s="453">
        <v>0</v>
      </c>
      <c r="S258" s="453">
        <v>0</v>
      </c>
      <c r="T258" s="453">
        <v>0</v>
      </c>
      <c r="U258" s="453">
        <v>0</v>
      </c>
      <c r="V258" s="453">
        <v>0</v>
      </c>
      <c r="W258" s="453">
        <v>0</v>
      </c>
      <c r="X258" s="453">
        <v>0</v>
      </c>
      <c r="Y258" s="453">
        <v>0</v>
      </c>
      <c r="Z258" s="453">
        <v>0</v>
      </c>
      <c r="AA258" s="14">
        <v>0</v>
      </c>
      <c r="AB258" s="14">
        <v>0</v>
      </c>
      <c r="AC258" s="453">
        <v>0</v>
      </c>
      <c r="AD258" s="14">
        <v>0</v>
      </c>
      <c r="AE258" s="14">
        <v>0</v>
      </c>
      <c r="AF258" s="14">
        <v>0</v>
      </c>
      <c r="AG258" s="14">
        <v>0</v>
      </c>
      <c r="AH258" s="14">
        <v>0</v>
      </c>
      <c r="AI258" s="14">
        <v>0</v>
      </c>
      <c r="AJ258" s="14">
        <v>0</v>
      </c>
      <c r="AK258" s="14">
        <v>0</v>
      </c>
      <c r="AL258" s="14">
        <v>0</v>
      </c>
      <c r="AM258" s="453">
        <v>0</v>
      </c>
      <c r="AN258" s="453">
        <v>0</v>
      </c>
      <c r="AO258" s="453">
        <v>0</v>
      </c>
      <c r="AP258" s="453">
        <v>0</v>
      </c>
      <c r="AQ258" s="453">
        <v>0</v>
      </c>
      <c r="AR258" s="453">
        <v>0</v>
      </c>
      <c r="AS258" s="453">
        <v>0</v>
      </c>
      <c r="AT258" s="453">
        <v>0</v>
      </c>
      <c r="AU258" s="453">
        <v>0</v>
      </c>
      <c r="AV258" s="453">
        <v>0</v>
      </c>
      <c r="AW258" s="453">
        <v>0</v>
      </c>
      <c r="AX258" s="453">
        <v>0</v>
      </c>
      <c r="AY258" s="453">
        <v>0</v>
      </c>
      <c r="AZ258" s="453">
        <v>0</v>
      </c>
      <c r="BA258" s="453">
        <v>0</v>
      </c>
      <c r="BB258" s="453">
        <v>0</v>
      </c>
      <c r="BC258" s="453">
        <v>0</v>
      </c>
      <c r="BD258" s="453">
        <v>0</v>
      </c>
      <c r="BE258" s="105">
        <v>0</v>
      </c>
      <c r="BF258" s="453">
        <v>0</v>
      </c>
      <c r="BG258" s="453">
        <v>0</v>
      </c>
      <c r="BH258" s="105">
        <v>0</v>
      </c>
      <c r="BI258" s="453">
        <v>0</v>
      </c>
      <c r="BJ258" s="453">
        <v>0</v>
      </c>
      <c r="BK258" s="105">
        <v>0</v>
      </c>
      <c r="BL258" s="453">
        <v>0</v>
      </c>
      <c r="BM258" s="453">
        <v>0</v>
      </c>
      <c r="BN258" s="453">
        <v>0</v>
      </c>
      <c r="BO258" s="453">
        <v>0</v>
      </c>
      <c r="BP258" s="453">
        <v>0</v>
      </c>
      <c r="BQ258" s="453">
        <v>0</v>
      </c>
      <c r="BR258" s="14">
        <v>0</v>
      </c>
      <c r="BS258" s="14">
        <v>0</v>
      </c>
      <c r="BT258" s="377" t="str">
        <v/>
      </c>
      <c r="BU258" s="105" t="str">
        <v/>
      </c>
      <c r="BV258" s="453" t="str">
        <v/>
      </c>
      <c r="BW258" s="105" t="str">
        <f ca="1"/>
        <v/>
      </c>
    </row>
    <row r="259" spans="1:75" x14ac:dyDescent="0.3">
      <c r="A259" s="1">
        <v>0</v>
      </c>
      <c r="B259" s="106">
        <v>0</v>
      </c>
      <c r="C259" s="14">
        <v>0</v>
      </c>
      <c r="D259" s="14">
        <v>0</v>
      </c>
      <c r="E259" s="14">
        <v>0</v>
      </c>
      <c r="F259" s="453">
        <v>0</v>
      </c>
      <c r="G259" s="377">
        <v>0</v>
      </c>
      <c r="H259" s="453">
        <v>0</v>
      </c>
      <c r="I259" s="453">
        <v>0</v>
      </c>
      <c r="J259" s="453">
        <v>0</v>
      </c>
      <c r="K259" s="453">
        <v>0</v>
      </c>
      <c r="L259" s="453">
        <v>0</v>
      </c>
      <c r="M259" s="453">
        <v>0</v>
      </c>
      <c r="N259" s="453">
        <v>0</v>
      </c>
      <c r="O259" s="453">
        <v>0</v>
      </c>
      <c r="P259" s="14">
        <v>0</v>
      </c>
      <c r="Q259" s="14">
        <v>0</v>
      </c>
      <c r="R259" s="453">
        <v>0</v>
      </c>
      <c r="S259" s="453">
        <v>0</v>
      </c>
      <c r="T259" s="453">
        <v>0</v>
      </c>
      <c r="U259" s="453">
        <v>0</v>
      </c>
      <c r="V259" s="453">
        <v>0</v>
      </c>
      <c r="W259" s="453">
        <v>0</v>
      </c>
      <c r="X259" s="453">
        <v>0</v>
      </c>
      <c r="Y259" s="453">
        <v>0</v>
      </c>
      <c r="Z259" s="453">
        <v>0</v>
      </c>
      <c r="AA259" s="14">
        <v>0</v>
      </c>
      <c r="AB259" s="14">
        <v>0</v>
      </c>
      <c r="AC259" s="453">
        <v>0</v>
      </c>
      <c r="AD259" s="14">
        <v>0</v>
      </c>
      <c r="AE259" s="14">
        <v>0</v>
      </c>
      <c r="AF259" s="14">
        <v>0</v>
      </c>
      <c r="AG259" s="14">
        <v>0</v>
      </c>
      <c r="AH259" s="14">
        <v>0</v>
      </c>
      <c r="AI259" s="14">
        <v>0</v>
      </c>
      <c r="AJ259" s="14">
        <v>0</v>
      </c>
      <c r="AK259" s="14">
        <v>0</v>
      </c>
      <c r="AL259" s="14">
        <v>0</v>
      </c>
      <c r="AM259" s="453">
        <v>0</v>
      </c>
      <c r="AN259" s="453">
        <v>0</v>
      </c>
      <c r="AO259" s="453">
        <v>0</v>
      </c>
      <c r="AP259" s="453">
        <v>0</v>
      </c>
      <c r="AQ259" s="453">
        <v>0</v>
      </c>
      <c r="AR259" s="453">
        <v>0</v>
      </c>
      <c r="AS259" s="453">
        <v>0</v>
      </c>
      <c r="AT259" s="453">
        <v>0</v>
      </c>
      <c r="AU259" s="453">
        <v>0</v>
      </c>
      <c r="AV259" s="453">
        <v>0</v>
      </c>
      <c r="AW259" s="453">
        <v>0</v>
      </c>
      <c r="AX259" s="453">
        <v>0</v>
      </c>
      <c r="AY259" s="453">
        <v>0</v>
      </c>
      <c r="AZ259" s="453">
        <v>0</v>
      </c>
      <c r="BA259" s="453">
        <v>0</v>
      </c>
      <c r="BB259" s="453">
        <v>0</v>
      </c>
      <c r="BC259" s="453">
        <v>0</v>
      </c>
      <c r="BD259" s="453">
        <v>0</v>
      </c>
      <c r="BE259" s="105">
        <v>0</v>
      </c>
      <c r="BF259" s="453">
        <v>0</v>
      </c>
      <c r="BG259" s="453">
        <v>0</v>
      </c>
      <c r="BH259" s="105">
        <v>0</v>
      </c>
      <c r="BI259" s="453">
        <v>0</v>
      </c>
      <c r="BJ259" s="453">
        <v>0</v>
      </c>
      <c r="BK259" s="105">
        <v>0</v>
      </c>
      <c r="BL259" s="453">
        <v>0</v>
      </c>
      <c r="BM259" s="453">
        <v>0</v>
      </c>
      <c r="BN259" s="453">
        <v>0</v>
      </c>
      <c r="BO259" s="453">
        <v>0</v>
      </c>
      <c r="BP259" s="453">
        <v>0</v>
      </c>
      <c r="BQ259" s="453">
        <v>0</v>
      </c>
      <c r="BR259" s="14">
        <v>0</v>
      </c>
      <c r="BS259" s="14">
        <v>0</v>
      </c>
      <c r="BT259" s="377" t="str">
        <v/>
      </c>
      <c r="BU259" s="105" t="str">
        <v/>
      </c>
      <c r="BV259" s="453" t="str">
        <v/>
      </c>
      <c r="BW259" s="105" t="str">
        <f ca="1"/>
        <v/>
      </c>
    </row>
    <row r="260" spans="1:75" x14ac:dyDescent="0.3">
      <c r="A260" s="1">
        <v>0</v>
      </c>
      <c r="B260" s="106">
        <v>0</v>
      </c>
      <c r="C260" s="14">
        <v>0</v>
      </c>
      <c r="D260" s="14">
        <v>0</v>
      </c>
      <c r="E260" s="14">
        <v>0</v>
      </c>
      <c r="F260" s="453">
        <v>0</v>
      </c>
      <c r="G260" s="377">
        <v>0</v>
      </c>
      <c r="H260" s="453">
        <v>0</v>
      </c>
      <c r="I260" s="453">
        <v>0</v>
      </c>
      <c r="J260" s="453">
        <v>0</v>
      </c>
      <c r="K260" s="453">
        <v>0</v>
      </c>
      <c r="L260" s="453">
        <v>0</v>
      </c>
      <c r="M260" s="453">
        <v>0</v>
      </c>
      <c r="N260" s="453">
        <v>0</v>
      </c>
      <c r="O260" s="453">
        <v>0</v>
      </c>
      <c r="P260" s="14">
        <v>0</v>
      </c>
      <c r="Q260" s="14">
        <v>0</v>
      </c>
      <c r="R260" s="453">
        <v>0</v>
      </c>
      <c r="S260" s="453">
        <v>0</v>
      </c>
      <c r="T260" s="453">
        <v>0</v>
      </c>
      <c r="U260" s="453">
        <v>0</v>
      </c>
      <c r="V260" s="453">
        <v>0</v>
      </c>
      <c r="W260" s="453">
        <v>0</v>
      </c>
      <c r="X260" s="453">
        <v>0</v>
      </c>
      <c r="Y260" s="453">
        <v>0</v>
      </c>
      <c r="Z260" s="453">
        <v>0</v>
      </c>
      <c r="AA260" s="14">
        <v>0</v>
      </c>
      <c r="AB260" s="14">
        <v>0</v>
      </c>
      <c r="AC260" s="453">
        <v>0</v>
      </c>
      <c r="AD260" s="14">
        <v>0</v>
      </c>
      <c r="AE260" s="14">
        <v>0</v>
      </c>
      <c r="AF260" s="14">
        <v>0</v>
      </c>
      <c r="AG260" s="14">
        <v>0</v>
      </c>
      <c r="AH260" s="14">
        <v>0</v>
      </c>
      <c r="AI260" s="14">
        <v>0</v>
      </c>
      <c r="AJ260" s="14">
        <v>0</v>
      </c>
      <c r="AK260" s="14">
        <v>0</v>
      </c>
      <c r="AL260" s="14">
        <v>0</v>
      </c>
      <c r="AM260" s="453">
        <v>0</v>
      </c>
      <c r="AN260" s="453">
        <v>0</v>
      </c>
      <c r="AO260" s="453">
        <v>0</v>
      </c>
      <c r="AP260" s="453">
        <v>0</v>
      </c>
      <c r="AQ260" s="453">
        <v>0</v>
      </c>
      <c r="AR260" s="453">
        <v>0</v>
      </c>
      <c r="AS260" s="453">
        <v>0</v>
      </c>
      <c r="AT260" s="453">
        <v>0</v>
      </c>
      <c r="AU260" s="453">
        <v>0</v>
      </c>
      <c r="AV260" s="453">
        <v>0</v>
      </c>
      <c r="AW260" s="453">
        <v>0</v>
      </c>
      <c r="AX260" s="453">
        <v>0</v>
      </c>
      <c r="AY260" s="453">
        <v>0</v>
      </c>
      <c r="AZ260" s="453">
        <v>0</v>
      </c>
      <c r="BA260" s="453">
        <v>0</v>
      </c>
      <c r="BB260" s="453">
        <v>0</v>
      </c>
      <c r="BC260" s="453">
        <v>0</v>
      </c>
      <c r="BD260" s="453">
        <v>0</v>
      </c>
      <c r="BE260" s="105">
        <v>0</v>
      </c>
      <c r="BF260" s="453">
        <v>0</v>
      </c>
      <c r="BG260" s="453">
        <v>0</v>
      </c>
      <c r="BH260" s="105">
        <v>0</v>
      </c>
      <c r="BI260" s="453">
        <v>0</v>
      </c>
      <c r="BJ260" s="453">
        <v>0</v>
      </c>
      <c r="BK260" s="105">
        <v>0</v>
      </c>
      <c r="BL260" s="453">
        <v>0</v>
      </c>
      <c r="BM260" s="453">
        <v>0</v>
      </c>
      <c r="BN260" s="453">
        <v>0</v>
      </c>
      <c r="BO260" s="453">
        <v>0</v>
      </c>
      <c r="BP260" s="453">
        <v>0</v>
      </c>
      <c r="BQ260" s="453">
        <v>0</v>
      </c>
      <c r="BR260" s="14">
        <v>0</v>
      </c>
      <c r="BS260" s="14">
        <v>0</v>
      </c>
      <c r="BT260" s="377" t="str">
        <v/>
      </c>
      <c r="BU260" s="105" t="str">
        <v/>
      </c>
      <c r="BV260" s="453" t="str">
        <v/>
      </c>
      <c r="BW260" s="105" t="str">
        <f ca="1"/>
        <v/>
      </c>
    </row>
    <row r="261" spans="1:75" x14ac:dyDescent="0.3">
      <c r="A261" s="1">
        <v>0</v>
      </c>
      <c r="B261" s="106">
        <v>0</v>
      </c>
      <c r="C261" s="14">
        <v>0</v>
      </c>
      <c r="D261" s="14">
        <v>0</v>
      </c>
      <c r="E261" s="14">
        <v>0</v>
      </c>
      <c r="F261" s="453">
        <v>0</v>
      </c>
      <c r="G261" s="377">
        <v>0</v>
      </c>
      <c r="H261" s="453">
        <v>0</v>
      </c>
      <c r="I261" s="453">
        <v>0</v>
      </c>
      <c r="J261" s="453">
        <v>0</v>
      </c>
      <c r="K261" s="453">
        <v>0</v>
      </c>
      <c r="L261" s="453">
        <v>0</v>
      </c>
      <c r="M261" s="453">
        <v>0</v>
      </c>
      <c r="N261" s="453">
        <v>0</v>
      </c>
      <c r="O261" s="453">
        <v>0</v>
      </c>
      <c r="P261" s="14">
        <v>0</v>
      </c>
      <c r="Q261" s="14">
        <v>0</v>
      </c>
      <c r="R261" s="453">
        <v>0</v>
      </c>
      <c r="S261" s="453">
        <v>0</v>
      </c>
      <c r="T261" s="453">
        <v>0</v>
      </c>
      <c r="U261" s="453">
        <v>0</v>
      </c>
      <c r="V261" s="453">
        <v>0</v>
      </c>
      <c r="W261" s="453">
        <v>0</v>
      </c>
      <c r="X261" s="453">
        <v>0</v>
      </c>
      <c r="Y261" s="453">
        <v>0</v>
      </c>
      <c r="Z261" s="453">
        <v>0</v>
      </c>
      <c r="AA261" s="14">
        <v>0</v>
      </c>
      <c r="AB261" s="14">
        <v>0</v>
      </c>
      <c r="AC261" s="453">
        <v>0</v>
      </c>
      <c r="AD261" s="14">
        <v>0</v>
      </c>
      <c r="AE261" s="14">
        <v>0</v>
      </c>
      <c r="AF261" s="14">
        <v>0</v>
      </c>
      <c r="AG261" s="14">
        <v>0</v>
      </c>
      <c r="AH261" s="14">
        <v>0</v>
      </c>
      <c r="AI261" s="14">
        <v>0</v>
      </c>
      <c r="AJ261" s="14">
        <v>0</v>
      </c>
      <c r="AK261" s="14">
        <v>0</v>
      </c>
      <c r="AL261" s="14">
        <v>0</v>
      </c>
      <c r="AM261" s="453">
        <v>0</v>
      </c>
      <c r="AN261" s="453">
        <v>0</v>
      </c>
      <c r="AO261" s="453">
        <v>0</v>
      </c>
      <c r="AP261" s="453">
        <v>0</v>
      </c>
      <c r="AQ261" s="453">
        <v>0</v>
      </c>
      <c r="AR261" s="453">
        <v>0</v>
      </c>
      <c r="AS261" s="453">
        <v>0</v>
      </c>
      <c r="AT261" s="453">
        <v>0</v>
      </c>
      <c r="AU261" s="453">
        <v>0</v>
      </c>
      <c r="AV261" s="453">
        <v>0</v>
      </c>
      <c r="AW261" s="453">
        <v>0</v>
      </c>
      <c r="AX261" s="453">
        <v>0</v>
      </c>
      <c r="AY261" s="453">
        <v>0</v>
      </c>
      <c r="AZ261" s="453">
        <v>0</v>
      </c>
      <c r="BA261" s="453">
        <v>0</v>
      </c>
      <c r="BB261" s="453">
        <v>0</v>
      </c>
      <c r="BC261" s="453">
        <v>0</v>
      </c>
      <c r="BD261" s="453">
        <v>0</v>
      </c>
      <c r="BE261" s="105">
        <v>0</v>
      </c>
      <c r="BF261" s="453">
        <v>0</v>
      </c>
      <c r="BG261" s="453">
        <v>0</v>
      </c>
      <c r="BH261" s="105">
        <v>0</v>
      </c>
      <c r="BI261" s="453">
        <v>0</v>
      </c>
      <c r="BJ261" s="453">
        <v>0</v>
      </c>
      <c r="BK261" s="105">
        <v>0</v>
      </c>
      <c r="BL261" s="453">
        <v>0</v>
      </c>
      <c r="BM261" s="453">
        <v>0</v>
      </c>
      <c r="BN261" s="453">
        <v>0</v>
      </c>
      <c r="BO261" s="453">
        <v>0</v>
      </c>
      <c r="BP261" s="453">
        <v>0</v>
      </c>
      <c r="BQ261" s="453">
        <v>0</v>
      </c>
      <c r="BR261" s="14">
        <v>0</v>
      </c>
      <c r="BS261" s="14">
        <v>0</v>
      </c>
      <c r="BT261" s="377" t="str">
        <v/>
      </c>
      <c r="BU261" s="105" t="str">
        <v/>
      </c>
      <c r="BV261" s="453" t="str">
        <v/>
      </c>
      <c r="BW261" s="105" t="str">
        <f ca="1"/>
        <v/>
      </c>
    </row>
    <row r="262" spans="1:75" x14ac:dyDescent="0.3">
      <c r="A262" s="1">
        <v>0</v>
      </c>
      <c r="B262" s="106">
        <v>0</v>
      </c>
      <c r="C262" s="14">
        <v>0</v>
      </c>
      <c r="D262" s="14">
        <v>0</v>
      </c>
      <c r="E262" s="14">
        <v>0</v>
      </c>
      <c r="F262" s="453">
        <v>0</v>
      </c>
      <c r="G262" s="377">
        <v>0</v>
      </c>
      <c r="H262" s="453">
        <v>0</v>
      </c>
      <c r="I262" s="453">
        <v>0</v>
      </c>
      <c r="J262" s="453">
        <v>0</v>
      </c>
      <c r="K262" s="453">
        <v>0</v>
      </c>
      <c r="L262" s="453">
        <v>0</v>
      </c>
      <c r="M262" s="453">
        <v>0</v>
      </c>
      <c r="N262" s="453">
        <v>0</v>
      </c>
      <c r="O262" s="453">
        <v>0</v>
      </c>
      <c r="P262" s="14">
        <v>0</v>
      </c>
      <c r="Q262" s="14">
        <v>0</v>
      </c>
      <c r="R262" s="453">
        <v>0</v>
      </c>
      <c r="S262" s="453">
        <v>0</v>
      </c>
      <c r="T262" s="453">
        <v>0</v>
      </c>
      <c r="U262" s="453">
        <v>0</v>
      </c>
      <c r="V262" s="453">
        <v>0</v>
      </c>
      <c r="W262" s="453">
        <v>0</v>
      </c>
      <c r="X262" s="453">
        <v>0</v>
      </c>
      <c r="Y262" s="453">
        <v>0</v>
      </c>
      <c r="Z262" s="453">
        <v>0</v>
      </c>
      <c r="AA262" s="14">
        <v>0</v>
      </c>
      <c r="AB262" s="14">
        <v>0</v>
      </c>
      <c r="AC262" s="453">
        <v>0</v>
      </c>
      <c r="AD262" s="14">
        <v>0</v>
      </c>
      <c r="AE262" s="14">
        <v>0</v>
      </c>
      <c r="AF262" s="14">
        <v>0</v>
      </c>
      <c r="AG262" s="14">
        <v>0</v>
      </c>
      <c r="AH262" s="14">
        <v>0</v>
      </c>
      <c r="AI262" s="14">
        <v>0</v>
      </c>
      <c r="AJ262" s="14">
        <v>0</v>
      </c>
      <c r="AK262" s="14">
        <v>0</v>
      </c>
      <c r="AL262" s="14">
        <v>0</v>
      </c>
      <c r="AM262" s="453">
        <v>0</v>
      </c>
      <c r="AN262" s="453">
        <v>0</v>
      </c>
      <c r="AO262" s="453">
        <v>0</v>
      </c>
      <c r="AP262" s="453">
        <v>0</v>
      </c>
      <c r="AQ262" s="453">
        <v>0</v>
      </c>
      <c r="AR262" s="453">
        <v>0</v>
      </c>
      <c r="AS262" s="453">
        <v>0</v>
      </c>
      <c r="AT262" s="453">
        <v>0</v>
      </c>
      <c r="AU262" s="453">
        <v>0</v>
      </c>
      <c r="AV262" s="453">
        <v>0</v>
      </c>
      <c r="AW262" s="453">
        <v>0</v>
      </c>
      <c r="AX262" s="453">
        <v>0</v>
      </c>
      <c r="AY262" s="453">
        <v>0</v>
      </c>
      <c r="AZ262" s="453">
        <v>0</v>
      </c>
      <c r="BA262" s="453">
        <v>0</v>
      </c>
      <c r="BB262" s="453">
        <v>0</v>
      </c>
      <c r="BC262" s="453">
        <v>0</v>
      </c>
      <c r="BD262" s="453">
        <v>0</v>
      </c>
      <c r="BE262" s="105">
        <v>0</v>
      </c>
      <c r="BF262" s="453">
        <v>0</v>
      </c>
      <c r="BG262" s="453">
        <v>0</v>
      </c>
      <c r="BH262" s="105">
        <v>0</v>
      </c>
      <c r="BI262" s="453">
        <v>0</v>
      </c>
      <c r="BJ262" s="453">
        <v>0</v>
      </c>
      <c r="BK262" s="105">
        <v>0</v>
      </c>
      <c r="BL262" s="453">
        <v>0</v>
      </c>
      <c r="BM262" s="453">
        <v>0</v>
      </c>
      <c r="BN262" s="453">
        <v>0</v>
      </c>
      <c r="BO262" s="453">
        <v>0</v>
      </c>
      <c r="BP262" s="453">
        <v>0</v>
      </c>
      <c r="BQ262" s="453">
        <v>0</v>
      </c>
      <c r="BR262" s="14">
        <v>0</v>
      </c>
      <c r="BS262" s="14">
        <v>0</v>
      </c>
      <c r="BT262" s="377" t="str">
        <v/>
      </c>
      <c r="BU262" s="105" t="str">
        <v/>
      </c>
      <c r="BV262" s="453" t="str">
        <v/>
      </c>
      <c r="BW262" s="105" t="str">
        <f ca="1"/>
        <v/>
      </c>
    </row>
    <row r="263" spans="1:75" x14ac:dyDescent="0.3">
      <c r="A263" s="1">
        <v>0</v>
      </c>
      <c r="B263" s="106">
        <v>0</v>
      </c>
      <c r="C263" s="14">
        <v>0</v>
      </c>
      <c r="D263" s="14">
        <v>0</v>
      </c>
      <c r="E263" s="14">
        <v>0</v>
      </c>
      <c r="F263" s="453">
        <v>0</v>
      </c>
      <c r="G263" s="377">
        <v>0</v>
      </c>
      <c r="H263" s="453">
        <v>0</v>
      </c>
      <c r="I263" s="453">
        <v>0</v>
      </c>
      <c r="J263" s="453">
        <v>0</v>
      </c>
      <c r="K263" s="453">
        <v>0</v>
      </c>
      <c r="L263" s="453">
        <v>0</v>
      </c>
      <c r="M263" s="453">
        <v>0</v>
      </c>
      <c r="N263" s="453">
        <v>0</v>
      </c>
      <c r="O263" s="453">
        <v>0</v>
      </c>
      <c r="P263" s="14">
        <v>0</v>
      </c>
      <c r="Q263" s="14">
        <v>0</v>
      </c>
      <c r="R263" s="453">
        <v>0</v>
      </c>
      <c r="S263" s="453">
        <v>0</v>
      </c>
      <c r="T263" s="453">
        <v>0</v>
      </c>
      <c r="U263" s="453">
        <v>0</v>
      </c>
      <c r="V263" s="453">
        <v>0</v>
      </c>
      <c r="W263" s="453">
        <v>0</v>
      </c>
      <c r="X263" s="453">
        <v>0</v>
      </c>
      <c r="Y263" s="453">
        <v>0</v>
      </c>
      <c r="Z263" s="453">
        <v>0</v>
      </c>
      <c r="AA263" s="14">
        <v>0</v>
      </c>
      <c r="AB263" s="14">
        <v>0</v>
      </c>
      <c r="AC263" s="453">
        <v>0</v>
      </c>
      <c r="AD263" s="14">
        <v>0</v>
      </c>
      <c r="AE263" s="14">
        <v>0</v>
      </c>
      <c r="AF263" s="14">
        <v>0</v>
      </c>
      <c r="AG263" s="14">
        <v>0</v>
      </c>
      <c r="AH263" s="14">
        <v>0</v>
      </c>
      <c r="AI263" s="14">
        <v>0</v>
      </c>
      <c r="AJ263" s="14">
        <v>0</v>
      </c>
      <c r="AK263" s="14">
        <v>0</v>
      </c>
      <c r="AL263" s="14">
        <v>0</v>
      </c>
      <c r="AM263" s="453">
        <v>0</v>
      </c>
      <c r="AN263" s="453">
        <v>0</v>
      </c>
      <c r="AO263" s="453">
        <v>0</v>
      </c>
      <c r="AP263" s="453">
        <v>0</v>
      </c>
      <c r="AQ263" s="453">
        <v>0</v>
      </c>
      <c r="AR263" s="453">
        <v>0</v>
      </c>
      <c r="AS263" s="453">
        <v>0</v>
      </c>
      <c r="AT263" s="453">
        <v>0</v>
      </c>
      <c r="AU263" s="453">
        <v>0</v>
      </c>
      <c r="AV263" s="453">
        <v>0</v>
      </c>
      <c r="AW263" s="453">
        <v>0</v>
      </c>
      <c r="AX263" s="453">
        <v>0</v>
      </c>
      <c r="AY263" s="453">
        <v>0</v>
      </c>
      <c r="AZ263" s="453">
        <v>0</v>
      </c>
      <c r="BA263" s="453">
        <v>0</v>
      </c>
      <c r="BB263" s="453">
        <v>0</v>
      </c>
      <c r="BC263" s="453">
        <v>0</v>
      </c>
      <c r="BD263" s="453">
        <v>0</v>
      </c>
      <c r="BE263" s="105">
        <v>0</v>
      </c>
      <c r="BF263" s="453">
        <v>0</v>
      </c>
      <c r="BG263" s="453">
        <v>0</v>
      </c>
      <c r="BH263" s="105">
        <v>0</v>
      </c>
      <c r="BI263" s="453">
        <v>0</v>
      </c>
      <c r="BJ263" s="453">
        <v>0</v>
      </c>
      <c r="BK263" s="105">
        <v>0</v>
      </c>
      <c r="BL263" s="453">
        <v>0</v>
      </c>
      <c r="BM263" s="453">
        <v>0</v>
      </c>
      <c r="BN263" s="453">
        <v>0</v>
      </c>
      <c r="BO263" s="453">
        <v>0</v>
      </c>
      <c r="BP263" s="453">
        <v>0</v>
      </c>
      <c r="BQ263" s="453">
        <v>0</v>
      </c>
      <c r="BR263" s="14">
        <v>0</v>
      </c>
      <c r="BS263" s="14">
        <v>0</v>
      </c>
      <c r="BT263" s="377" t="str">
        <v/>
      </c>
      <c r="BU263" s="105" t="str">
        <v/>
      </c>
      <c r="BV263" s="453" t="str">
        <v/>
      </c>
      <c r="BW263" s="105" t="str">
        <f ca="1"/>
        <v/>
      </c>
    </row>
    <row r="264" spans="1:75" x14ac:dyDescent="0.3">
      <c r="A264" s="1">
        <v>0</v>
      </c>
      <c r="B264" s="106">
        <v>0</v>
      </c>
      <c r="C264" s="14">
        <v>0</v>
      </c>
      <c r="D264" s="14">
        <v>0</v>
      </c>
      <c r="E264" s="14">
        <v>0</v>
      </c>
      <c r="F264" s="453">
        <v>0</v>
      </c>
      <c r="G264" s="377">
        <v>0</v>
      </c>
      <c r="H264" s="453">
        <v>0</v>
      </c>
      <c r="I264" s="453">
        <v>0</v>
      </c>
      <c r="J264" s="453">
        <v>0</v>
      </c>
      <c r="K264" s="453">
        <v>0</v>
      </c>
      <c r="L264" s="453">
        <v>0</v>
      </c>
      <c r="M264" s="453">
        <v>0</v>
      </c>
      <c r="N264" s="453">
        <v>0</v>
      </c>
      <c r="O264" s="453">
        <v>0</v>
      </c>
      <c r="P264" s="14">
        <v>0</v>
      </c>
      <c r="Q264" s="14">
        <v>0</v>
      </c>
      <c r="R264" s="453">
        <v>0</v>
      </c>
      <c r="S264" s="453">
        <v>0</v>
      </c>
      <c r="T264" s="453">
        <v>0</v>
      </c>
      <c r="U264" s="453">
        <v>0</v>
      </c>
      <c r="V264" s="453">
        <v>0</v>
      </c>
      <c r="W264" s="453">
        <v>0</v>
      </c>
      <c r="X264" s="453">
        <v>0</v>
      </c>
      <c r="Y264" s="453">
        <v>0</v>
      </c>
      <c r="Z264" s="453">
        <v>0</v>
      </c>
      <c r="AA264" s="14">
        <v>0</v>
      </c>
      <c r="AB264" s="14">
        <v>0</v>
      </c>
      <c r="AC264" s="453">
        <v>0</v>
      </c>
      <c r="AD264" s="14">
        <v>0</v>
      </c>
      <c r="AE264" s="14">
        <v>0</v>
      </c>
      <c r="AF264" s="14">
        <v>0</v>
      </c>
      <c r="AG264" s="14">
        <v>0</v>
      </c>
      <c r="AH264" s="14">
        <v>0</v>
      </c>
      <c r="AI264" s="14">
        <v>0</v>
      </c>
      <c r="AJ264" s="14">
        <v>0</v>
      </c>
      <c r="AK264" s="14">
        <v>0</v>
      </c>
      <c r="AL264" s="14">
        <v>0</v>
      </c>
      <c r="AM264" s="453">
        <v>0</v>
      </c>
      <c r="AN264" s="453">
        <v>0</v>
      </c>
      <c r="AO264" s="453">
        <v>0</v>
      </c>
      <c r="AP264" s="453">
        <v>0</v>
      </c>
      <c r="AQ264" s="453">
        <v>0</v>
      </c>
      <c r="AR264" s="453">
        <v>0</v>
      </c>
      <c r="AS264" s="453">
        <v>0</v>
      </c>
      <c r="AT264" s="453">
        <v>0</v>
      </c>
      <c r="AU264" s="453">
        <v>0</v>
      </c>
      <c r="AV264" s="453">
        <v>0</v>
      </c>
      <c r="AW264" s="453">
        <v>0</v>
      </c>
      <c r="AX264" s="453">
        <v>0</v>
      </c>
      <c r="AY264" s="453">
        <v>0</v>
      </c>
      <c r="AZ264" s="453">
        <v>0</v>
      </c>
      <c r="BA264" s="453">
        <v>0</v>
      </c>
      <c r="BB264" s="453">
        <v>0</v>
      </c>
      <c r="BC264" s="453">
        <v>0</v>
      </c>
      <c r="BD264" s="453">
        <v>0</v>
      </c>
      <c r="BE264" s="105">
        <v>0</v>
      </c>
      <c r="BF264" s="453">
        <v>0</v>
      </c>
      <c r="BG264" s="453">
        <v>0</v>
      </c>
      <c r="BH264" s="105">
        <v>0</v>
      </c>
      <c r="BI264" s="453">
        <v>0</v>
      </c>
      <c r="BJ264" s="453">
        <v>0</v>
      </c>
      <c r="BK264" s="105">
        <v>0</v>
      </c>
      <c r="BL264" s="453">
        <v>0</v>
      </c>
      <c r="BM264" s="453">
        <v>0</v>
      </c>
      <c r="BN264" s="453">
        <v>0</v>
      </c>
      <c r="BO264" s="453">
        <v>0</v>
      </c>
      <c r="BP264" s="453">
        <v>0</v>
      </c>
      <c r="BQ264" s="453">
        <v>0</v>
      </c>
      <c r="BR264" s="14">
        <v>0</v>
      </c>
      <c r="BS264" s="14">
        <v>0</v>
      </c>
      <c r="BT264" s="377" t="str">
        <v/>
      </c>
      <c r="BU264" s="105" t="str">
        <v/>
      </c>
      <c r="BV264" s="453" t="str">
        <v/>
      </c>
      <c r="BW264" s="105" t="str">
        <f ca="1"/>
        <v/>
      </c>
    </row>
    <row r="265" spans="1:75" x14ac:dyDescent="0.3">
      <c r="A265" s="1">
        <v>0</v>
      </c>
      <c r="B265" s="106">
        <v>0</v>
      </c>
      <c r="C265" s="14">
        <v>0</v>
      </c>
      <c r="D265" s="14">
        <v>0</v>
      </c>
      <c r="E265" s="14">
        <v>0</v>
      </c>
      <c r="F265" s="453">
        <v>0</v>
      </c>
      <c r="G265" s="377">
        <v>0</v>
      </c>
      <c r="H265" s="453">
        <v>0</v>
      </c>
      <c r="I265" s="453">
        <v>0</v>
      </c>
      <c r="J265" s="453">
        <v>0</v>
      </c>
      <c r="K265" s="453">
        <v>0</v>
      </c>
      <c r="L265" s="453">
        <v>0</v>
      </c>
      <c r="M265" s="453">
        <v>0</v>
      </c>
      <c r="N265" s="453">
        <v>0</v>
      </c>
      <c r="O265" s="453">
        <v>0</v>
      </c>
      <c r="P265" s="14">
        <v>0</v>
      </c>
      <c r="Q265" s="14">
        <v>0</v>
      </c>
      <c r="R265" s="453">
        <v>0</v>
      </c>
      <c r="S265" s="453">
        <v>0</v>
      </c>
      <c r="T265" s="453">
        <v>0</v>
      </c>
      <c r="U265" s="453">
        <v>0</v>
      </c>
      <c r="V265" s="453">
        <v>0</v>
      </c>
      <c r="W265" s="453">
        <v>0</v>
      </c>
      <c r="X265" s="453">
        <v>0</v>
      </c>
      <c r="Y265" s="453">
        <v>0</v>
      </c>
      <c r="Z265" s="453">
        <v>0</v>
      </c>
      <c r="AA265" s="14">
        <v>0</v>
      </c>
      <c r="AB265" s="14">
        <v>0</v>
      </c>
      <c r="AC265" s="453">
        <v>0</v>
      </c>
      <c r="AD265" s="14">
        <v>0</v>
      </c>
      <c r="AE265" s="14">
        <v>0</v>
      </c>
      <c r="AF265" s="14">
        <v>0</v>
      </c>
      <c r="AG265" s="14">
        <v>0</v>
      </c>
      <c r="AH265" s="14">
        <v>0</v>
      </c>
      <c r="AI265" s="14">
        <v>0</v>
      </c>
      <c r="AJ265" s="14">
        <v>0</v>
      </c>
      <c r="AK265" s="14">
        <v>0</v>
      </c>
      <c r="AL265" s="14">
        <v>0</v>
      </c>
      <c r="AM265" s="453">
        <v>0</v>
      </c>
      <c r="AN265" s="453">
        <v>0</v>
      </c>
      <c r="AO265" s="453">
        <v>0</v>
      </c>
      <c r="AP265" s="453">
        <v>0</v>
      </c>
      <c r="AQ265" s="453">
        <v>0</v>
      </c>
      <c r="AR265" s="453">
        <v>0</v>
      </c>
      <c r="AS265" s="453">
        <v>0</v>
      </c>
      <c r="AT265" s="453">
        <v>0</v>
      </c>
      <c r="AU265" s="453">
        <v>0</v>
      </c>
      <c r="AV265" s="453">
        <v>0</v>
      </c>
      <c r="AW265" s="453">
        <v>0</v>
      </c>
      <c r="AX265" s="453">
        <v>0</v>
      </c>
      <c r="AY265" s="453">
        <v>0</v>
      </c>
      <c r="AZ265" s="453">
        <v>0</v>
      </c>
      <c r="BA265" s="453">
        <v>0</v>
      </c>
      <c r="BB265" s="453">
        <v>0</v>
      </c>
      <c r="BC265" s="453">
        <v>0</v>
      </c>
      <c r="BD265" s="453">
        <v>0</v>
      </c>
      <c r="BE265" s="105">
        <v>0</v>
      </c>
      <c r="BF265" s="453">
        <v>0</v>
      </c>
      <c r="BG265" s="453">
        <v>0</v>
      </c>
      <c r="BH265" s="105">
        <v>0</v>
      </c>
      <c r="BI265" s="453">
        <v>0</v>
      </c>
      <c r="BJ265" s="453">
        <v>0</v>
      </c>
      <c r="BK265" s="105">
        <v>0</v>
      </c>
      <c r="BL265" s="453">
        <v>0</v>
      </c>
      <c r="BM265" s="453">
        <v>0</v>
      </c>
      <c r="BN265" s="453">
        <v>0</v>
      </c>
      <c r="BO265" s="453">
        <v>0</v>
      </c>
      <c r="BP265" s="453">
        <v>0</v>
      </c>
      <c r="BQ265" s="453">
        <v>0</v>
      </c>
      <c r="BR265" s="14">
        <v>0</v>
      </c>
      <c r="BS265" s="14">
        <v>0</v>
      </c>
      <c r="BT265" s="377" t="str">
        <v/>
      </c>
      <c r="BU265" s="105" t="str">
        <v/>
      </c>
      <c r="BV265" s="453" t="str">
        <v/>
      </c>
      <c r="BW265" s="105" t="str">
        <f ca="1"/>
        <v/>
      </c>
    </row>
    <row r="266" spans="1:75" x14ac:dyDescent="0.3">
      <c r="A266" s="1">
        <v>0</v>
      </c>
      <c r="B266" s="106">
        <v>0</v>
      </c>
      <c r="C266" s="14">
        <v>0</v>
      </c>
      <c r="D266" s="14">
        <v>0</v>
      </c>
      <c r="E266" s="14">
        <v>0</v>
      </c>
      <c r="F266" s="453">
        <v>0</v>
      </c>
      <c r="G266" s="377">
        <v>0</v>
      </c>
      <c r="H266" s="453">
        <v>0</v>
      </c>
      <c r="I266" s="453">
        <v>0</v>
      </c>
      <c r="J266" s="453">
        <v>0</v>
      </c>
      <c r="K266" s="453">
        <v>0</v>
      </c>
      <c r="L266" s="453">
        <v>0</v>
      </c>
      <c r="M266" s="453">
        <v>0</v>
      </c>
      <c r="N266" s="453">
        <v>0</v>
      </c>
      <c r="O266" s="453">
        <v>0</v>
      </c>
      <c r="P266" s="14">
        <v>0</v>
      </c>
      <c r="Q266" s="14">
        <v>0</v>
      </c>
      <c r="R266" s="453">
        <v>0</v>
      </c>
      <c r="S266" s="453">
        <v>0</v>
      </c>
      <c r="T266" s="453">
        <v>0</v>
      </c>
      <c r="U266" s="453">
        <v>0</v>
      </c>
      <c r="V266" s="453">
        <v>0</v>
      </c>
      <c r="W266" s="453">
        <v>0</v>
      </c>
      <c r="X266" s="453">
        <v>0</v>
      </c>
      <c r="Y266" s="453">
        <v>0</v>
      </c>
      <c r="Z266" s="453">
        <v>0</v>
      </c>
      <c r="AA266" s="14">
        <v>0</v>
      </c>
      <c r="AB266" s="14">
        <v>0</v>
      </c>
      <c r="AC266" s="453">
        <v>0</v>
      </c>
      <c r="AD266" s="14">
        <v>0</v>
      </c>
      <c r="AE266" s="14">
        <v>0</v>
      </c>
      <c r="AF266" s="14">
        <v>0</v>
      </c>
      <c r="AG266" s="14">
        <v>0</v>
      </c>
      <c r="AH266" s="14">
        <v>0</v>
      </c>
      <c r="AI266" s="14">
        <v>0</v>
      </c>
      <c r="AJ266" s="14">
        <v>0</v>
      </c>
      <c r="AK266" s="14">
        <v>0</v>
      </c>
      <c r="AL266" s="14">
        <v>0</v>
      </c>
      <c r="AM266" s="453">
        <v>0</v>
      </c>
      <c r="AN266" s="453">
        <v>0</v>
      </c>
      <c r="AO266" s="453">
        <v>0</v>
      </c>
      <c r="AP266" s="453">
        <v>0</v>
      </c>
      <c r="AQ266" s="453">
        <v>0</v>
      </c>
      <c r="AR266" s="453">
        <v>0</v>
      </c>
      <c r="AS266" s="453">
        <v>0</v>
      </c>
      <c r="AT266" s="453">
        <v>0</v>
      </c>
      <c r="AU266" s="453">
        <v>0</v>
      </c>
      <c r="AV266" s="453">
        <v>0</v>
      </c>
      <c r="AW266" s="453">
        <v>0</v>
      </c>
      <c r="AX266" s="453">
        <v>0</v>
      </c>
      <c r="AY266" s="453">
        <v>0</v>
      </c>
      <c r="AZ266" s="453">
        <v>0</v>
      </c>
      <c r="BA266" s="453">
        <v>0</v>
      </c>
      <c r="BB266" s="453">
        <v>0</v>
      </c>
      <c r="BC266" s="453">
        <v>0</v>
      </c>
      <c r="BD266" s="453">
        <v>0</v>
      </c>
      <c r="BE266" s="105">
        <v>0</v>
      </c>
      <c r="BF266" s="453">
        <v>0</v>
      </c>
      <c r="BG266" s="453">
        <v>0</v>
      </c>
      <c r="BH266" s="105">
        <v>0</v>
      </c>
      <c r="BI266" s="453">
        <v>0</v>
      </c>
      <c r="BJ266" s="453">
        <v>0</v>
      </c>
      <c r="BK266" s="105">
        <v>0</v>
      </c>
      <c r="BL266" s="453">
        <v>0</v>
      </c>
      <c r="BM266" s="453">
        <v>0</v>
      </c>
      <c r="BN266" s="453">
        <v>0</v>
      </c>
      <c r="BO266" s="453">
        <v>0</v>
      </c>
      <c r="BP266" s="453">
        <v>0</v>
      </c>
      <c r="BQ266" s="453">
        <v>0</v>
      </c>
      <c r="BR266" s="14">
        <v>0</v>
      </c>
      <c r="BS266" s="14">
        <v>0</v>
      </c>
      <c r="BT266" s="377" t="str">
        <v/>
      </c>
      <c r="BU266" s="105" t="str">
        <v/>
      </c>
      <c r="BV266" s="453" t="str">
        <v/>
      </c>
      <c r="BW266" s="105" t="str">
        <f ca="1"/>
        <v/>
      </c>
    </row>
    <row r="267" spans="1:75" x14ac:dyDescent="0.3">
      <c r="A267" s="1">
        <v>0</v>
      </c>
      <c r="B267" s="106">
        <v>0</v>
      </c>
      <c r="C267" s="14">
        <v>0</v>
      </c>
      <c r="D267" s="14">
        <v>0</v>
      </c>
      <c r="E267" s="14">
        <v>0</v>
      </c>
      <c r="F267" s="453">
        <v>0</v>
      </c>
      <c r="G267" s="377">
        <v>0</v>
      </c>
      <c r="H267" s="453">
        <v>0</v>
      </c>
      <c r="I267" s="453">
        <v>0</v>
      </c>
      <c r="J267" s="453">
        <v>0</v>
      </c>
      <c r="K267" s="453">
        <v>0</v>
      </c>
      <c r="L267" s="453">
        <v>0</v>
      </c>
      <c r="M267" s="453">
        <v>0</v>
      </c>
      <c r="N267" s="453">
        <v>0</v>
      </c>
      <c r="O267" s="453">
        <v>0</v>
      </c>
      <c r="P267" s="14">
        <v>0</v>
      </c>
      <c r="Q267" s="14">
        <v>0</v>
      </c>
      <c r="R267" s="453">
        <v>0</v>
      </c>
      <c r="S267" s="453">
        <v>0</v>
      </c>
      <c r="T267" s="453">
        <v>0</v>
      </c>
      <c r="U267" s="453">
        <v>0</v>
      </c>
      <c r="V267" s="453">
        <v>0</v>
      </c>
      <c r="W267" s="453">
        <v>0</v>
      </c>
      <c r="X267" s="453">
        <v>0</v>
      </c>
      <c r="Y267" s="453">
        <v>0</v>
      </c>
      <c r="Z267" s="453">
        <v>0</v>
      </c>
      <c r="AA267" s="14">
        <v>0</v>
      </c>
      <c r="AB267" s="14">
        <v>0</v>
      </c>
      <c r="AC267" s="453">
        <v>0</v>
      </c>
      <c r="AD267" s="14">
        <v>0</v>
      </c>
      <c r="AE267" s="14">
        <v>0</v>
      </c>
      <c r="AF267" s="14">
        <v>0</v>
      </c>
      <c r="AG267" s="14">
        <v>0</v>
      </c>
      <c r="AH267" s="14">
        <v>0</v>
      </c>
      <c r="AI267" s="14">
        <v>0</v>
      </c>
      <c r="AJ267" s="14">
        <v>0</v>
      </c>
      <c r="AK267" s="14">
        <v>0</v>
      </c>
      <c r="AL267" s="14">
        <v>0</v>
      </c>
      <c r="AM267" s="453">
        <v>0</v>
      </c>
      <c r="AN267" s="453">
        <v>0</v>
      </c>
      <c r="AO267" s="453">
        <v>0</v>
      </c>
      <c r="AP267" s="453">
        <v>0</v>
      </c>
      <c r="AQ267" s="453">
        <v>0</v>
      </c>
      <c r="AR267" s="453">
        <v>0</v>
      </c>
      <c r="AS267" s="453">
        <v>0</v>
      </c>
      <c r="AT267" s="453">
        <v>0</v>
      </c>
      <c r="AU267" s="453">
        <v>0</v>
      </c>
      <c r="AV267" s="453">
        <v>0</v>
      </c>
      <c r="AW267" s="453">
        <v>0</v>
      </c>
      <c r="AX267" s="453">
        <v>0</v>
      </c>
      <c r="AY267" s="453">
        <v>0</v>
      </c>
      <c r="AZ267" s="453">
        <v>0</v>
      </c>
      <c r="BA267" s="453">
        <v>0</v>
      </c>
      <c r="BB267" s="453">
        <v>0</v>
      </c>
      <c r="BC267" s="453">
        <v>0</v>
      </c>
      <c r="BD267" s="453">
        <v>0</v>
      </c>
      <c r="BE267" s="105">
        <v>0</v>
      </c>
      <c r="BF267" s="453">
        <v>0</v>
      </c>
      <c r="BG267" s="453">
        <v>0</v>
      </c>
      <c r="BH267" s="105">
        <v>0</v>
      </c>
      <c r="BI267" s="453">
        <v>0</v>
      </c>
      <c r="BJ267" s="453">
        <v>0</v>
      </c>
      <c r="BK267" s="105">
        <v>0</v>
      </c>
      <c r="BL267" s="453">
        <v>0</v>
      </c>
      <c r="BM267" s="453">
        <v>0</v>
      </c>
      <c r="BN267" s="453">
        <v>0</v>
      </c>
      <c r="BO267" s="453">
        <v>0</v>
      </c>
      <c r="BP267" s="453">
        <v>0</v>
      </c>
      <c r="BQ267" s="453">
        <v>0</v>
      </c>
      <c r="BR267" s="14">
        <v>0</v>
      </c>
      <c r="BS267" s="14">
        <v>0</v>
      </c>
      <c r="BT267" s="377" t="str">
        <v/>
      </c>
      <c r="BU267" s="105" t="str">
        <v/>
      </c>
      <c r="BV267" s="453" t="str">
        <v/>
      </c>
      <c r="BW267" s="105" t="str">
        <f ca="1"/>
        <v/>
      </c>
    </row>
    <row r="268" spans="1:75" x14ac:dyDescent="0.3">
      <c r="A268" s="1">
        <v>0</v>
      </c>
      <c r="B268" s="106">
        <v>0</v>
      </c>
      <c r="C268" s="14">
        <v>0</v>
      </c>
      <c r="D268" s="14">
        <v>0</v>
      </c>
      <c r="E268" s="14">
        <v>0</v>
      </c>
      <c r="F268" s="453">
        <v>0</v>
      </c>
      <c r="G268" s="377">
        <v>0</v>
      </c>
      <c r="H268" s="453">
        <v>0</v>
      </c>
      <c r="I268" s="453">
        <v>0</v>
      </c>
      <c r="J268" s="453">
        <v>0</v>
      </c>
      <c r="K268" s="453">
        <v>0</v>
      </c>
      <c r="L268" s="453">
        <v>0</v>
      </c>
      <c r="M268" s="453">
        <v>0</v>
      </c>
      <c r="N268" s="453">
        <v>0</v>
      </c>
      <c r="O268" s="453">
        <v>0</v>
      </c>
      <c r="P268" s="14">
        <v>0</v>
      </c>
      <c r="Q268" s="14">
        <v>0</v>
      </c>
      <c r="R268" s="453">
        <v>0</v>
      </c>
      <c r="S268" s="453">
        <v>0</v>
      </c>
      <c r="T268" s="453">
        <v>0</v>
      </c>
      <c r="U268" s="453">
        <v>0</v>
      </c>
      <c r="V268" s="453">
        <v>0</v>
      </c>
      <c r="W268" s="453">
        <v>0</v>
      </c>
      <c r="X268" s="453">
        <v>0</v>
      </c>
      <c r="Y268" s="453">
        <v>0</v>
      </c>
      <c r="Z268" s="453">
        <v>0</v>
      </c>
      <c r="AA268" s="14">
        <v>0</v>
      </c>
      <c r="AB268" s="14">
        <v>0</v>
      </c>
      <c r="AC268" s="453">
        <v>0</v>
      </c>
      <c r="AD268" s="14">
        <v>0</v>
      </c>
      <c r="AE268" s="14">
        <v>0</v>
      </c>
      <c r="AF268" s="14">
        <v>0</v>
      </c>
      <c r="AG268" s="14">
        <v>0</v>
      </c>
      <c r="AH268" s="14">
        <v>0</v>
      </c>
      <c r="AI268" s="14">
        <v>0</v>
      </c>
      <c r="AJ268" s="14">
        <v>0</v>
      </c>
      <c r="AK268" s="14">
        <v>0</v>
      </c>
      <c r="AL268" s="14">
        <v>0</v>
      </c>
      <c r="AM268" s="453">
        <v>0</v>
      </c>
      <c r="AN268" s="453">
        <v>0</v>
      </c>
      <c r="AO268" s="453">
        <v>0</v>
      </c>
      <c r="AP268" s="453">
        <v>0</v>
      </c>
      <c r="AQ268" s="453">
        <v>0</v>
      </c>
      <c r="AR268" s="453">
        <v>0</v>
      </c>
      <c r="AS268" s="453">
        <v>0</v>
      </c>
      <c r="AT268" s="453">
        <v>0</v>
      </c>
      <c r="AU268" s="453">
        <v>0</v>
      </c>
      <c r="AV268" s="453">
        <v>0</v>
      </c>
      <c r="AW268" s="453">
        <v>0</v>
      </c>
      <c r="AX268" s="453">
        <v>0</v>
      </c>
      <c r="AY268" s="453">
        <v>0</v>
      </c>
      <c r="AZ268" s="453">
        <v>0</v>
      </c>
      <c r="BA268" s="453">
        <v>0</v>
      </c>
      <c r="BB268" s="453">
        <v>0</v>
      </c>
      <c r="BC268" s="453">
        <v>0</v>
      </c>
      <c r="BD268" s="453">
        <v>0</v>
      </c>
      <c r="BE268" s="105">
        <v>0</v>
      </c>
      <c r="BF268" s="453">
        <v>0</v>
      </c>
      <c r="BG268" s="453">
        <v>0</v>
      </c>
      <c r="BH268" s="105">
        <v>0</v>
      </c>
      <c r="BI268" s="453">
        <v>0</v>
      </c>
      <c r="BJ268" s="453">
        <v>0</v>
      </c>
      <c r="BK268" s="105">
        <v>0</v>
      </c>
      <c r="BL268" s="453">
        <v>0</v>
      </c>
      <c r="BM268" s="453">
        <v>0</v>
      </c>
      <c r="BN268" s="453">
        <v>0</v>
      </c>
      <c r="BO268" s="453">
        <v>0</v>
      </c>
      <c r="BP268" s="453">
        <v>0</v>
      </c>
      <c r="BQ268" s="453">
        <v>0</v>
      </c>
      <c r="BR268" s="14">
        <v>0</v>
      </c>
      <c r="BS268" s="14">
        <v>0</v>
      </c>
      <c r="BT268" s="377" t="str">
        <v/>
      </c>
      <c r="BU268" s="105" t="str">
        <v/>
      </c>
      <c r="BV268" s="453" t="str">
        <v/>
      </c>
      <c r="BW268" s="105" t="str">
        <f ca="1"/>
        <v/>
      </c>
    </row>
    <row r="269" spans="1:75" x14ac:dyDescent="0.3">
      <c r="A269" s="1">
        <v>0</v>
      </c>
      <c r="B269" s="106">
        <v>0</v>
      </c>
      <c r="C269" s="14">
        <v>0</v>
      </c>
      <c r="D269" s="14">
        <v>0</v>
      </c>
      <c r="E269" s="14">
        <v>0</v>
      </c>
      <c r="F269" s="453">
        <v>0</v>
      </c>
      <c r="G269" s="377">
        <v>0</v>
      </c>
      <c r="H269" s="453">
        <v>0</v>
      </c>
      <c r="I269" s="453">
        <v>0</v>
      </c>
      <c r="J269" s="453">
        <v>0</v>
      </c>
      <c r="K269" s="453">
        <v>0</v>
      </c>
      <c r="L269" s="453">
        <v>0</v>
      </c>
      <c r="M269" s="453">
        <v>0</v>
      </c>
      <c r="N269" s="453">
        <v>0</v>
      </c>
      <c r="O269" s="453">
        <v>0</v>
      </c>
      <c r="P269" s="14">
        <v>0</v>
      </c>
      <c r="Q269" s="14">
        <v>0</v>
      </c>
      <c r="R269" s="453">
        <v>0</v>
      </c>
      <c r="S269" s="453">
        <v>0</v>
      </c>
      <c r="T269" s="453">
        <v>0</v>
      </c>
      <c r="U269" s="453">
        <v>0</v>
      </c>
      <c r="V269" s="453">
        <v>0</v>
      </c>
      <c r="W269" s="453">
        <v>0</v>
      </c>
      <c r="X269" s="453">
        <v>0</v>
      </c>
      <c r="Y269" s="453">
        <v>0</v>
      </c>
      <c r="Z269" s="453">
        <v>0</v>
      </c>
      <c r="AA269" s="14">
        <v>0</v>
      </c>
      <c r="AB269" s="14">
        <v>0</v>
      </c>
      <c r="AC269" s="453">
        <v>0</v>
      </c>
      <c r="AD269" s="14">
        <v>0</v>
      </c>
      <c r="AE269" s="14">
        <v>0</v>
      </c>
      <c r="AF269" s="14">
        <v>0</v>
      </c>
      <c r="AG269" s="14">
        <v>0</v>
      </c>
      <c r="AH269" s="14">
        <v>0</v>
      </c>
      <c r="AI269" s="14">
        <v>0</v>
      </c>
      <c r="AJ269" s="14">
        <v>0</v>
      </c>
      <c r="AK269" s="14">
        <v>0</v>
      </c>
      <c r="AL269" s="14">
        <v>0</v>
      </c>
      <c r="AM269" s="453">
        <v>0</v>
      </c>
      <c r="AN269" s="453">
        <v>0</v>
      </c>
      <c r="AO269" s="453">
        <v>0</v>
      </c>
      <c r="AP269" s="453">
        <v>0</v>
      </c>
      <c r="AQ269" s="453">
        <v>0</v>
      </c>
      <c r="AR269" s="453">
        <v>0</v>
      </c>
      <c r="AS269" s="453">
        <v>0</v>
      </c>
      <c r="AT269" s="453">
        <v>0</v>
      </c>
      <c r="AU269" s="453">
        <v>0</v>
      </c>
      <c r="AV269" s="453">
        <v>0</v>
      </c>
      <c r="AW269" s="453">
        <v>0</v>
      </c>
      <c r="AX269" s="453">
        <v>0</v>
      </c>
      <c r="AY269" s="453">
        <v>0</v>
      </c>
      <c r="AZ269" s="453">
        <v>0</v>
      </c>
      <c r="BA269" s="453">
        <v>0</v>
      </c>
      <c r="BB269" s="453">
        <v>0</v>
      </c>
      <c r="BC269" s="453">
        <v>0</v>
      </c>
      <c r="BD269" s="453">
        <v>0</v>
      </c>
      <c r="BE269" s="105">
        <v>0</v>
      </c>
      <c r="BF269" s="453">
        <v>0</v>
      </c>
      <c r="BG269" s="453">
        <v>0</v>
      </c>
      <c r="BH269" s="105">
        <v>0</v>
      </c>
      <c r="BI269" s="453">
        <v>0</v>
      </c>
      <c r="BJ269" s="453">
        <v>0</v>
      </c>
      <c r="BK269" s="105">
        <v>0</v>
      </c>
      <c r="BL269" s="453">
        <v>0</v>
      </c>
      <c r="BM269" s="453">
        <v>0</v>
      </c>
      <c r="BN269" s="453">
        <v>0</v>
      </c>
      <c r="BO269" s="453">
        <v>0</v>
      </c>
      <c r="BP269" s="453">
        <v>0</v>
      </c>
      <c r="BQ269" s="453">
        <v>0</v>
      </c>
      <c r="BR269" s="14">
        <v>0</v>
      </c>
      <c r="BS269" s="14">
        <v>0</v>
      </c>
      <c r="BT269" s="377" t="str">
        <v/>
      </c>
      <c r="BU269" s="105" t="str">
        <v/>
      </c>
      <c r="BV269" s="453" t="str">
        <v/>
      </c>
      <c r="BW269" s="105" t="str">
        <f ca="1"/>
        <v/>
      </c>
    </row>
    <row r="270" spans="1:75" x14ac:dyDescent="0.3">
      <c r="A270" s="1">
        <v>0</v>
      </c>
      <c r="B270" s="106">
        <v>0</v>
      </c>
      <c r="C270" s="14">
        <v>0</v>
      </c>
      <c r="D270" s="14">
        <v>0</v>
      </c>
      <c r="E270" s="14">
        <v>0</v>
      </c>
      <c r="F270" s="453">
        <v>0</v>
      </c>
      <c r="G270" s="377">
        <v>0</v>
      </c>
      <c r="H270" s="453">
        <v>0</v>
      </c>
      <c r="I270" s="453">
        <v>0</v>
      </c>
      <c r="J270" s="453">
        <v>0</v>
      </c>
      <c r="K270" s="453">
        <v>0</v>
      </c>
      <c r="L270" s="453">
        <v>0</v>
      </c>
      <c r="M270" s="453">
        <v>0</v>
      </c>
      <c r="N270" s="453">
        <v>0</v>
      </c>
      <c r="O270" s="453">
        <v>0</v>
      </c>
      <c r="P270" s="14">
        <v>0</v>
      </c>
      <c r="Q270" s="14">
        <v>0</v>
      </c>
      <c r="R270" s="453">
        <v>0</v>
      </c>
      <c r="S270" s="453">
        <v>0</v>
      </c>
      <c r="T270" s="453">
        <v>0</v>
      </c>
      <c r="U270" s="453">
        <v>0</v>
      </c>
      <c r="V270" s="453">
        <v>0</v>
      </c>
      <c r="W270" s="453">
        <v>0</v>
      </c>
      <c r="X270" s="453">
        <v>0</v>
      </c>
      <c r="Y270" s="453">
        <v>0</v>
      </c>
      <c r="Z270" s="453">
        <v>0</v>
      </c>
      <c r="AA270" s="14">
        <v>0</v>
      </c>
      <c r="AB270" s="14">
        <v>0</v>
      </c>
      <c r="AC270" s="453">
        <v>0</v>
      </c>
      <c r="AD270" s="14">
        <v>0</v>
      </c>
      <c r="AE270" s="14">
        <v>0</v>
      </c>
      <c r="AF270" s="14">
        <v>0</v>
      </c>
      <c r="AG270" s="14">
        <v>0</v>
      </c>
      <c r="AH270" s="14">
        <v>0</v>
      </c>
      <c r="AI270" s="14">
        <v>0</v>
      </c>
      <c r="AJ270" s="14">
        <v>0</v>
      </c>
      <c r="AK270" s="14">
        <v>0</v>
      </c>
      <c r="AL270" s="14">
        <v>0</v>
      </c>
      <c r="AM270" s="453">
        <v>0</v>
      </c>
      <c r="AN270" s="453">
        <v>0</v>
      </c>
      <c r="AO270" s="453">
        <v>0</v>
      </c>
      <c r="AP270" s="453">
        <v>0</v>
      </c>
      <c r="AQ270" s="453">
        <v>0</v>
      </c>
      <c r="AR270" s="453">
        <v>0</v>
      </c>
      <c r="AS270" s="453">
        <v>0</v>
      </c>
      <c r="AT270" s="453">
        <v>0</v>
      </c>
      <c r="AU270" s="453">
        <v>0</v>
      </c>
      <c r="AV270" s="453">
        <v>0</v>
      </c>
      <c r="AW270" s="453">
        <v>0</v>
      </c>
      <c r="AX270" s="453">
        <v>0</v>
      </c>
      <c r="AY270" s="453">
        <v>0</v>
      </c>
      <c r="AZ270" s="453">
        <v>0</v>
      </c>
      <c r="BA270" s="453">
        <v>0</v>
      </c>
      <c r="BB270" s="453">
        <v>0</v>
      </c>
      <c r="BC270" s="453">
        <v>0</v>
      </c>
      <c r="BD270" s="453">
        <v>0</v>
      </c>
      <c r="BE270" s="105">
        <v>0</v>
      </c>
      <c r="BF270" s="453">
        <v>0</v>
      </c>
      <c r="BG270" s="453">
        <v>0</v>
      </c>
      <c r="BH270" s="105">
        <v>0</v>
      </c>
      <c r="BI270" s="453">
        <v>0</v>
      </c>
      <c r="BJ270" s="453">
        <v>0</v>
      </c>
      <c r="BK270" s="105">
        <v>0</v>
      </c>
      <c r="BL270" s="453">
        <v>0</v>
      </c>
      <c r="BM270" s="453">
        <v>0</v>
      </c>
      <c r="BN270" s="453">
        <v>0</v>
      </c>
      <c r="BO270" s="453">
        <v>0</v>
      </c>
      <c r="BP270" s="453">
        <v>0</v>
      </c>
      <c r="BQ270" s="453">
        <v>0</v>
      </c>
      <c r="BR270" s="14">
        <v>0</v>
      </c>
      <c r="BS270" s="14">
        <v>0</v>
      </c>
      <c r="BT270" s="377" t="str">
        <v/>
      </c>
      <c r="BU270" s="105" t="str">
        <v/>
      </c>
      <c r="BV270" s="453" t="str">
        <v/>
      </c>
      <c r="BW270" s="105" t="str">
        <f ca="1"/>
        <v/>
      </c>
    </row>
    <row r="271" spans="1:75" x14ac:dyDescent="0.3">
      <c r="A271" s="1">
        <v>0</v>
      </c>
      <c r="B271" s="106">
        <v>0</v>
      </c>
      <c r="C271" s="14">
        <v>0</v>
      </c>
      <c r="D271" s="14">
        <v>0</v>
      </c>
      <c r="E271" s="14">
        <v>0</v>
      </c>
      <c r="F271" s="453">
        <v>0</v>
      </c>
      <c r="G271" s="377">
        <v>0</v>
      </c>
      <c r="H271" s="453">
        <v>0</v>
      </c>
      <c r="I271" s="453">
        <v>0</v>
      </c>
      <c r="J271" s="453">
        <v>0</v>
      </c>
      <c r="K271" s="453">
        <v>0</v>
      </c>
      <c r="L271" s="453">
        <v>0</v>
      </c>
      <c r="M271" s="453">
        <v>0</v>
      </c>
      <c r="N271" s="453">
        <v>0</v>
      </c>
      <c r="O271" s="453">
        <v>0</v>
      </c>
      <c r="P271" s="14">
        <v>0</v>
      </c>
      <c r="Q271" s="14">
        <v>0</v>
      </c>
      <c r="R271" s="453">
        <v>0</v>
      </c>
      <c r="S271" s="453">
        <v>0</v>
      </c>
      <c r="T271" s="453">
        <v>0</v>
      </c>
      <c r="U271" s="453">
        <v>0</v>
      </c>
      <c r="V271" s="453">
        <v>0</v>
      </c>
      <c r="W271" s="453">
        <v>0</v>
      </c>
      <c r="X271" s="453">
        <v>0</v>
      </c>
      <c r="Y271" s="453">
        <v>0</v>
      </c>
      <c r="Z271" s="453">
        <v>0</v>
      </c>
      <c r="AA271" s="14">
        <v>0</v>
      </c>
      <c r="AB271" s="14">
        <v>0</v>
      </c>
      <c r="AC271" s="453">
        <v>0</v>
      </c>
      <c r="AD271" s="14">
        <v>0</v>
      </c>
      <c r="AE271" s="14">
        <v>0</v>
      </c>
      <c r="AF271" s="14">
        <v>0</v>
      </c>
      <c r="AG271" s="14">
        <v>0</v>
      </c>
      <c r="AH271" s="14">
        <v>0</v>
      </c>
      <c r="AI271" s="14">
        <v>0</v>
      </c>
      <c r="AJ271" s="14">
        <v>0</v>
      </c>
      <c r="AK271" s="14">
        <v>0</v>
      </c>
      <c r="AL271" s="14">
        <v>0</v>
      </c>
      <c r="AM271" s="453">
        <v>0</v>
      </c>
      <c r="AN271" s="453">
        <v>0</v>
      </c>
      <c r="AO271" s="453">
        <v>0</v>
      </c>
      <c r="AP271" s="453">
        <v>0</v>
      </c>
      <c r="AQ271" s="453">
        <v>0</v>
      </c>
      <c r="AR271" s="453">
        <v>0</v>
      </c>
      <c r="AS271" s="453">
        <v>0</v>
      </c>
      <c r="AT271" s="453">
        <v>0</v>
      </c>
      <c r="AU271" s="453">
        <v>0</v>
      </c>
      <c r="AV271" s="453">
        <v>0</v>
      </c>
      <c r="AW271" s="453">
        <v>0</v>
      </c>
      <c r="AX271" s="453">
        <v>0</v>
      </c>
      <c r="AY271" s="453">
        <v>0</v>
      </c>
      <c r="AZ271" s="453">
        <v>0</v>
      </c>
      <c r="BA271" s="453">
        <v>0</v>
      </c>
      <c r="BB271" s="453">
        <v>0</v>
      </c>
      <c r="BC271" s="453">
        <v>0</v>
      </c>
      <c r="BD271" s="453">
        <v>0</v>
      </c>
      <c r="BE271" s="105">
        <v>0</v>
      </c>
      <c r="BF271" s="453">
        <v>0</v>
      </c>
      <c r="BG271" s="453">
        <v>0</v>
      </c>
      <c r="BH271" s="105">
        <v>0</v>
      </c>
      <c r="BI271" s="453">
        <v>0</v>
      </c>
      <c r="BJ271" s="453">
        <v>0</v>
      </c>
      <c r="BK271" s="105">
        <v>0</v>
      </c>
      <c r="BL271" s="453">
        <v>0</v>
      </c>
      <c r="BM271" s="453">
        <v>0</v>
      </c>
      <c r="BN271" s="453">
        <v>0</v>
      </c>
      <c r="BO271" s="453">
        <v>0</v>
      </c>
      <c r="BP271" s="453">
        <v>0</v>
      </c>
      <c r="BQ271" s="453">
        <v>0</v>
      </c>
      <c r="BR271" s="14">
        <v>0</v>
      </c>
      <c r="BS271" s="14">
        <v>0</v>
      </c>
      <c r="BT271" s="377" t="str">
        <v/>
      </c>
      <c r="BU271" s="105" t="str">
        <v/>
      </c>
      <c r="BV271" s="453" t="str">
        <v/>
      </c>
      <c r="BW271" s="105" t="str">
        <f ca="1"/>
        <v/>
      </c>
    </row>
    <row r="272" spans="1:75" x14ac:dyDescent="0.3">
      <c r="A272" s="1">
        <v>0</v>
      </c>
      <c r="B272" s="106">
        <v>0</v>
      </c>
      <c r="C272" s="14">
        <v>0</v>
      </c>
      <c r="D272" s="14">
        <v>0</v>
      </c>
      <c r="E272" s="14">
        <v>0</v>
      </c>
      <c r="F272" s="453">
        <v>0</v>
      </c>
      <c r="G272" s="377">
        <v>0</v>
      </c>
      <c r="H272" s="453">
        <v>0</v>
      </c>
      <c r="I272" s="453">
        <v>0</v>
      </c>
      <c r="J272" s="453">
        <v>0</v>
      </c>
      <c r="K272" s="453">
        <v>0</v>
      </c>
      <c r="L272" s="453">
        <v>0</v>
      </c>
      <c r="M272" s="453">
        <v>0</v>
      </c>
      <c r="N272" s="453">
        <v>0</v>
      </c>
      <c r="O272" s="453">
        <v>0</v>
      </c>
      <c r="P272" s="14">
        <v>0</v>
      </c>
      <c r="Q272" s="14">
        <v>0</v>
      </c>
      <c r="R272" s="453">
        <v>0</v>
      </c>
      <c r="S272" s="453">
        <v>0</v>
      </c>
      <c r="T272" s="453">
        <v>0</v>
      </c>
      <c r="U272" s="453">
        <v>0</v>
      </c>
      <c r="V272" s="453">
        <v>0</v>
      </c>
      <c r="W272" s="453">
        <v>0</v>
      </c>
      <c r="X272" s="453">
        <v>0</v>
      </c>
      <c r="Y272" s="453">
        <v>0</v>
      </c>
      <c r="Z272" s="453">
        <v>0</v>
      </c>
      <c r="AA272" s="14">
        <v>0</v>
      </c>
      <c r="AB272" s="14">
        <v>0</v>
      </c>
      <c r="AC272" s="453">
        <v>0</v>
      </c>
      <c r="AD272" s="14">
        <v>0</v>
      </c>
      <c r="AE272" s="14">
        <v>0</v>
      </c>
      <c r="AF272" s="14">
        <v>0</v>
      </c>
      <c r="AG272" s="14">
        <v>0</v>
      </c>
      <c r="AH272" s="14">
        <v>0</v>
      </c>
      <c r="AI272" s="14">
        <v>0</v>
      </c>
      <c r="AJ272" s="14">
        <v>0</v>
      </c>
      <c r="AK272" s="14">
        <v>0</v>
      </c>
      <c r="AL272" s="14">
        <v>0</v>
      </c>
      <c r="AM272" s="453">
        <v>0</v>
      </c>
      <c r="AN272" s="453">
        <v>0</v>
      </c>
      <c r="AO272" s="453">
        <v>0</v>
      </c>
      <c r="AP272" s="453">
        <v>0</v>
      </c>
      <c r="AQ272" s="453">
        <v>0</v>
      </c>
      <c r="AR272" s="453">
        <v>0</v>
      </c>
      <c r="AS272" s="453">
        <v>0</v>
      </c>
      <c r="AT272" s="453">
        <v>0</v>
      </c>
      <c r="AU272" s="453">
        <v>0</v>
      </c>
      <c r="AV272" s="453">
        <v>0</v>
      </c>
      <c r="AW272" s="453">
        <v>0</v>
      </c>
      <c r="AX272" s="453">
        <v>0</v>
      </c>
      <c r="AY272" s="453">
        <v>0</v>
      </c>
      <c r="AZ272" s="453">
        <v>0</v>
      </c>
      <c r="BA272" s="453">
        <v>0</v>
      </c>
      <c r="BB272" s="453">
        <v>0</v>
      </c>
      <c r="BC272" s="453">
        <v>0</v>
      </c>
      <c r="BD272" s="453">
        <v>0</v>
      </c>
      <c r="BE272" s="105">
        <v>0</v>
      </c>
      <c r="BF272" s="453">
        <v>0</v>
      </c>
      <c r="BG272" s="453">
        <v>0</v>
      </c>
      <c r="BH272" s="105">
        <v>0</v>
      </c>
      <c r="BI272" s="453">
        <v>0</v>
      </c>
      <c r="BJ272" s="453">
        <v>0</v>
      </c>
      <c r="BK272" s="105">
        <v>0</v>
      </c>
      <c r="BL272" s="453">
        <v>0</v>
      </c>
      <c r="BM272" s="453">
        <v>0</v>
      </c>
      <c r="BN272" s="453">
        <v>0</v>
      </c>
      <c r="BO272" s="453">
        <v>0</v>
      </c>
      <c r="BP272" s="453">
        <v>0</v>
      </c>
      <c r="BQ272" s="453">
        <v>0</v>
      </c>
      <c r="BR272" s="14">
        <v>0</v>
      </c>
      <c r="BS272" s="14">
        <v>0</v>
      </c>
      <c r="BT272" s="377" t="str">
        <v/>
      </c>
      <c r="BU272" s="105" t="str">
        <v/>
      </c>
      <c r="BV272" s="453" t="str">
        <v/>
      </c>
      <c r="BW272" s="105" t="str">
        <f ca="1"/>
        <v/>
      </c>
    </row>
    <row r="273" spans="1:75" x14ac:dyDescent="0.3">
      <c r="A273" s="1">
        <v>0</v>
      </c>
      <c r="B273" s="106">
        <v>0</v>
      </c>
      <c r="C273" s="14">
        <v>0</v>
      </c>
      <c r="D273" s="14">
        <v>0</v>
      </c>
      <c r="E273" s="14">
        <v>0</v>
      </c>
      <c r="F273" s="453">
        <v>0</v>
      </c>
      <c r="G273" s="377">
        <v>0</v>
      </c>
      <c r="H273" s="453">
        <v>0</v>
      </c>
      <c r="I273" s="453">
        <v>0</v>
      </c>
      <c r="J273" s="453">
        <v>0</v>
      </c>
      <c r="K273" s="453">
        <v>0</v>
      </c>
      <c r="L273" s="453">
        <v>0</v>
      </c>
      <c r="M273" s="453">
        <v>0</v>
      </c>
      <c r="N273" s="453">
        <v>0</v>
      </c>
      <c r="O273" s="453">
        <v>0</v>
      </c>
      <c r="P273" s="14">
        <v>0</v>
      </c>
      <c r="Q273" s="14">
        <v>0</v>
      </c>
      <c r="R273" s="453">
        <v>0</v>
      </c>
      <c r="S273" s="453">
        <v>0</v>
      </c>
      <c r="T273" s="453">
        <v>0</v>
      </c>
      <c r="U273" s="453">
        <v>0</v>
      </c>
      <c r="V273" s="453">
        <v>0</v>
      </c>
      <c r="W273" s="453">
        <v>0</v>
      </c>
      <c r="X273" s="453">
        <v>0</v>
      </c>
      <c r="Y273" s="453">
        <v>0</v>
      </c>
      <c r="Z273" s="453">
        <v>0</v>
      </c>
      <c r="AA273" s="14">
        <v>0</v>
      </c>
      <c r="AB273" s="14">
        <v>0</v>
      </c>
      <c r="AC273" s="453">
        <v>0</v>
      </c>
      <c r="AD273" s="14">
        <v>0</v>
      </c>
      <c r="AE273" s="14">
        <v>0</v>
      </c>
      <c r="AF273" s="14">
        <v>0</v>
      </c>
      <c r="AG273" s="14">
        <v>0</v>
      </c>
      <c r="AH273" s="14">
        <v>0</v>
      </c>
      <c r="AI273" s="14">
        <v>0</v>
      </c>
      <c r="AJ273" s="14">
        <v>0</v>
      </c>
      <c r="AK273" s="14">
        <v>0</v>
      </c>
      <c r="AL273" s="14">
        <v>0</v>
      </c>
      <c r="AM273" s="453">
        <v>0</v>
      </c>
      <c r="AN273" s="453">
        <v>0</v>
      </c>
      <c r="AO273" s="453">
        <v>0</v>
      </c>
      <c r="AP273" s="453">
        <v>0</v>
      </c>
      <c r="AQ273" s="453">
        <v>0</v>
      </c>
      <c r="AR273" s="453">
        <v>0</v>
      </c>
      <c r="AS273" s="453">
        <v>0</v>
      </c>
      <c r="AT273" s="453">
        <v>0</v>
      </c>
      <c r="AU273" s="453">
        <v>0</v>
      </c>
      <c r="AV273" s="453">
        <v>0</v>
      </c>
      <c r="AW273" s="453">
        <v>0</v>
      </c>
      <c r="AX273" s="453">
        <v>0</v>
      </c>
      <c r="AY273" s="453">
        <v>0</v>
      </c>
      <c r="AZ273" s="453">
        <v>0</v>
      </c>
      <c r="BA273" s="453">
        <v>0</v>
      </c>
      <c r="BB273" s="453">
        <v>0</v>
      </c>
      <c r="BC273" s="453">
        <v>0</v>
      </c>
      <c r="BD273" s="453">
        <v>0</v>
      </c>
      <c r="BE273" s="105">
        <v>0</v>
      </c>
      <c r="BF273" s="453">
        <v>0</v>
      </c>
      <c r="BG273" s="453">
        <v>0</v>
      </c>
      <c r="BH273" s="105">
        <v>0</v>
      </c>
      <c r="BI273" s="453">
        <v>0</v>
      </c>
      <c r="BJ273" s="453">
        <v>0</v>
      </c>
      <c r="BK273" s="105">
        <v>0</v>
      </c>
      <c r="BL273" s="453">
        <v>0</v>
      </c>
      <c r="BM273" s="453">
        <v>0</v>
      </c>
      <c r="BN273" s="453">
        <v>0</v>
      </c>
      <c r="BO273" s="453">
        <v>0</v>
      </c>
      <c r="BP273" s="453">
        <v>0</v>
      </c>
      <c r="BQ273" s="453">
        <v>0</v>
      </c>
      <c r="BR273" s="14">
        <v>0</v>
      </c>
      <c r="BS273" s="14">
        <v>0</v>
      </c>
      <c r="BT273" s="377" t="str">
        <v/>
      </c>
      <c r="BU273" s="105" t="str">
        <v/>
      </c>
      <c r="BV273" s="453" t="str">
        <v/>
      </c>
      <c r="BW273" s="105" t="str">
        <f ca="1"/>
        <v/>
      </c>
    </row>
    <row r="274" spans="1:75" x14ac:dyDescent="0.3">
      <c r="A274" s="1">
        <v>0</v>
      </c>
      <c r="B274" s="106">
        <v>0</v>
      </c>
      <c r="C274" s="14">
        <v>0</v>
      </c>
      <c r="D274" s="14">
        <v>0</v>
      </c>
      <c r="E274" s="14">
        <v>0</v>
      </c>
      <c r="F274" s="453">
        <v>0</v>
      </c>
      <c r="G274" s="377">
        <v>0</v>
      </c>
      <c r="H274" s="453">
        <v>0</v>
      </c>
      <c r="I274" s="453">
        <v>0</v>
      </c>
      <c r="J274" s="453">
        <v>0</v>
      </c>
      <c r="K274" s="453">
        <v>0</v>
      </c>
      <c r="L274" s="453">
        <v>0</v>
      </c>
      <c r="M274" s="453">
        <v>0</v>
      </c>
      <c r="N274" s="453">
        <v>0</v>
      </c>
      <c r="O274" s="453">
        <v>0</v>
      </c>
      <c r="P274" s="14">
        <v>0</v>
      </c>
      <c r="Q274" s="14">
        <v>0</v>
      </c>
      <c r="R274" s="453">
        <v>0</v>
      </c>
      <c r="S274" s="453">
        <v>0</v>
      </c>
      <c r="T274" s="453">
        <v>0</v>
      </c>
      <c r="U274" s="453">
        <v>0</v>
      </c>
      <c r="V274" s="453">
        <v>0</v>
      </c>
      <c r="W274" s="453">
        <v>0</v>
      </c>
      <c r="X274" s="453">
        <v>0</v>
      </c>
      <c r="Y274" s="453">
        <v>0</v>
      </c>
      <c r="Z274" s="453">
        <v>0</v>
      </c>
      <c r="AA274" s="14">
        <v>0</v>
      </c>
      <c r="AB274" s="14">
        <v>0</v>
      </c>
      <c r="AC274" s="453">
        <v>0</v>
      </c>
      <c r="AD274" s="14">
        <v>0</v>
      </c>
      <c r="AE274" s="14">
        <v>0</v>
      </c>
      <c r="AF274" s="14">
        <v>0</v>
      </c>
      <c r="AG274" s="14">
        <v>0</v>
      </c>
      <c r="AH274" s="14">
        <v>0</v>
      </c>
      <c r="AI274" s="14">
        <v>0</v>
      </c>
      <c r="AJ274" s="14">
        <v>0</v>
      </c>
      <c r="AK274" s="14">
        <v>0</v>
      </c>
      <c r="AL274" s="14">
        <v>0</v>
      </c>
      <c r="AM274" s="453">
        <v>0</v>
      </c>
      <c r="AN274" s="453">
        <v>0</v>
      </c>
      <c r="AO274" s="453">
        <v>0</v>
      </c>
      <c r="AP274" s="453">
        <v>0</v>
      </c>
      <c r="AQ274" s="453">
        <v>0</v>
      </c>
      <c r="AR274" s="453">
        <v>0</v>
      </c>
      <c r="AS274" s="453">
        <v>0</v>
      </c>
      <c r="AT274" s="453">
        <v>0</v>
      </c>
      <c r="AU274" s="453">
        <v>0</v>
      </c>
      <c r="AV274" s="453">
        <v>0</v>
      </c>
      <c r="AW274" s="453">
        <v>0</v>
      </c>
      <c r="AX274" s="453">
        <v>0</v>
      </c>
      <c r="AY274" s="453">
        <v>0</v>
      </c>
      <c r="AZ274" s="453">
        <v>0</v>
      </c>
      <c r="BA274" s="453">
        <v>0</v>
      </c>
      <c r="BB274" s="453">
        <v>0</v>
      </c>
      <c r="BC274" s="453">
        <v>0</v>
      </c>
      <c r="BD274" s="453">
        <v>0</v>
      </c>
      <c r="BE274" s="105">
        <v>0</v>
      </c>
      <c r="BF274" s="453">
        <v>0</v>
      </c>
      <c r="BG274" s="453">
        <v>0</v>
      </c>
      <c r="BH274" s="105">
        <v>0</v>
      </c>
      <c r="BI274" s="453">
        <v>0</v>
      </c>
      <c r="BJ274" s="453">
        <v>0</v>
      </c>
      <c r="BK274" s="105">
        <v>0</v>
      </c>
      <c r="BL274" s="453">
        <v>0</v>
      </c>
      <c r="BM274" s="453">
        <v>0</v>
      </c>
      <c r="BN274" s="453">
        <v>0</v>
      </c>
      <c r="BO274" s="453">
        <v>0</v>
      </c>
      <c r="BP274" s="453">
        <v>0</v>
      </c>
      <c r="BQ274" s="453">
        <v>0</v>
      </c>
      <c r="BR274" s="14">
        <v>0</v>
      </c>
      <c r="BS274" s="14">
        <v>0</v>
      </c>
      <c r="BT274" s="377" t="str">
        <v/>
      </c>
      <c r="BU274" s="105" t="str">
        <v/>
      </c>
      <c r="BV274" s="453" t="str">
        <v/>
      </c>
      <c r="BW274" s="105" t="str">
        <f ca="1"/>
        <v/>
      </c>
    </row>
    <row r="275" spans="1:75" x14ac:dyDescent="0.3">
      <c r="A275" s="1">
        <v>0</v>
      </c>
      <c r="B275" s="106">
        <v>0</v>
      </c>
      <c r="C275" s="14">
        <v>0</v>
      </c>
      <c r="D275" s="14">
        <v>0</v>
      </c>
      <c r="E275" s="14">
        <v>0</v>
      </c>
      <c r="F275" s="453">
        <v>0</v>
      </c>
      <c r="G275" s="377">
        <v>0</v>
      </c>
      <c r="H275" s="453">
        <v>0</v>
      </c>
      <c r="I275" s="453">
        <v>0</v>
      </c>
      <c r="J275" s="453">
        <v>0</v>
      </c>
      <c r="K275" s="453">
        <v>0</v>
      </c>
      <c r="L275" s="453">
        <v>0</v>
      </c>
      <c r="M275" s="453">
        <v>0</v>
      </c>
      <c r="N275" s="453">
        <v>0</v>
      </c>
      <c r="O275" s="453">
        <v>0</v>
      </c>
      <c r="P275" s="14">
        <v>0</v>
      </c>
      <c r="Q275" s="14">
        <v>0</v>
      </c>
      <c r="R275" s="453">
        <v>0</v>
      </c>
      <c r="S275" s="453">
        <v>0</v>
      </c>
      <c r="T275" s="453">
        <v>0</v>
      </c>
      <c r="U275" s="453">
        <v>0</v>
      </c>
      <c r="V275" s="453">
        <v>0</v>
      </c>
      <c r="W275" s="453">
        <v>0</v>
      </c>
      <c r="X275" s="453">
        <v>0</v>
      </c>
      <c r="Y275" s="453">
        <v>0</v>
      </c>
      <c r="Z275" s="453">
        <v>0</v>
      </c>
      <c r="AA275" s="14">
        <v>0</v>
      </c>
      <c r="AB275" s="14">
        <v>0</v>
      </c>
      <c r="AC275" s="453">
        <v>0</v>
      </c>
      <c r="AD275" s="14">
        <v>0</v>
      </c>
      <c r="AE275" s="14">
        <v>0</v>
      </c>
      <c r="AF275" s="14">
        <v>0</v>
      </c>
      <c r="AG275" s="14">
        <v>0</v>
      </c>
      <c r="AH275" s="14">
        <v>0</v>
      </c>
      <c r="AI275" s="14">
        <v>0</v>
      </c>
      <c r="AJ275" s="14">
        <v>0</v>
      </c>
      <c r="AK275" s="14">
        <v>0</v>
      </c>
      <c r="AL275" s="14">
        <v>0</v>
      </c>
      <c r="AM275" s="453">
        <v>0</v>
      </c>
      <c r="AN275" s="453">
        <v>0</v>
      </c>
      <c r="AO275" s="453">
        <v>0</v>
      </c>
      <c r="AP275" s="453">
        <v>0</v>
      </c>
      <c r="AQ275" s="453">
        <v>0</v>
      </c>
      <c r="AR275" s="453">
        <v>0</v>
      </c>
      <c r="AS275" s="453">
        <v>0</v>
      </c>
      <c r="AT275" s="453">
        <v>0</v>
      </c>
      <c r="AU275" s="453">
        <v>0</v>
      </c>
      <c r="AV275" s="453">
        <v>0</v>
      </c>
      <c r="AW275" s="453">
        <v>0</v>
      </c>
      <c r="AX275" s="453">
        <v>0</v>
      </c>
      <c r="AY275" s="453">
        <v>0</v>
      </c>
      <c r="AZ275" s="453">
        <v>0</v>
      </c>
      <c r="BA275" s="453">
        <v>0</v>
      </c>
      <c r="BB275" s="453">
        <v>0</v>
      </c>
      <c r="BC275" s="453">
        <v>0</v>
      </c>
      <c r="BD275" s="453">
        <v>0</v>
      </c>
      <c r="BE275" s="105">
        <v>0</v>
      </c>
      <c r="BF275" s="453">
        <v>0</v>
      </c>
      <c r="BG275" s="453">
        <v>0</v>
      </c>
      <c r="BH275" s="105">
        <v>0</v>
      </c>
      <c r="BI275" s="453">
        <v>0</v>
      </c>
      <c r="BJ275" s="453">
        <v>0</v>
      </c>
      <c r="BK275" s="105">
        <v>0</v>
      </c>
      <c r="BL275" s="453">
        <v>0</v>
      </c>
      <c r="BM275" s="453">
        <v>0</v>
      </c>
      <c r="BN275" s="453">
        <v>0</v>
      </c>
      <c r="BO275" s="453">
        <v>0</v>
      </c>
      <c r="BP275" s="453">
        <v>0</v>
      </c>
      <c r="BQ275" s="453">
        <v>0</v>
      </c>
      <c r="BR275" s="14">
        <v>0</v>
      </c>
      <c r="BS275" s="14">
        <v>0</v>
      </c>
      <c r="BT275" s="377" t="str">
        <v/>
      </c>
      <c r="BU275" s="105" t="str">
        <v/>
      </c>
      <c r="BV275" s="453" t="str">
        <v/>
      </c>
      <c r="BW275" s="105" t="str">
        <f ca="1"/>
        <v/>
      </c>
    </row>
    <row r="276" spans="1:75" x14ac:dyDescent="0.3">
      <c r="A276" s="1">
        <v>0</v>
      </c>
      <c r="B276" s="106">
        <v>0</v>
      </c>
      <c r="C276" s="14">
        <v>0</v>
      </c>
      <c r="D276" s="14">
        <v>0</v>
      </c>
      <c r="E276" s="14">
        <v>0</v>
      </c>
      <c r="F276" s="453">
        <v>0</v>
      </c>
      <c r="G276" s="377">
        <v>0</v>
      </c>
      <c r="H276" s="453">
        <v>0</v>
      </c>
      <c r="I276" s="453">
        <v>0</v>
      </c>
      <c r="J276" s="453">
        <v>0</v>
      </c>
      <c r="K276" s="453">
        <v>0</v>
      </c>
      <c r="L276" s="453">
        <v>0</v>
      </c>
      <c r="M276" s="453">
        <v>0</v>
      </c>
      <c r="N276" s="453">
        <v>0</v>
      </c>
      <c r="O276" s="453">
        <v>0</v>
      </c>
      <c r="P276" s="14">
        <v>0</v>
      </c>
      <c r="Q276" s="14">
        <v>0</v>
      </c>
      <c r="R276" s="453">
        <v>0</v>
      </c>
      <c r="S276" s="453">
        <v>0</v>
      </c>
      <c r="T276" s="453">
        <v>0</v>
      </c>
      <c r="U276" s="453">
        <v>0</v>
      </c>
      <c r="V276" s="453">
        <v>0</v>
      </c>
      <c r="W276" s="453">
        <v>0</v>
      </c>
      <c r="X276" s="453">
        <v>0</v>
      </c>
      <c r="Y276" s="453">
        <v>0</v>
      </c>
      <c r="Z276" s="453">
        <v>0</v>
      </c>
      <c r="AA276" s="14">
        <v>0</v>
      </c>
      <c r="AB276" s="14">
        <v>0</v>
      </c>
      <c r="AC276" s="453">
        <v>0</v>
      </c>
      <c r="AD276" s="14">
        <v>0</v>
      </c>
      <c r="AE276" s="14">
        <v>0</v>
      </c>
      <c r="AF276" s="14">
        <v>0</v>
      </c>
      <c r="AG276" s="14">
        <v>0</v>
      </c>
      <c r="AH276" s="14">
        <v>0</v>
      </c>
      <c r="AI276" s="14">
        <v>0</v>
      </c>
      <c r="AJ276" s="14">
        <v>0</v>
      </c>
      <c r="AK276" s="14">
        <v>0</v>
      </c>
      <c r="AL276" s="14">
        <v>0</v>
      </c>
      <c r="AM276" s="453">
        <v>0</v>
      </c>
      <c r="AN276" s="453">
        <v>0</v>
      </c>
      <c r="AO276" s="453">
        <v>0</v>
      </c>
      <c r="AP276" s="453">
        <v>0</v>
      </c>
      <c r="AQ276" s="453">
        <v>0</v>
      </c>
      <c r="AR276" s="453">
        <v>0</v>
      </c>
      <c r="AS276" s="453">
        <v>0</v>
      </c>
      <c r="AT276" s="453">
        <v>0</v>
      </c>
      <c r="AU276" s="453">
        <v>0</v>
      </c>
      <c r="AV276" s="453">
        <v>0</v>
      </c>
      <c r="AW276" s="453">
        <v>0</v>
      </c>
      <c r="AX276" s="453">
        <v>0</v>
      </c>
      <c r="AY276" s="453">
        <v>0</v>
      </c>
      <c r="AZ276" s="453">
        <v>0</v>
      </c>
      <c r="BA276" s="453">
        <v>0</v>
      </c>
      <c r="BB276" s="453">
        <v>0</v>
      </c>
      <c r="BC276" s="453">
        <v>0</v>
      </c>
      <c r="BD276" s="453">
        <v>0</v>
      </c>
      <c r="BE276" s="105">
        <v>0</v>
      </c>
      <c r="BF276" s="453">
        <v>0</v>
      </c>
      <c r="BG276" s="453">
        <v>0</v>
      </c>
      <c r="BH276" s="105">
        <v>0</v>
      </c>
      <c r="BI276" s="453">
        <v>0</v>
      </c>
      <c r="BJ276" s="453">
        <v>0</v>
      </c>
      <c r="BK276" s="105">
        <v>0</v>
      </c>
      <c r="BL276" s="453">
        <v>0</v>
      </c>
      <c r="BM276" s="453">
        <v>0</v>
      </c>
      <c r="BN276" s="453">
        <v>0</v>
      </c>
      <c r="BO276" s="453">
        <v>0</v>
      </c>
      <c r="BP276" s="453">
        <v>0</v>
      </c>
      <c r="BQ276" s="453">
        <v>0</v>
      </c>
      <c r="BR276" s="14">
        <v>0</v>
      </c>
      <c r="BS276" s="14">
        <v>0</v>
      </c>
      <c r="BT276" s="377" t="str">
        <v/>
      </c>
      <c r="BU276" s="105" t="str">
        <v/>
      </c>
      <c r="BV276" s="453" t="str">
        <v/>
      </c>
      <c r="BW276" s="105" t="str">
        <f ca="1"/>
        <v/>
      </c>
    </row>
    <row r="277" spans="1:75" x14ac:dyDescent="0.3">
      <c r="A277" s="1">
        <v>0</v>
      </c>
      <c r="B277" s="106">
        <v>0</v>
      </c>
      <c r="C277" s="14">
        <v>0</v>
      </c>
      <c r="D277" s="14">
        <v>0</v>
      </c>
      <c r="E277" s="14">
        <v>0</v>
      </c>
      <c r="F277" s="453">
        <v>0</v>
      </c>
      <c r="G277" s="377">
        <v>0</v>
      </c>
      <c r="H277" s="453">
        <v>0</v>
      </c>
      <c r="I277" s="453">
        <v>0</v>
      </c>
      <c r="J277" s="453">
        <v>0</v>
      </c>
      <c r="K277" s="453">
        <v>0</v>
      </c>
      <c r="L277" s="453">
        <v>0</v>
      </c>
      <c r="M277" s="453">
        <v>0</v>
      </c>
      <c r="N277" s="453">
        <v>0</v>
      </c>
      <c r="O277" s="453">
        <v>0</v>
      </c>
      <c r="P277" s="14">
        <v>0</v>
      </c>
      <c r="Q277" s="14">
        <v>0</v>
      </c>
      <c r="R277" s="453">
        <v>0</v>
      </c>
      <c r="S277" s="453">
        <v>0</v>
      </c>
      <c r="T277" s="453">
        <v>0</v>
      </c>
      <c r="U277" s="453">
        <v>0</v>
      </c>
      <c r="V277" s="453">
        <v>0</v>
      </c>
      <c r="W277" s="453">
        <v>0</v>
      </c>
      <c r="X277" s="453">
        <v>0</v>
      </c>
      <c r="Y277" s="453">
        <v>0</v>
      </c>
      <c r="Z277" s="453">
        <v>0</v>
      </c>
      <c r="AA277" s="14">
        <v>0</v>
      </c>
      <c r="AB277" s="14">
        <v>0</v>
      </c>
      <c r="AC277" s="453">
        <v>0</v>
      </c>
      <c r="AD277" s="14">
        <v>0</v>
      </c>
      <c r="AE277" s="14">
        <v>0</v>
      </c>
      <c r="AF277" s="14">
        <v>0</v>
      </c>
      <c r="AG277" s="14">
        <v>0</v>
      </c>
      <c r="AH277" s="14">
        <v>0</v>
      </c>
      <c r="AI277" s="14">
        <v>0</v>
      </c>
      <c r="AJ277" s="14">
        <v>0</v>
      </c>
      <c r="AK277" s="14">
        <v>0</v>
      </c>
      <c r="AL277" s="14">
        <v>0</v>
      </c>
      <c r="AM277" s="453">
        <v>0</v>
      </c>
      <c r="AN277" s="453">
        <v>0</v>
      </c>
      <c r="AO277" s="453">
        <v>0</v>
      </c>
      <c r="AP277" s="453">
        <v>0</v>
      </c>
      <c r="AQ277" s="453">
        <v>0</v>
      </c>
      <c r="AR277" s="453">
        <v>0</v>
      </c>
      <c r="AS277" s="453">
        <v>0</v>
      </c>
      <c r="AT277" s="453">
        <v>0</v>
      </c>
      <c r="AU277" s="453">
        <v>0</v>
      </c>
      <c r="AV277" s="453">
        <v>0</v>
      </c>
      <c r="AW277" s="453">
        <v>0</v>
      </c>
      <c r="AX277" s="453">
        <v>0</v>
      </c>
      <c r="AY277" s="453">
        <v>0</v>
      </c>
      <c r="AZ277" s="453">
        <v>0</v>
      </c>
      <c r="BA277" s="453">
        <v>0</v>
      </c>
      <c r="BB277" s="453">
        <v>0</v>
      </c>
      <c r="BC277" s="453">
        <v>0</v>
      </c>
      <c r="BD277" s="453">
        <v>0</v>
      </c>
      <c r="BE277" s="105">
        <v>0</v>
      </c>
      <c r="BF277" s="453">
        <v>0</v>
      </c>
      <c r="BG277" s="453">
        <v>0</v>
      </c>
      <c r="BH277" s="105">
        <v>0</v>
      </c>
      <c r="BI277" s="453">
        <v>0</v>
      </c>
      <c r="BJ277" s="453">
        <v>0</v>
      </c>
      <c r="BK277" s="105">
        <v>0</v>
      </c>
      <c r="BL277" s="453">
        <v>0</v>
      </c>
      <c r="BM277" s="453">
        <v>0</v>
      </c>
      <c r="BN277" s="453">
        <v>0</v>
      </c>
      <c r="BO277" s="453">
        <v>0</v>
      </c>
      <c r="BP277" s="453">
        <v>0</v>
      </c>
      <c r="BQ277" s="453">
        <v>0</v>
      </c>
      <c r="BR277" s="14">
        <v>0</v>
      </c>
      <c r="BS277" s="14">
        <v>0</v>
      </c>
      <c r="BT277" s="377" t="str">
        <v/>
      </c>
      <c r="BU277" s="105" t="str">
        <v/>
      </c>
      <c r="BV277" s="453" t="str">
        <v/>
      </c>
      <c r="BW277" s="105" t="str">
        <f ca="1"/>
        <v/>
      </c>
    </row>
    <row r="278" spans="1:75" x14ac:dyDescent="0.3">
      <c r="A278" s="1">
        <v>0</v>
      </c>
      <c r="B278" s="106">
        <v>0</v>
      </c>
      <c r="C278" s="14">
        <v>0</v>
      </c>
      <c r="D278" s="14">
        <v>0</v>
      </c>
      <c r="E278" s="14">
        <v>0</v>
      </c>
      <c r="F278" s="453">
        <v>0</v>
      </c>
      <c r="G278" s="377">
        <v>0</v>
      </c>
      <c r="H278" s="453">
        <v>0</v>
      </c>
      <c r="I278" s="453">
        <v>0</v>
      </c>
      <c r="J278" s="453">
        <v>0</v>
      </c>
      <c r="K278" s="453">
        <v>0</v>
      </c>
      <c r="L278" s="453">
        <v>0</v>
      </c>
      <c r="M278" s="453">
        <v>0</v>
      </c>
      <c r="N278" s="453">
        <v>0</v>
      </c>
      <c r="O278" s="453">
        <v>0</v>
      </c>
      <c r="P278" s="14">
        <v>0</v>
      </c>
      <c r="Q278" s="14">
        <v>0</v>
      </c>
      <c r="R278" s="453">
        <v>0</v>
      </c>
      <c r="S278" s="453">
        <v>0</v>
      </c>
      <c r="T278" s="453">
        <v>0</v>
      </c>
      <c r="U278" s="453">
        <v>0</v>
      </c>
      <c r="V278" s="453">
        <v>0</v>
      </c>
      <c r="W278" s="453">
        <v>0</v>
      </c>
      <c r="X278" s="453">
        <v>0</v>
      </c>
      <c r="Y278" s="453">
        <v>0</v>
      </c>
      <c r="Z278" s="453">
        <v>0</v>
      </c>
      <c r="AA278" s="14">
        <v>0</v>
      </c>
      <c r="AB278" s="14">
        <v>0</v>
      </c>
      <c r="AC278" s="453">
        <v>0</v>
      </c>
      <c r="AD278" s="14">
        <v>0</v>
      </c>
      <c r="AE278" s="14">
        <v>0</v>
      </c>
      <c r="AF278" s="14">
        <v>0</v>
      </c>
      <c r="AG278" s="14">
        <v>0</v>
      </c>
      <c r="AH278" s="14">
        <v>0</v>
      </c>
      <c r="AI278" s="14">
        <v>0</v>
      </c>
      <c r="AJ278" s="14">
        <v>0</v>
      </c>
      <c r="AK278" s="14">
        <v>0</v>
      </c>
      <c r="AL278" s="14">
        <v>0</v>
      </c>
      <c r="AM278" s="453">
        <v>0</v>
      </c>
      <c r="AN278" s="453">
        <v>0</v>
      </c>
      <c r="AO278" s="453">
        <v>0</v>
      </c>
      <c r="AP278" s="453">
        <v>0</v>
      </c>
      <c r="AQ278" s="453">
        <v>0</v>
      </c>
      <c r="AR278" s="453">
        <v>0</v>
      </c>
      <c r="AS278" s="453">
        <v>0</v>
      </c>
      <c r="AT278" s="453">
        <v>0</v>
      </c>
      <c r="AU278" s="453">
        <v>0</v>
      </c>
      <c r="AV278" s="453">
        <v>0</v>
      </c>
      <c r="AW278" s="453">
        <v>0</v>
      </c>
      <c r="AX278" s="453">
        <v>0</v>
      </c>
      <c r="AY278" s="453">
        <v>0</v>
      </c>
      <c r="AZ278" s="453">
        <v>0</v>
      </c>
      <c r="BA278" s="453">
        <v>0</v>
      </c>
      <c r="BB278" s="453">
        <v>0</v>
      </c>
      <c r="BC278" s="453">
        <v>0</v>
      </c>
      <c r="BD278" s="453">
        <v>0</v>
      </c>
      <c r="BE278" s="105">
        <v>0</v>
      </c>
      <c r="BF278" s="453">
        <v>0</v>
      </c>
      <c r="BG278" s="453">
        <v>0</v>
      </c>
      <c r="BH278" s="105">
        <v>0</v>
      </c>
      <c r="BI278" s="453">
        <v>0</v>
      </c>
      <c r="BJ278" s="453">
        <v>0</v>
      </c>
      <c r="BK278" s="105">
        <v>0</v>
      </c>
      <c r="BL278" s="453">
        <v>0</v>
      </c>
      <c r="BM278" s="453">
        <v>0</v>
      </c>
      <c r="BN278" s="453">
        <v>0</v>
      </c>
      <c r="BO278" s="453">
        <v>0</v>
      </c>
      <c r="BP278" s="453">
        <v>0</v>
      </c>
      <c r="BQ278" s="453">
        <v>0</v>
      </c>
      <c r="BR278" s="14">
        <v>0</v>
      </c>
      <c r="BS278" s="14">
        <v>0</v>
      </c>
      <c r="BT278" s="377" t="str">
        <v/>
      </c>
      <c r="BU278" s="105" t="str">
        <v/>
      </c>
      <c r="BV278" s="453" t="str">
        <v/>
      </c>
      <c r="BW278" s="105" t="str">
        <f ca="1"/>
        <v/>
      </c>
    </row>
    <row r="279" spans="1:75" x14ac:dyDescent="0.3">
      <c r="A279" s="1">
        <v>0</v>
      </c>
      <c r="B279" s="106">
        <v>0</v>
      </c>
      <c r="C279" s="14">
        <v>0</v>
      </c>
      <c r="D279" s="14">
        <v>0</v>
      </c>
      <c r="E279" s="14">
        <v>0</v>
      </c>
      <c r="F279" s="453">
        <v>0</v>
      </c>
      <c r="G279" s="377">
        <v>0</v>
      </c>
      <c r="H279" s="453">
        <v>0</v>
      </c>
      <c r="I279" s="453">
        <v>0</v>
      </c>
      <c r="J279" s="453">
        <v>0</v>
      </c>
      <c r="K279" s="453">
        <v>0</v>
      </c>
      <c r="L279" s="453">
        <v>0</v>
      </c>
      <c r="M279" s="453">
        <v>0</v>
      </c>
      <c r="N279" s="453">
        <v>0</v>
      </c>
      <c r="O279" s="453">
        <v>0</v>
      </c>
      <c r="P279" s="14">
        <v>0</v>
      </c>
      <c r="Q279" s="14">
        <v>0</v>
      </c>
      <c r="R279" s="453">
        <v>0</v>
      </c>
      <c r="S279" s="453">
        <v>0</v>
      </c>
      <c r="T279" s="453">
        <v>0</v>
      </c>
      <c r="U279" s="453">
        <v>0</v>
      </c>
      <c r="V279" s="453">
        <v>0</v>
      </c>
      <c r="W279" s="453">
        <v>0</v>
      </c>
      <c r="X279" s="453">
        <v>0</v>
      </c>
      <c r="Y279" s="453">
        <v>0</v>
      </c>
      <c r="Z279" s="453">
        <v>0</v>
      </c>
      <c r="AA279" s="14">
        <v>0</v>
      </c>
      <c r="AB279" s="14">
        <v>0</v>
      </c>
      <c r="AC279" s="453">
        <v>0</v>
      </c>
      <c r="AD279" s="14">
        <v>0</v>
      </c>
      <c r="AE279" s="14">
        <v>0</v>
      </c>
      <c r="AF279" s="14">
        <v>0</v>
      </c>
      <c r="AG279" s="14">
        <v>0</v>
      </c>
      <c r="AH279" s="14">
        <v>0</v>
      </c>
      <c r="AI279" s="14">
        <v>0</v>
      </c>
      <c r="AJ279" s="14">
        <v>0</v>
      </c>
      <c r="AK279" s="14">
        <v>0</v>
      </c>
      <c r="AL279" s="14">
        <v>0</v>
      </c>
      <c r="AM279" s="453">
        <v>0</v>
      </c>
      <c r="AN279" s="453">
        <v>0</v>
      </c>
      <c r="AO279" s="453">
        <v>0</v>
      </c>
      <c r="AP279" s="453">
        <v>0</v>
      </c>
      <c r="AQ279" s="453">
        <v>0</v>
      </c>
      <c r="AR279" s="453">
        <v>0</v>
      </c>
      <c r="AS279" s="453">
        <v>0</v>
      </c>
      <c r="AT279" s="453">
        <v>0</v>
      </c>
      <c r="AU279" s="453">
        <v>0</v>
      </c>
      <c r="AV279" s="453">
        <v>0</v>
      </c>
      <c r="AW279" s="453">
        <v>0</v>
      </c>
      <c r="AX279" s="453">
        <v>0</v>
      </c>
      <c r="AY279" s="453">
        <v>0</v>
      </c>
      <c r="AZ279" s="453">
        <v>0</v>
      </c>
      <c r="BA279" s="453">
        <v>0</v>
      </c>
      <c r="BB279" s="453">
        <v>0</v>
      </c>
      <c r="BC279" s="453">
        <v>0</v>
      </c>
      <c r="BD279" s="453">
        <v>0</v>
      </c>
      <c r="BE279" s="105">
        <v>0</v>
      </c>
      <c r="BF279" s="453">
        <v>0</v>
      </c>
      <c r="BG279" s="453">
        <v>0</v>
      </c>
      <c r="BH279" s="105">
        <v>0</v>
      </c>
      <c r="BI279" s="453">
        <v>0</v>
      </c>
      <c r="BJ279" s="453">
        <v>0</v>
      </c>
      <c r="BK279" s="105">
        <v>0</v>
      </c>
      <c r="BL279" s="453">
        <v>0</v>
      </c>
      <c r="BM279" s="453">
        <v>0</v>
      </c>
      <c r="BN279" s="453">
        <v>0</v>
      </c>
      <c r="BO279" s="453">
        <v>0</v>
      </c>
      <c r="BP279" s="453">
        <v>0</v>
      </c>
      <c r="BQ279" s="453">
        <v>0</v>
      </c>
      <c r="BR279" s="14">
        <v>0</v>
      </c>
      <c r="BS279" s="14">
        <v>0</v>
      </c>
      <c r="BT279" s="377" t="str">
        <v/>
      </c>
      <c r="BU279" s="105" t="str">
        <v/>
      </c>
      <c r="BV279" s="453" t="str">
        <v/>
      </c>
      <c r="BW279" s="105" t="str">
        <f ca="1"/>
        <v/>
      </c>
    </row>
    <row r="280" spans="1:75" x14ac:dyDescent="0.3">
      <c r="A280" s="1">
        <v>0</v>
      </c>
      <c r="B280" s="106">
        <v>0</v>
      </c>
      <c r="C280" s="14">
        <v>0</v>
      </c>
      <c r="D280" s="14">
        <v>0</v>
      </c>
      <c r="E280" s="14">
        <v>0</v>
      </c>
      <c r="F280" s="453">
        <v>0</v>
      </c>
      <c r="G280" s="377">
        <v>0</v>
      </c>
      <c r="H280" s="453">
        <v>0</v>
      </c>
      <c r="I280" s="453">
        <v>0</v>
      </c>
      <c r="J280" s="453">
        <v>0</v>
      </c>
      <c r="K280" s="453">
        <v>0</v>
      </c>
      <c r="L280" s="453">
        <v>0</v>
      </c>
      <c r="M280" s="453">
        <v>0</v>
      </c>
      <c r="N280" s="453">
        <v>0</v>
      </c>
      <c r="O280" s="453">
        <v>0</v>
      </c>
      <c r="P280" s="14">
        <v>0</v>
      </c>
      <c r="Q280" s="14">
        <v>0</v>
      </c>
      <c r="R280" s="453">
        <v>0</v>
      </c>
      <c r="S280" s="453">
        <v>0</v>
      </c>
      <c r="T280" s="453">
        <v>0</v>
      </c>
      <c r="U280" s="453">
        <v>0</v>
      </c>
      <c r="V280" s="453">
        <v>0</v>
      </c>
      <c r="W280" s="453">
        <v>0</v>
      </c>
      <c r="X280" s="453">
        <v>0</v>
      </c>
      <c r="Y280" s="453">
        <v>0</v>
      </c>
      <c r="Z280" s="453">
        <v>0</v>
      </c>
      <c r="AA280" s="14">
        <v>0</v>
      </c>
      <c r="AB280" s="14">
        <v>0</v>
      </c>
      <c r="AC280" s="453">
        <v>0</v>
      </c>
      <c r="AD280" s="14">
        <v>0</v>
      </c>
      <c r="AE280" s="14">
        <v>0</v>
      </c>
      <c r="AF280" s="14">
        <v>0</v>
      </c>
      <c r="AG280" s="14">
        <v>0</v>
      </c>
      <c r="AH280" s="14">
        <v>0</v>
      </c>
      <c r="AI280" s="14">
        <v>0</v>
      </c>
      <c r="AJ280" s="14">
        <v>0</v>
      </c>
      <c r="AK280" s="14">
        <v>0</v>
      </c>
      <c r="AL280" s="14">
        <v>0</v>
      </c>
      <c r="AM280" s="453">
        <v>0</v>
      </c>
      <c r="AN280" s="453">
        <v>0</v>
      </c>
      <c r="AO280" s="453">
        <v>0</v>
      </c>
      <c r="AP280" s="453">
        <v>0</v>
      </c>
      <c r="AQ280" s="453">
        <v>0</v>
      </c>
      <c r="AR280" s="453">
        <v>0</v>
      </c>
      <c r="AS280" s="453">
        <v>0</v>
      </c>
      <c r="AT280" s="453">
        <v>0</v>
      </c>
      <c r="AU280" s="453">
        <v>0</v>
      </c>
      <c r="AV280" s="453">
        <v>0</v>
      </c>
      <c r="AW280" s="453">
        <v>0</v>
      </c>
      <c r="AX280" s="453">
        <v>0</v>
      </c>
      <c r="AY280" s="453">
        <v>0</v>
      </c>
      <c r="AZ280" s="453">
        <v>0</v>
      </c>
      <c r="BA280" s="453">
        <v>0</v>
      </c>
      <c r="BB280" s="453">
        <v>0</v>
      </c>
      <c r="BC280" s="453">
        <v>0</v>
      </c>
      <c r="BD280" s="453">
        <v>0</v>
      </c>
      <c r="BE280" s="105">
        <v>0</v>
      </c>
      <c r="BF280" s="453">
        <v>0</v>
      </c>
      <c r="BG280" s="453">
        <v>0</v>
      </c>
      <c r="BH280" s="105">
        <v>0</v>
      </c>
      <c r="BI280" s="453">
        <v>0</v>
      </c>
      <c r="BJ280" s="453">
        <v>0</v>
      </c>
      <c r="BK280" s="105">
        <v>0</v>
      </c>
      <c r="BL280" s="453">
        <v>0</v>
      </c>
      <c r="BM280" s="453">
        <v>0</v>
      </c>
      <c r="BN280" s="453">
        <v>0</v>
      </c>
      <c r="BO280" s="453">
        <v>0</v>
      </c>
      <c r="BP280" s="453">
        <v>0</v>
      </c>
      <c r="BQ280" s="453">
        <v>0</v>
      </c>
      <c r="BR280" s="14">
        <v>0</v>
      </c>
      <c r="BS280" s="14">
        <v>0</v>
      </c>
      <c r="BT280" s="377" t="str">
        <v/>
      </c>
      <c r="BU280" s="105" t="str">
        <v/>
      </c>
      <c r="BV280" s="453" t="str">
        <v/>
      </c>
      <c r="BW280" s="105" t="str">
        <f ca="1"/>
        <v/>
      </c>
    </row>
    <row r="281" spans="1:75" x14ac:dyDescent="0.3">
      <c r="A281" s="1">
        <v>0</v>
      </c>
      <c r="B281" s="106">
        <v>0</v>
      </c>
      <c r="C281" s="14">
        <v>0</v>
      </c>
      <c r="D281" s="14">
        <v>0</v>
      </c>
      <c r="E281" s="14">
        <v>0</v>
      </c>
      <c r="F281" s="453">
        <v>0</v>
      </c>
      <c r="G281" s="377">
        <v>0</v>
      </c>
      <c r="H281" s="453">
        <v>0</v>
      </c>
      <c r="I281" s="453">
        <v>0</v>
      </c>
      <c r="J281" s="453">
        <v>0</v>
      </c>
      <c r="K281" s="453">
        <v>0</v>
      </c>
      <c r="L281" s="453">
        <v>0</v>
      </c>
      <c r="M281" s="453">
        <v>0</v>
      </c>
      <c r="N281" s="453">
        <v>0</v>
      </c>
      <c r="O281" s="453">
        <v>0</v>
      </c>
      <c r="P281" s="14">
        <v>0</v>
      </c>
      <c r="Q281" s="14">
        <v>0</v>
      </c>
      <c r="R281" s="453">
        <v>0</v>
      </c>
      <c r="S281" s="453">
        <v>0</v>
      </c>
      <c r="T281" s="453">
        <v>0</v>
      </c>
      <c r="U281" s="453">
        <v>0</v>
      </c>
      <c r="V281" s="453">
        <v>0</v>
      </c>
      <c r="W281" s="453">
        <v>0</v>
      </c>
      <c r="X281" s="453">
        <v>0</v>
      </c>
      <c r="Y281" s="453">
        <v>0</v>
      </c>
      <c r="Z281" s="453">
        <v>0</v>
      </c>
      <c r="AA281" s="14">
        <v>0</v>
      </c>
      <c r="AB281" s="14">
        <v>0</v>
      </c>
      <c r="AC281" s="453">
        <v>0</v>
      </c>
      <c r="AD281" s="14">
        <v>0</v>
      </c>
      <c r="AE281" s="14">
        <v>0</v>
      </c>
      <c r="AF281" s="14">
        <v>0</v>
      </c>
      <c r="AG281" s="14">
        <v>0</v>
      </c>
      <c r="AH281" s="14">
        <v>0</v>
      </c>
      <c r="AI281" s="14">
        <v>0</v>
      </c>
      <c r="AJ281" s="14">
        <v>0</v>
      </c>
      <c r="AK281" s="14">
        <v>0</v>
      </c>
      <c r="AL281" s="14">
        <v>0</v>
      </c>
      <c r="AM281" s="453">
        <v>0</v>
      </c>
      <c r="AN281" s="453">
        <v>0</v>
      </c>
      <c r="AO281" s="453">
        <v>0</v>
      </c>
      <c r="AP281" s="453">
        <v>0</v>
      </c>
      <c r="AQ281" s="453">
        <v>0</v>
      </c>
      <c r="AR281" s="453">
        <v>0</v>
      </c>
      <c r="AS281" s="453">
        <v>0</v>
      </c>
      <c r="AT281" s="453">
        <v>0</v>
      </c>
      <c r="AU281" s="453">
        <v>0</v>
      </c>
      <c r="AV281" s="453">
        <v>0</v>
      </c>
      <c r="AW281" s="453">
        <v>0</v>
      </c>
      <c r="AX281" s="453">
        <v>0</v>
      </c>
      <c r="AY281" s="453">
        <v>0</v>
      </c>
      <c r="AZ281" s="453">
        <v>0</v>
      </c>
      <c r="BA281" s="453">
        <v>0</v>
      </c>
      <c r="BB281" s="453">
        <v>0</v>
      </c>
      <c r="BC281" s="453">
        <v>0</v>
      </c>
      <c r="BD281" s="453">
        <v>0</v>
      </c>
      <c r="BE281" s="105">
        <v>0</v>
      </c>
      <c r="BF281" s="453">
        <v>0</v>
      </c>
      <c r="BG281" s="453">
        <v>0</v>
      </c>
      <c r="BH281" s="105">
        <v>0</v>
      </c>
      <c r="BI281" s="453">
        <v>0</v>
      </c>
      <c r="BJ281" s="453">
        <v>0</v>
      </c>
      <c r="BK281" s="105">
        <v>0</v>
      </c>
      <c r="BL281" s="453">
        <v>0</v>
      </c>
      <c r="BM281" s="453">
        <v>0</v>
      </c>
      <c r="BN281" s="453">
        <v>0</v>
      </c>
      <c r="BO281" s="453">
        <v>0</v>
      </c>
      <c r="BP281" s="453">
        <v>0</v>
      </c>
      <c r="BQ281" s="453">
        <v>0</v>
      </c>
      <c r="BR281" s="14">
        <v>0</v>
      </c>
      <c r="BS281" s="14">
        <v>0</v>
      </c>
      <c r="BT281" s="377" t="str">
        <v/>
      </c>
      <c r="BU281" s="105" t="str">
        <v/>
      </c>
      <c r="BV281" s="453" t="str">
        <v/>
      </c>
      <c r="BW281" s="105" t="str">
        <f ca="1"/>
        <v/>
      </c>
    </row>
    <row r="282" spans="1:75" x14ac:dyDescent="0.3">
      <c r="A282" s="1">
        <v>0</v>
      </c>
      <c r="B282" s="106">
        <v>0</v>
      </c>
      <c r="C282" s="14">
        <v>0</v>
      </c>
      <c r="D282" s="14">
        <v>0</v>
      </c>
      <c r="E282" s="14">
        <v>0</v>
      </c>
      <c r="F282" s="453">
        <v>0</v>
      </c>
      <c r="G282" s="377">
        <v>0</v>
      </c>
      <c r="H282" s="453">
        <v>0</v>
      </c>
      <c r="I282" s="453">
        <v>0</v>
      </c>
      <c r="J282" s="453">
        <v>0</v>
      </c>
      <c r="K282" s="453">
        <v>0</v>
      </c>
      <c r="L282" s="453">
        <v>0</v>
      </c>
      <c r="M282" s="453">
        <v>0</v>
      </c>
      <c r="N282" s="453">
        <v>0</v>
      </c>
      <c r="O282" s="453">
        <v>0</v>
      </c>
      <c r="P282" s="14">
        <v>0</v>
      </c>
      <c r="Q282" s="14">
        <v>0</v>
      </c>
      <c r="R282" s="453">
        <v>0</v>
      </c>
      <c r="S282" s="453">
        <v>0</v>
      </c>
      <c r="T282" s="453">
        <v>0</v>
      </c>
      <c r="U282" s="453">
        <v>0</v>
      </c>
      <c r="V282" s="453">
        <v>0</v>
      </c>
      <c r="W282" s="453">
        <v>0</v>
      </c>
      <c r="X282" s="453">
        <v>0</v>
      </c>
      <c r="Y282" s="453">
        <v>0</v>
      </c>
      <c r="Z282" s="453">
        <v>0</v>
      </c>
      <c r="AA282" s="14">
        <v>0</v>
      </c>
      <c r="AB282" s="14">
        <v>0</v>
      </c>
      <c r="AC282" s="453">
        <v>0</v>
      </c>
      <c r="AD282" s="14">
        <v>0</v>
      </c>
      <c r="AE282" s="14">
        <v>0</v>
      </c>
      <c r="AF282" s="14">
        <v>0</v>
      </c>
      <c r="AG282" s="14">
        <v>0</v>
      </c>
      <c r="AH282" s="14">
        <v>0</v>
      </c>
      <c r="AI282" s="14">
        <v>0</v>
      </c>
      <c r="AJ282" s="14">
        <v>0</v>
      </c>
      <c r="AK282" s="14">
        <v>0</v>
      </c>
      <c r="AL282" s="14">
        <v>0</v>
      </c>
      <c r="AM282" s="453">
        <v>0</v>
      </c>
      <c r="AN282" s="453">
        <v>0</v>
      </c>
      <c r="AO282" s="453">
        <v>0</v>
      </c>
      <c r="AP282" s="453">
        <v>0</v>
      </c>
      <c r="AQ282" s="453">
        <v>0</v>
      </c>
      <c r="AR282" s="453">
        <v>0</v>
      </c>
      <c r="AS282" s="453">
        <v>0</v>
      </c>
      <c r="AT282" s="453">
        <v>0</v>
      </c>
      <c r="AU282" s="453">
        <v>0</v>
      </c>
      <c r="AV282" s="453">
        <v>0</v>
      </c>
      <c r="AW282" s="453">
        <v>0</v>
      </c>
      <c r="AX282" s="453">
        <v>0</v>
      </c>
      <c r="AY282" s="453">
        <v>0</v>
      </c>
      <c r="AZ282" s="453">
        <v>0</v>
      </c>
      <c r="BA282" s="453">
        <v>0</v>
      </c>
      <c r="BB282" s="453">
        <v>0</v>
      </c>
      <c r="BC282" s="453">
        <v>0</v>
      </c>
      <c r="BD282" s="453">
        <v>0</v>
      </c>
      <c r="BE282" s="105">
        <v>0</v>
      </c>
      <c r="BF282" s="453">
        <v>0</v>
      </c>
      <c r="BG282" s="453">
        <v>0</v>
      </c>
      <c r="BH282" s="105">
        <v>0</v>
      </c>
      <c r="BI282" s="453">
        <v>0</v>
      </c>
      <c r="BJ282" s="453">
        <v>0</v>
      </c>
      <c r="BK282" s="105">
        <v>0</v>
      </c>
      <c r="BL282" s="453">
        <v>0</v>
      </c>
      <c r="BM282" s="453">
        <v>0</v>
      </c>
      <c r="BN282" s="453">
        <v>0</v>
      </c>
      <c r="BO282" s="453">
        <v>0</v>
      </c>
      <c r="BP282" s="453">
        <v>0</v>
      </c>
      <c r="BQ282" s="453">
        <v>0</v>
      </c>
      <c r="BR282" s="14">
        <v>0</v>
      </c>
      <c r="BS282" s="14">
        <v>0</v>
      </c>
      <c r="BT282" s="377" t="str">
        <v/>
      </c>
      <c r="BU282" s="105" t="str">
        <v/>
      </c>
      <c r="BV282" s="453" t="str">
        <v/>
      </c>
      <c r="BW282" s="105" t="str">
        <f ca="1"/>
        <v/>
      </c>
    </row>
    <row r="283" spans="1:75" x14ac:dyDescent="0.3">
      <c r="A283" s="1">
        <v>0</v>
      </c>
      <c r="B283" s="106">
        <v>0</v>
      </c>
      <c r="C283" s="14">
        <v>0</v>
      </c>
      <c r="D283" s="14">
        <v>0</v>
      </c>
      <c r="E283" s="14">
        <v>0</v>
      </c>
      <c r="F283" s="453">
        <v>0</v>
      </c>
      <c r="G283" s="377">
        <v>0</v>
      </c>
      <c r="H283" s="453">
        <v>0</v>
      </c>
      <c r="I283" s="453">
        <v>0</v>
      </c>
      <c r="J283" s="453">
        <v>0</v>
      </c>
      <c r="K283" s="453">
        <v>0</v>
      </c>
      <c r="L283" s="453">
        <v>0</v>
      </c>
      <c r="M283" s="453">
        <v>0</v>
      </c>
      <c r="N283" s="453">
        <v>0</v>
      </c>
      <c r="O283" s="453">
        <v>0</v>
      </c>
      <c r="P283" s="14">
        <v>0</v>
      </c>
      <c r="Q283" s="14">
        <v>0</v>
      </c>
      <c r="R283" s="453">
        <v>0</v>
      </c>
      <c r="S283" s="453">
        <v>0</v>
      </c>
      <c r="T283" s="453">
        <v>0</v>
      </c>
      <c r="U283" s="453">
        <v>0</v>
      </c>
      <c r="V283" s="453">
        <v>0</v>
      </c>
      <c r="W283" s="453">
        <v>0</v>
      </c>
      <c r="X283" s="453">
        <v>0</v>
      </c>
      <c r="Y283" s="453">
        <v>0</v>
      </c>
      <c r="Z283" s="453">
        <v>0</v>
      </c>
      <c r="AA283" s="14">
        <v>0</v>
      </c>
      <c r="AB283" s="14">
        <v>0</v>
      </c>
      <c r="AC283" s="453">
        <v>0</v>
      </c>
      <c r="AD283" s="14">
        <v>0</v>
      </c>
      <c r="AE283" s="14">
        <v>0</v>
      </c>
      <c r="AF283" s="14">
        <v>0</v>
      </c>
      <c r="AG283" s="14">
        <v>0</v>
      </c>
      <c r="AH283" s="14">
        <v>0</v>
      </c>
      <c r="AI283" s="14">
        <v>0</v>
      </c>
      <c r="AJ283" s="14">
        <v>0</v>
      </c>
      <c r="AK283" s="14">
        <v>0</v>
      </c>
      <c r="AL283" s="14">
        <v>0</v>
      </c>
      <c r="AM283" s="453">
        <v>0</v>
      </c>
      <c r="AN283" s="453">
        <v>0</v>
      </c>
      <c r="AO283" s="453">
        <v>0</v>
      </c>
      <c r="AP283" s="453">
        <v>0</v>
      </c>
      <c r="AQ283" s="453">
        <v>0</v>
      </c>
      <c r="AR283" s="453">
        <v>0</v>
      </c>
      <c r="AS283" s="453">
        <v>0</v>
      </c>
      <c r="AT283" s="453">
        <v>0</v>
      </c>
      <c r="AU283" s="453">
        <v>0</v>
      </c>
      <c r="AV283" s="453">
        <v>0</v>
      </c>
      <c r="AW283" s="453">
        <v>0</v>
      </c>
      <c r="AX283" s="453">
        <v>0</v>
      </c>
      <c r="AY283" s="453">
        <v>0</v>
      </c>
      <c r="AZ283" s="453">
        <v>0</v>
      </c>
      <c r="BA283" s="453">
        <v>0</v>
      </c>
      <c r="BB283" s="453">
        <v>0</v>
      </c>
      <c r="BC283" s="453">
        <v>0</v>
      </c>
      <c r="BD283" s="453">
        <v>0</v>
      </c>
      <c r="BE283" s="105">
        <v>0</v>
      </c>
      <c r="BF283" s="453">
        <v>0</v>
      </c>
      <c r="BG283" s="453">
        <v>0</v>
      </c>
      <c r="BH283" s="105">
        <v>0</v>
      </c>
      <c r="BI283" s="453">
        <v>0</v>
      </c>
      <c r="BJ283" s="453">
        <v>0</v>
      </c>
      <c r="BK283" s="105">
        <v>0</v>
      </c>
      <c r="BL283" s="453">
        <v>0</v>
      </c>
      <c r="BM283" s="453">
        <v>0</v>
      </c>
      <c r="BN283" s="453">
        <v>0</v>
      </c>
      <c r="BO283" s="453">
        <v>0</v>
      </c>
      <c r="BP283" s="453">
        <v>0</v>
      </c>
      <c r="BQ283" s="453">
        <v>0</v>
      </c>
      <c r="BR283" s="14">
        <v>0</v>
      </c>
      <c r="BS283" s="14">
        <v>0</v>
      </c>
      <c r="BT283" s="377" t="str">
        <v/>
      </c>
      <c r="BU283" s="105" t="str">
        <v/>
      </c>
      <c r="BV283" s="453" t="str">
        <v/>
      </c>
      <c r="BW283" s="105" t="str">
        <f ca="1"/>
        <v/>
      </c>
    </row>
    <row r="284" spans="1:75" x14ac:dyDescent="0.3">
      <c r="A284" s="1">
        <v>0</v>
      </c>
      <c r="B284" s="106">
        <v>0</v>
      </c>
      <c r="C284" s="14">
        <v>0</v>
      </c>
      <c r="D284" s="14">
        <v>0</v>
      </c>
      <c r="E284" s="14">
        <v>0</v>
      </c>
      <c r="F284" s="453">
        <v>0</v>
      </c>
      <c r="G284" s="377">
        <v>0</v>
      </c>
      <c r="H284" s="453">
        <v>0</v>
      </c>
      <c r="I284" s="453">
        <v>0</v>
      </c>
      <c r="J284" s="453">
        <v>0</v>
      </c>
      <c r="K284" s="453">
        <v>0</v>
      </c>
      <c r="L284" s="453">
        <v>0</v>
      </c>
      <c r="M284" s="453">
        <v>0</v>
      </c>
      <c r="N284" s="453">
        <v>0</v>
      </c>
      <c r="O284" s="453">
        <v>0</v>
      </c>
      <c r="P284" s="14">
        <v>0</v>
      </c>
      <c r="Q284" s="14">
        <v>0</v>
      </c>
      <c r="R284" s="453">
        <v>0</v>
      </c>
      <c r="S284" s="453">
        <v>0</v>
      </c>
      <c r="T284" s="453">
        <v>0</v>
      </c>
      <c r="U284" s="453">
        <v>0</v>
      </c>
      <c r="V284" s="453">
        <v>0</v>
      </c>
      <c r="W284" s="453">
        <v>0</v>
      </c>
      <c r="X284" s="453">
        <v>0</v>
      </c>
      <c r="Y284" s="453">
        <v>0</v>
      </c>
      <c r="Z284" s="453">
        <v>0</v>
      </c>
      <c r="AA284" s="14">
        <v>0</v>
      </c>
      <c r="AB284" s="14">
        <v>0</v>
      </c>
      <c r="AC284" s="453">
        <v>0</v>
      </c>
      <c r="AD284" s="14">
        <v>0</v>
      </c>
      <c r="AE284" s="14">
        <v>0</v>
      </c>
      <c r="AF284" s="14">
        <v>0</v>
      </c>
      <c r="AG284" s="14">
        <v>0</v>
      </c>
      <c r="AH284" s="14">
        <v>0</v>
      </c>
      <c r="AI284" s="14">
        <v>0</v>
      </c>
      <c r="AJ284" s="14">
        <v>0</v>
      </c>
      <c r="AK284" s="14">
        <v>0</v>
      </c>
      <c r="AL284" s="14">
        <v>0</v>
      </c>
      <c r="AM284" s="453">
        <v>0</v>
      </c>
      <c r="AN284" s="453">
        <v>0</v>
      </c>
      <c r="AO284" s="453">
        <v>0</v>
      </c>
      <c r="AP284" s="453">
        <v>0</v>
      </c>
      <c r="AQ284" s="453">
        <v>0</v>
      </c>
      <c r="AR284" s="453">
        <v>0</v>
      </c>
      <c r="AS284" s="453">
        <v>0</v>
      </c>
      <c r="AT284" s="453">
        <v>0</v>
      </c>
      <c r="AU284" s="453">
        <v>0</v>
      </c>
      <c r="AV284" s="453">
        <v>0</v>
      </c>
      <c r="AW284" s="453">
        <v>0</v>
      </c>
      <c r="AX284" s="453">
        <v>0</v>
      </c>
      <c r="AY284" s="453">
        <v>0</v>
      </c>
      <c r="AZ284" s="453">
        <v>0</v>
      </c>
      <c r="BA284" s="453">
        <v>0</v>
      </c>
      <c r="BB284" s="453">
        <v>0</v>
      </c>
      <c r="BC284" s="453">
        <v>0</v>
      </c>
      <c r="BD284" s="453">
        <v>0</v>
      </c>
      <c r="BE284" s="105">
        <v>0</v>
      </c>
      <c r="BF284" s="453">
        <v>0</v>
      </c>
      <c r="BG284" s="453">
        <v>0</v>
      </c>
      <c r="BH284" s="105">
        <v>0</v>
      </c>
      <c r="BI284" s="453">
        <v>0</v>
      </c>
      <c r="BJ284" s="453">
        <v>0</v>
      </c>
      <c r="BK284" s="105">
        <v>0</v>
      </c>
      <c r="BL284" s="453">
        <v>0</v>
      </c>
      <c r="BM284" s="453">
        <v>0</v>
      </c>
      <c r="BN284" s="453">
        <v>0</v>
      </c>
      <c r="BO284" s="453">
        <v>0</v>
      </c>
      <c r="BP284" s="453">
        <v>0</v>
      </c>
      <c r="BQ284" s="453">
        <v>0</v>
      </c>
      <c r="BR284" s="14">
        <v>0</v>
      </c>
      <c r="BS284" s="14">
        <v>0</v>
      </c>
      <c r="BT284" s="377" t="str">
        <v/>
      </c>
      <c r="BU284" s="105" t="str">
        <v/>
      </c>
      <c r="BV284" s="453" t="str">
        <v/>
      </c>
      <c r="BW284" s="105" t="str">
        <f ca="1"/>
        <v/>
      </c>
    </row>
    <row r="285" spans="1:75" x14ac:dyDescent="0.3">
      <c r="A285" s="1">
        <v>0</v>
      </c>
      <c r="B285" s="106">
        <v>0</v>
      </c>
      <c r="C285" s="14">
        <v>0</v>
      </c>
      <c r="D285" s="14">
        <v>0</v>
      </c>
      <c r="E285" s="14">
        <v>0</v>
      </c>
      <c r="F285" s="453">
        <v>0</v>
      </c>
      <c r="G285" s="377">
        <v>0</v>
      </c>
      <c r="H285" s="453">
        <v>0</v>
      </c>
      <c r="I285" s="453">
        <v>0</v>
      </c>
      <c r="J285" s="453">
        <v>0</v>
      </c>
      <c r="K285" s="453">
        <v>0</v>
      </c>
      <c r="L285" s="453">
        <v>0</v>
      </c>
      <c r="M285" s="453">
        <v>0</v>
      </c>
      <c r="N285" s="453">
        <v>0</v>
      </c>
      <c r="O285" s="453">
        <v>0</v>
      </c>
      <c r="P285" s="14">
        <v>0</v>
      </c>
      <c r="Q285" s="14">
        <v>0</v>
      </c>
      <c r="R285" s="453">
        <v>0</v>
      </c>
      <c r="S285" s="453">
        <v>0</v>
      </c>
      <c r="T285" s="453">
        <v>0</v>
      </c>
      <c r="U285" s="453">
        <v>0</v>
      </c>
      <c r="V285" s="453">
        <v>0</v>
      </c>
      <c r="W285" s="453">
        <v>0</v>
      </c>
      <c r="X285" s="453">
        <v>0</v>
      </c>
      <c r="Y285" s="453">
        <v>0</v>
      </c>
      <c r="Z285" s="453">
        <v>0</v>
      </c>
      <c r="AA285" s="14">
        <v>0</v>
      </c>
      <c r="AB285" s="14">
        <v>0</v>
      </c>
      <c r="AC285" s="453">
        <v>0</v>
      </c>
      <c r="AD285" s="14">
        <v>0</v>
      </c>
      <c r="AE285" s="14">
        <v>0</v>
      </c>
      <c r="AF285" s="14">
        <v>0</v>
      </c>
      <c r="AG285" s="14">
        <v>0</v>
      </c>
      <c r="AH285" s="14">
        <v>0</v>
      </c>
      <c r="AI285" s="14">
        <v>0</v>
      </c>
      <c r="AJ285" s="14">
        <v>0</v>
      </c>
      <c r="AK285" s="14">
        <v>0</v>
      </c>
      <c r="AL285" s="14">
        <v>0</v>
      </c>
      <c r="AM285" s="453">
        <v>0</v>
      </c>
      <c r="AN285" s="453">
        <v>0</v>
      </c>
      <c r="AO285" s="453">
        <v>0</v>
      </c>
      <c r="AP285" s="453">
        <v>0</v>
      </c>
      <c r="AQ285" s="453">
        <v>0</v>
      </c>
      <c r="AR285" s="453">
        <v>0</v>
      </c>
      <c r="AS285" s="453">
        <v>0</v>
      </c>
      <c r="AT285" s="453">
        <v>0</v>
      </c>
      <c r="AU285" s="453">
        <v>0</v>
      </c>
      <c r="AV285" s="453">
        <v>0</v>
      </c>
      <c r="AW285" s="453">
        <v>0</v>
      </c>
      <c r="AX285" s="453">
        <v>0</v>
      </c>
      <c r="AY285" s="453">
        <v>0</v>
      </c>
      <c r="AZ285" s="453">
        <v>0</v>
      </c>
      <c r="BA285" s="453">
        <v>0</v>
      </c>
      <c r="BB285" s="453">
        <v>0</v>
      </c>
      <c r="BC285" s="453">
        <v>0</v>
      </c>
      <c r="BD285" s="453">
        <v>0</v>
      </c>
      <c r="BE285" s="105">
        <v>0</v>
      </c>
      <c r="BF285" s="453">
        <v>0</v>
      </c>
      <c r="BG285" s="453">
        <v>0</v>
      </c>
      <c r="BH285" s="105">
        <v>0</v>
      </c>
      <c r="BI285" s="453">
        <v>0</v>
      </c>
      <c r="BJ285" s="453">
        <v>0</v>
      </c>
      <c r="BK285" s="105">
        <v>0</v>
      </c>
      <c r="BL285" s="453">
        <v>0</v>
      </c>
      <c r="BM285" s="453">
        <v>0</v>
      </c>
      <c r="BN285" s="453">
        <v>0</v>
      </c>
      <c r="BO285" s="453">
        <v>0</v>
      </c>
      <c r="BP285" s="453">
        <v>0</v>
      </c>
      <c r="BQ285" s="453">
        <v>0</v>
      </c>
      <c r="BR285" s="14">
        <v>0</v>
      </c>
      <c r="BS285" s="14">
        <v>0</v>
      </c>
      <c r="BT285" s="377" t="str">
        <v/>
      </c>
      <c r="BU285" s="105" t="str">
        <v/>
      </c>
      <c r="BV285" s="453" t="str">
        <v/>
      </c>
      <c r="BW285" s="105" t="str">
        <f ca="1"/>
        <v/>
      </c>
    </row>
    <row r="286" spans="1:75" x14ac:dyDescent="0.3">
      <c r="A286" s="1">
        <v>0</v>
      </c>
      <c r="B286" s="106">
        <v>0</v>
      </c>
      <c r="C286" s="14">
        <v>0</v>
      </c>
      <c r="D286" s="14">
        <v>0</v>
      </c>
      <c r="E286" s="14">
        <v>0</v>
      </c>
      <c r="F286" s="453">
        <v>0</v>
      </c>
      <c r="G286" s="377">
        <v>0</v>
      </c>
      <c r="H286" s="453">
        <v>0</v>
      </c>
      <c r="I286" s="453">
        <v>0</v>
      </c>
      <c r="J286" s="453">
        <v>0</v>
      </c>
      <c r="K286" s="453">
        <v>0</v>
      </c>
      <c r="L286" s="453">
        <v>0</v>
      </c>
      <c r="M286" s="453">
        <v>0</v>
      </c>
      <c r="N286" s="453">
        <v>0</v>
      </c>
      <c r="O286" s="453">
        <v>0</v>
      </c>
      <c r="P286" s="14">
        <v>0</v>
      </c>
      <c r="Q286" s="14">
        <v>0</v>
      </c>
      <c r="R286" s="453">
        <v>0</v>
      </c>
      <c r="S286" s="453">
        <v>0</v>
      </c>
      <c r="T286" s="453">
        <v>0</v>
      </c>
      <c r="U286" s="453">
        <v>0</v>
      </c>
      <c r="V286" s="453">
        <v>0</v>
      </c>
      <c r="W286" s="453">
        <v>0</v>
      </c>
      <c r="X286" s="453">
        <v>0</v>
      </c>
      <c r="Y286" s="453">
        <v>0</v>
      </c>
      <c r="Z286" s="453">
        <v>0</v>
      </c>
      <c r="AA286" s="14">
        <v>0</v>
      </c>
      <c r="AB286" s="14">
        <v>0</v>
      </c>
      <c r="AC286" s="453">
        <v>0</v>
      </c>
      <c r="AD286" s="14">
        <v>0</v>
      </c>
      <c r="AE286" s="14">
        <v>0</v>
      </c>
      <c r="AF286" s="14">
        <v>0</v>
      </c>
      <c r="AG286" s="14">
        <v>0</v>
      </c>
      <c r="AH286" s="14">
        <v>0</v>
      </c>
      <c r="AI286" s="14">
        <v>0</v>
      </c>
      <c r="AJ286" s="14">
        <v>0</v>
      </c>
      <c r="AK286" s="14">
        <v>0</v>
      </c>
      <c r="AL286" s="14">
        <v>0</v>
      </c>
      <c r="AM286" s="453">
        <v>0</v>
      </c>
      <c r="AN286" s="453">
        <v>0</v>
      </c>
      <c r="AO286" s="453">
        <v>0</v>
      </c>
      <c r="AP286" s="453">
        <v>0</v>
      </c>
      <c r="AQ286" s="453">
        <v>0</v>
      </c>
      <c r="AR286" s="453">
        <v>0</v>
      </c>
      <c r="AS286" s="453">
        <v>0</v>
      </c>
      <c r="AT286" s="453">
        <v>0</v>
      </c>
      <c r="AU286" s="453">
        <v>0</v>
      </c>
      <c r="AV286" s="453">
        <v>0</v>
      </c>
      <c r="AW286" s="453">
        <v>0</v>
      </c>
      <c r="AX286" s="453">
        <v>0</v>
      </c>
      <c r="AY286" s="453">
        <v>0</v>
      </c>
      <c r="AZ286" s="453">
        <v>0</v>
      </c>
      <c r="BA286" s="453">
        <v>0</v>
      </c>
      <c r="BB286" s="453">
        <v>0</v>
      </c>
      <c r="BC286" s="453">
        <v>0</v>
      </c>
      <c r="BD286" s="453">
        <v>0</v>
      </c>
      <c r="BE286" s="105">
        <v>0</v>
      </c>
      <c r="BF286" s="453">
        <v>0</v>
      </c>
      <c r="BG286" s="453">
        <v>0</v>
      </c>
      <c r="BH286" s="105">
        <v>0</v>
      </c>
      <c r="BI286" s="453">
        <v>0</v>
      </c>
      <c r="BJ286" s="453">
        <v>0</v>
      </c>
      <c r="BK286" s="105">
        <v>0</v>
      </c>
      <c r="BL286" s="453">
        <v>0</v>
      </c>
      <c r="BM286" s="453">
        <v>0</v>
      </c>
      <c r="BN286" s="453">
        <v>0</v>
      </c>
      <c r="BO286" s="453">
        <v>0</v>
      </c>
      <c r="BP286" s="453">
        <v>0</v>
      </c>
      <c r="BQ286" s="453">
        <v>0</v>
      </c>
      <c r="BR286" s="14">
        <v>0</v>
      </c>
      <c r="BS286" s="14">
        <v>0</v>
      </c>
      <c r="BT286" s="377" t="str">
        <v/>
      </c>
      <c r="BU286" s="105" t="str">
        <v/>
      </c>
      <c r="BV286" s="453" t="str">
        <v/>
      </c>
      <c r="BW286" s="105" t="str">
        <f ca="1"/>
        <v/>
      </c>
    </row>
    <row r="287" spans="1:75" x14ac:dyDescent="0.3">
      <c r="A287" s="1">
        <v>0</v>
      </c>
      <c r="B287" s="106">
        <v>0</v>
      </c>
      <c r="C287" s="14">
        <v>0</v>
      </c>
      <c r="D287" s="14">
        <v>0</v>
      </c>
      <c r="E287" s="14">
        <v>0</v>
      </c>
      <c r="F287" s="453">
        <v>0</v>
      </c>
      <c r="G287" s="377">
        <v>0</v>
      </c>
      <c r="H287" s="453">
        <v>0</v>
      </c>
      <c r="I287" s="453">
        <v>0</v>
      </c>
      <c r="J287" s="453">
        <v>0</v>
      </c>
      <c r="K287" s="453">
        <v>0</v>
      </c>
      <c r="L287" s="453">
        <v>0</v>
      </c>
      <c r="M287" s="453">
        <v>0</v>
      </c>
      <c r="N287" s="453">
        <v>0</v>
      </c>
      <c r="O287" s="453">
        <v>0</v>
      </c>
      <c r="P287" s="14">
        <v>0</v>
      </c>
      <c r="Q287" s="14">
        <v>0</v>
      </c>
      <c r="R287" s="453">
        <v>0</v>
      </c>
      <c r="S287" s="453">
        <v>0</v>
      </c>
      <c r="T287" s="453">
        <v>0</v>
      </c>
      <c r="U287" s="453">
        <v>0</v>
      </c>
      <c r="V287" s="453">
        <v>0</v>
      </c>
      <c r="W287" s="453">
        <v>0</v>
      </c>
      <c r="X287" s="453">
        <v>0</v>
      </c>
      <c r="Y287" s="453">
        <v>0</v>
      </c>
      <c r="Z287" s="453">
        <v>0</v>
      </c>
      <c r="AA287" s="14">
        <v>0</v>
      </c>
      <c r="AB287" s="14">
        <v>0</v>
      </c>
      <c r="AC287" s="453">
        <v>0</v>
      </c>
      <c r="AD287" s="14">
        <v>0</v>
      </c>
      <c r="AE287" s="14">
        <v>0</v>
      </c>
      <c r="AF287" s="14">
        <v>0</v>
      </c>
      <c r="AG287" s="14">
        <v>0</v>
      </c>
      <c r="AH287" s="14">
        <v>0</v>
      </c>
      <c r="AI287" s="14">
        <v>0</v>
      </c>
      <c r="AJ287" s="14">
        <v>0</v>
      </c>
      <c r="AK287" s="14">
        <v>0</v>
      </c>
      <c r="AL287" s="14">
        <v>0</v>
      </c>
      <c r="AM287" s="453">
        <v>0</v>
      </c>
      <c r="AN287" s="453">
        <v>0</v>
      </c>
      <c r="AO287" s="453">
        <v>0</v>
      </c>
      <c r="AP287" s="453">
        <v>0</v>
      </c>
      <c r="AQ287" s="453">
        <v>0</v>
      </c>
      <c r="AR287" s="453">
        <v>0</v>
      </c>
      <c r="AS287" s="453">
        <v>0</v>
      </c>
      <c r="AT287" s="453">
        <v>0</v>
      </c>
      <c r="AU287" s="453">
        <v>0</v>
      </c>
      <c r="AV287" s="453">
        <v>0</v>
      </c>
      <c r="AW287" s="453">
        <v>0</v>
      </c>
      <c r="AX287" s="453">
        <v>0</v>
      </c>
      <c r="AY287" s="453">
        <v>0</v>
      </c>
      <c r="AZ287" s="453">
        <v>0</v>
      </c>
      <c r="BA287" s="453">
        <v>0</v>
      </c>
      <c r="BB287" s="453">
        <v>0</v>
      </c>
      <c r="BC287" s="453">
        <v>0</v>
      </c>
      <c r="BD287" s="453">
        <v>0</v>
      </c>
      <c r="BE287" s="105">
        <v>0</v>
      </c>
      <c r="BF287" s="453">
        <v>0</v>
      </c>
      <c r="BG287" s="453">
        <v>0</v>
      </c>
      <c r="BH287" s="105">
        <v>0</v>
      </c>
      <c r="BI287" s="453">
        <v>0</v>
      </c>
      <c r="BJ287" s="453">
        <v>0</v>
      </c>
      <c r="BK287" s="105">
        <v>0</v>
      </c>
      <c r="BL287" s="453">
        <v>0</v>
      </c>
      <c r="BM287" s="453">
        <v>0</v>
      </c>
      <c r="BN287" s="453">
        <v>0</v>
      </c>
      <c r="BO287" s="453">
        <v>0</v>
      </c>
      <c r="BP287" s="453">
        <v>0</v>
      </c>
      <c r="BQ287" s="453">
        <v>0</v>
      </c>
      <c r="BR287" s="14">
        <v>0</v>
      </c>
      <c r="BS287" s="14">
        <v>0</v>
      </c>
      <c r="BT287" s="377" t="str">
        <v/>
      </c>
      <c r="BU287" s="105" t="str">
        <v/>
      </c>
      <c r="BV287" s="453" t="str">
        <v/>
      </c>
      <c r="BW287" s="105" t="str">
        <f ca="1"/>
        <v/>
      </c>
    </row>
    <row r="288" spans="1:75" x14ac:dyDescent="0.3">
      <c r="A288" s="1">
        <v>0</v>
      </c>
      <c r="B288" s="106">
        <v>0</v>
      </c>
      <c r="C288" s="14">
        <v>0</v>
      </c>
      <c r="D288" s="14">
        <v>0</v>
      </c>
      <c r="E288" s="14">
        <v>0</v>
      </c>
      <c r="F288" s="453">
        <v>0</v>
      </c>
      <c r="G288" s="377">
        <v>0</v>
      </c>
      <c r="H288" s="453">
        <v>0</v>
      </c>
      <c r="I288" s="453">
        <v>0</v>
      </c>
      <c r="J288" s="453">
        <v>0</v>
      </c>
      <c r="K288" s="453">
        <v>0</v>
      </c>
      <c r="L288" s="453">
        <v>0</v>
      </c>
      <c r="M288" s="453">
        <v>0</v>
      </c>
      <c r="N288" s="453">
        <v>0</v>
      </c>
      <c r="O288" s="453">
        <v>0</v>
      </c>
      <c r="P288" s="14">
        <v>0</v>
      </c>
      <c r="Q288" s="14">
        <v>0</v>
      </c>
      <c r="R288" s="453">
        <v>0</v>
      </c>
      <c r="S288" s="453">
        <v>0</v>
      </c>
      <c r="T288" s="453">
        <v>0</v>
      </c>
      <c r="U288" s="453">
        <v>0</v>
      </c>
      <c r="V288" s="453">
        <v>0</v>
      </c>
      <c r="W288" s="453">
        <v>0</v>
      </c>
      <c r="X288" s="453">
        <v>0</v>
      </c>
      <c r="Y288" s="453">
        <v>0</v>
      </c>
      <c r="Z288" s="453">
        <v>0</v>
      </c>
      <c r="AA288" s="14">
        <v>0</v>
      </c>
      <c r="AB288" s="14">
        <v>0</v>
      </c>
      <c r="AC288" s="453">
        <v>0</v>
      </c>
      <c r="AD288" s="14">
        <v>0</v>
      </c>
      <c r="AE288" s="14">
        <v>0</v>
      </c>
      <c r="AF288" s="14">
        <v>0</v>
      </c>
      <c r="AG288" s="14">
        <v>0</v>
      </c>
      <c r="AH288" s="14">
        <v>0</v>
      </c>
      <c r="AI288" s="14">
        <v>0</v>
      </c>
      <c r="AJ288" s="14">
        <v>0</v>
      </c>
      <c r="AK288" s="14">
        <v>0</v>
      </c>
      <c r="AL288" s="14">
        <v>0</v>
      </c>
      <c r="AM288" s="453">
        <v>0</v>
      </c>
      <c r="AN288" s="453">
        <v>0</v>
      </c>
      <c r="AO288" s="453">
        <v>0</v>
      </c>
      <c r="AP288" s="453">
        <v>0</v>
      </c>
      <c r="AQ288" s="453">
        <v>0</v>
      </c>
      <c r="AR288" s="453">
        <v>0</v>
      </c>
      <c r="AS288" s="453">
        <v>0</v>
      </c>
      <c r="AT288" s="453">
        <v>0</v>
      </c>
      <c r="AU288" s="453">
        <v>0</v>
      </c>
      <c r="AV288" s="453">
        <v>0</v>
      </c>
      <c r="AW288" s="453">
        <v>0</v>
      </c>
      <c r="AX288" s="453">
        <v>0</v>
      </c>
      <c r="AY288" s="453">
        <v>0</v>
      </c>
      <c r="AZ288" s="453">
        <v>0</v>
      </c>
      <c r="BA288" s="453">
        <v>0</v>
      </c>
      <c r="BB288" s="453">
        <v>0</v>
      </c>
      <c r="BC288" s="453">
        <v>0</v>
      </c>
      <c r="BD288" s="453">
        <v>0</v>
      </c>
      <c r="BE288" s="105">
        <v>0</v>
      </c>
      <c r="BF288" s="453">
        <v>0</v>
      </c>
      <c r="BG288" s="453">
        <v>0</v>
      </c>
      <c r="BH288" s="105">
        <v>0</v>
      </c>
      <c r="BI288" s="453">
        <v>0</v>
      </c>
      <c r="BJ288" s="453">
        <v>0</v>
      </c>
      <c r="BK288" s="105">
        <v>0</v>
      </c>
      <c r="BL288" s="453">
        <v>0</v>
      </c>
      <c r="BM288" s="453">
        <v>0</v>
      </c>
      <c r="BN288" s="453">
        <v>0</v>
      </c>
      <c r="BO288" s="453">
        <v>0</v>
      </c>
      <c r="BP288" s="453">
        <v>0</v>
      </c>
      <c r="BQ288" s="453">
        <v>0</v>
      </c>
      <c r="BR288" s="14">
        <v>0</v>
      </c>
      <c r="BS288" s="14">
        <v>0</v>
      </c>
      <c r="BT288" s="377" t="str">
        <v/>
      </c>
      <c r="BU288" s="105" t="str">
        <v/>
      </c>
      <c r="BV288" s="453" t="str">
        <v/>
      </c>
      <c r="BW288" s="105" t="str">
        <f ca="1"/>
        <v/>
      </c>
    </row>
    <row r="289" spans="1:75" x14ac:dyDescent="0.3">
      <c r="A289" s="1">
        <v>0</v>
      </c>
      <c r="B289" s="106">
        <v>0</v>
      </c>
      <c r="C289" s="14">
        <v>0</v>
      </c>
      <c r="D289" s="14">
        <v>0</v>
      </c>
      <c r="E289" s="14">
        <v>0</v>
      </c>
      <c r="F289" s="453">
        <v>0</v>
      </c>
      <c r="G289" s="377">
        <v>0</v>
      </c>
      <c r="H289" s="453">
        <v>0</v>
      </c>
      <c r="I289" s="453">
        <v>0</v>
      </c>
      <c r="J289" s="453">
        <v>0</v>
      </c>
      <c r="K289" s="453">
        <v>0</v>
      </c>
      <c r="L289" s="453">
        <v>0</v>
      </c>
      <c r="M289" s="453">
        <v>0</v>
      </c>
      <c r="N289" s="453">
        <v>0</v>
      </c>
      <c r="O289" s="453">
        <v>0</v>
      </c>
      <c r="P289" s="14">
        <v>0</v>
      </c>
      <c r="Q289" s="14">
        <v>0</v>
      </c>
      <c r="R289" s="453">
        <v>0</v>
      </c>
      <c r="S289" s="453">
        <v>0</v>
      </c>
      <c r="T289" s="453">
        <v>0</v>
      </c>
      <c r="U289" s="453">
        <v>0</v>
      </c>
      <c r="V289" s="453">
        <v>0</v>
      </c>
      <c r="W289" s="453">
        <v>0</v>
      </c>
      <c r="X289" s="453">
        <v>0</v>
      </c>
      <c r="Y289" s="453">
        <v>0</v>
      </c>
      <c r="Z289" s="453">
        <v>0</v>
      </c>
      <c r="AA289" s="14">
        <v>0</v>
      </c>
      <c r="AB289" s="14">
        <v>0</v>
      </c>
      <c r="AC289" s="453">
        <v>0</v>
      </c>
      <c r="AD289" s="14">
        <v>0</v>
      </c>
      <c r="AE289" s="14">
        <v>0</v>
      </c>
      <c r="AF289" s="14">
        <v>0</v>
      </c>
      <c r="AG289" s="14">
        <v>0</v>
      </c>
      <c r="AH289" s="14">
        <v>0</v>
      </c>
      <c r="AI289" s="14">
        <v>0</v>
      </c>
      <c r="AJ289" s="14">
        <v>0</v>
      </c>
      <c r="AK289" s="14">
        <v>0</v>
      </c>
      <c r="AL289" s="14">
        <v>0</v>
      </c>
      <c r="AM289" s="453">
        <v>0</v>
      </c>
      <c r="AN289" s="453">
        <v>0</v>
      </c>
      <c r="AO289" s="453">
        <v>0</v>
      </c>
      <c r="AP289" s="453">
        <v>0</v>
      </c>
      <c r="AQ289" s="453">
        <v>0</v>
      </c>
      <c r="AR289" s="453">
        <v>0</v>
      </c>
      <c r="AS289" s="453">
        <v>0</v>
      </c>
      <c r="AT289" s="453">
        <v>0</v>
      </c>
      <c r="AU289" s="453">
        <v>0</v>
      </c>
      <c r="AV289" s="453">
        <v>0</v>
      </c>
      <c r="AW289" s="453">
        <v>0</v>
      </c>
      <c r="AX289" s="453">
        <v>0</v>
      </c>
      <c r="AY289" s="453">
        <v>0</v>
      </c>
      <c r="AZ289" s="453">
        <v>0</v>
      </c>
      <c r="BA289" s="453">
        <v>0</v>
      </c>
      <c r="BB289" s="453">
        <v>0</v>
      </c>
      <c r="BC289" s="453">
        <v>0</v>
      </c>
      <c r="BD289" s="453">
        <v>0</v>
      </c>
      <c r="BE289" s="105">
        <v>0</v>
      </c>
      <c r="BF289" s="453">
        <v>0</v>
      </c>
      <c r="BG289" s="453">
        <v>0</v>
      </c>
      <c r="BH289" s="105">
        <v>0</v>
      </c>
      <c r="BI289" s="453">
        <v>0</v>
      </c>
      <c r="BJ289" s="453">
        <v>0</v>
      </c>
      <c r="BK289" s="105">
        <v>0</v>
      </c>
      <c r="BL289" s="453">
        <v>0</v>
      </c>
      <c r="BM289" s="453">
        <v>0</v>
      </c>
      <c r="BN289" s="453">
        <v>0</v>
      </c>
      <c r="BO289" s="453">
        <v>0</v>
      </c>
      <c r="BP289" s="453">
        <v>0</v>
      </c>
      <c r="BQ289" s="453">
        <v>0</v>
      </c>
      <c r="BR289" s="14">
        <v>0</v>
      </c>
      <c r="BS289" s="14">
        <v>0</v>
      </c>
      <c r="BT289" s="377" t="str">
        <v/>
      </c>
      <c r="BU289" s="105" t="str">
        <v/>
      </c>
      <c r="BV289" s="453" t="str">
        <v/>
      </c>
      <c r="BW289" s="105" t="str">
        <f ca="1"/>
        <v/>
      </c>
    </row>
    <row r="290" spans="1:75" x14ac:dyDescent="0.3">
      <c r="A290" s="1">
        <v>0</v>
      </c>
      <c r="B290" s="106">
        <v>0</v>
      </c>
      <c r="C290" s="14">
        <v>0</v>
      </c>
      <c r="D290" s="14">
        <v>0</v>
      </c>
      <c r="E290" s="14">
        <v>0</v>
      </c>
      <c r="F290" s="453">
        <v>0</v>
      </c>
      <c r="G290" s="377">
        <v>0</v>
      </c>
      <c r="H290" s="453">
        <v>0</v>
      </c>
      <c r="I290" s="453">
        <v>0</v>
      </c>
      <c r="J290" s="453">
        <v>0</v>
      </c>
      <c r="K290" s="453">
        <v>0</v>
      </c>
      <c r="L290" s="453">
        <v>0</v>
      </c>
      <c r="M290" s="453">
        <v>0</v>
      </c>
      <c r="N290" s="453">
        <v>0</v>
      </c>
      <c r="O290" s="453">
        <v>0</v>
      </c>
      <c r="P290" s="14">
        <v>0</v>
      </c>
      <c r="Q290" s="14">
        <v>0</v>
      </c>
      <c r="R290" s="453">
        <v>0</v>
      </c>
      <c r="S290" s="453">
        <v>0</v>
      </c>
      <c r="T290" s="453">
        <v>0</v>
      </c>
      <c r="U290" s="453">
        <v>0</v>
      </c>
      <c r="V290" s="453">
        <v>0</v>
      </c>
      <c r="W290" s="453">
        <v>0</v>
      </c>
      <c r="X290" s="453">
        <v>0</v>
      </c>
      <c r="Y290" s="453">
        <v>0</v>
      </c>
      <c r="Z290" s="453">
        <v>0</v>
      </c>
      <c r="AA290" s="14">
        <v>0</v>
      </c>
      <c r="AB290" s="14">
        <v>0</v>
      </c>
      <c r="AC290" s="453">
        <v>0</v>
      </c>
      <c r="AD290" s="14">
        <v>0</v>
      </c>
      <c r="AE290" s="14">
        <v>0</v>
      </c>
      <c r="AF290" s="14">
        <v>0</v>
      </c>
      <c r="AG290" s="14">
        <v>0</v>
      </c>
      <c r="AH290" s="14">
        <v>0</v>
      </c>
      <c r="AI290" s="14">
        <v>0</v>
      </c>
      <c r="AJ290" s="14">
        <v>0</v>
      </c>
      <c r="AK290" s="14">
        <v>0</v>
      </c>
      <c r="AL290" s="14">
        <v>0</v>
      </c>
      <c r="AM290" s="453">
        <v>0</v>
      </c>
      <c r="AN290" s="453">
        <v>0</v>
      </c>
      <c r="AO290" s="453">
        <v>0</v>
      </c>
      <c r="AP290" s="453">
        <v>0</v>
      </c>
      <c r="AQ290" s="453">
        <v>0</v>
      </c>
      <c r="AR290" s="453">
        <v>0</v>
      </c>
      <c r="AS290" s="453">
        <v>0</v>
      </c>
      <c r="AT290" s="453">
        <v>0</v>
      </c>
      <c r="AU290" s="453">
        <v>0</v>
      </c>
      <c r="AV290" s="453">
        <v>0</v>
      </c>
      <c r="AW290" s="453">
        <v>0</v>
      </c>
      <c r="AX290" s="453">
        <v>0</v>
      </c>
      <c r="AY290" s="453">
        <v>0</v>
      </c>
      <c r="AZ290" s="453">
        <v>0</v>
      </c>
      <c r="BA290" s="453">
        <v>0</v>
      </c>
      <c r="BB290" s="453">
        <v>0</v>
      </c>
      <c r="BC290" s="453">
        <v>0</v>
      </c>
      <c r="BD290" s="453">
        <v>0</v>
      </c>
      <c r="BE290" s="105">
        <v>0</v>
      </c>
      <c r="BF290" s="453">
        <v>0</v>
      </c>
      <c r="BG290" s="453">
        <v>0</v>
      </c>
      <c r="BH290" s="105">
        <v>0</v>
      </c>
      <c r="BI290" s="453">
        <v>0</v>
      </c>
      <c r="BJ290" s="453">
        <v>0</v>
      </c>
      <c r="BK290" s="105">
        <v>0</v>
      </c>
      <c r="BL290" s="453">
        <v>0</v>
      </c>
      <c r="BM290" s="453">
        <v>0</v>
      </c>
      <c r="BN290" s="453">
        <v>0</v>
      </c>
      <c r="BO290" s="453">
        <v>0</v>
      </c>
      <c r="BP290" s="453">
        <v>0</v>
      </c>
      <c r="BQ290" s="453">
        <v>0</v>
      </c>
      <c r="BR290" s="14">
        <v>0</v>
      </c>
      <c r="BS290" s="14">
        <v>0</v>
      </c>
      <c r="BT290" s="377" t="str">
        <v/>
      </c>
      <c r="BU290" s="105" t="str">
        <v/>
      </c>
      <c r="BV290" s="453" t="str">
        <v/>
      </c>
      <c r="BW290" s="105" t="str">
        <f ca="1"/>
        <v/>
      </c>
    </row>
    <row r="291" spans="1:75" x14ac:dyDescent="0.3">
      <c r="A291" s="1">
        <v>0</v>
      </c>
      <c r="B291" s="106">
        <v>0</v>
      </c>
      <c r="C291" s="14">
        <v>0</v>
      </c>
      <c r="D291" s="14">
        <v>0</v>
      </c>
      <c r="E291" s="14">
        <v>0</v>
      </c>
      <c r="F291" s="453">
        <v>0</v>
      </c>
      <c r="G291" s="377">
        <v>0</v>
      </c>
      <c r="H291" s="453">
        <v>0</v>
      </c>
      <c r="I291" s="453">
        <v>0</v>
      </c>
      <c r="J291" s="453">
        <v>0</v>
      </c>
      <c r="K291" s="453">
        <v>0</v>
      </c>
      <c r="L291" s="453">
        <v>0</v>
      </c>
      <c r="M291" s="453">
        <v>0</v>
      </c>
      <c r="N291" s="453">
        <v>0</v>
      </c>
      <c r="O291" s="453">
        <v>0</v>
      </c>
      <c r="P291" s="14">
        <v>0</v>
      </c>
      <c r="Q291" s="14">
        <v>0</v>
      </c>
      <c r="R291" s="453">
        <v>0</v>
      </c>
      <c r="S291" s="453">
        <v>0</v>
      </c>
      <c r="T291" s="453">
        <v>0</v>
      </c>
      <c r="U291" s="453">
        <v>0</v>
      </c>
      <c r="V291" s="453">
        <v>0</v>
      </c>
      <c r="W291" s="453">
        <v>0</v>
      </c>
      <c r="X291" s="453">
        <v>0</v>
      </c>
      <c r="Y291" s="453">
        <v>0</v>
      </c>
      <c r="Z291" s="453">
        <v>0</v>
      </c>
      <c r="AA291" s="14">
        <v>0</v>
      </c>
      <c r="AB291" s="14">
        <v>0</v>
      </c>
      <c r="AC291" s="453">
        <v>0</v>
      </c>
      <c r="AD291" s="14">
        <v>0</v>
      </c>
      <c r="AE291" s="14">
        <v>0</v>
      </c>
      <c r="AF291" s="14">
        <v>0</v>
      </c>
      <c r="AG291" s="14">
        <v>0</v>
      </c>
      <c r="AH291" s="14">
        <v>0</v>
      </c>
      <c r="AI291" s="14">
        <v>0</v>
      </c>
      <c r="AJ291" s="14">
        <v>0</v>
      </c>
      <c r="AK291" s="14">
        <v>0</v>
      </c>
      <c r="AL291" s="14">
        <v>0</v>
      </c>
      <c r="AM291" s="453">
        <v>0</v>
      </c>
      <c r="AN291" s="453">
        <v>0</v>
      </c>
      <c r="AO291" s="453">
        <v>0</v>
      </c>
      <c r="AP291" s="453">
        <v>0</v>
      </c>
      <c r="AQ291" s="453">
        <v>0</v>
      </c>
      <c r="AR291" s="453">
        <v>0</v>
      </c>
      <c r="AS291" s="453">
        <v>0</v>
      </c>
      <c r="AT291" s="453">
        <v>0</v>
      </c>
      <c r="AU291" s="453">
        <v>0</v>
      </c>
      <c r="AV291" s="453">
        <v>0</v>
      </c>
      <c r="AW291" s="453">
        <v>0</v>
      </c>
      <c r="AX291" s="453">
        <v>0</v>
      </c>
      <c r="AY291" s="453">
        <v>0</v>
      </c>
      <c r="AZ291" s="453">
        <v>0</v>
      </c>
      <c r="BA291" s="453">
        <v>0</v>
      </c>
      <c r="BB291" s="453">
        <v>0</v>
      </c>
      <c r="BC291" s="453">
        <v>0</v>
      </c>
      <c r="BD291" s="453">
        <v>0</v>
      </c>
      <c r="BE291" s="105">
        <v>0</v>
      </c>
      <c r="BF291" s="453">
        <v>0</v>
      </c>
      <c r="BG291" s="453">
        <v>0</v>
      </c>
      <c r="BH291" s="105">
        <v>0</v>
      </c>
      <c r="BI291" s="453">
        <v>0</v>
      </c>
      <c r="BJ291" s="453">
        <v>0</v>
      </c>
      <c r="BK291" s="105">
        <v>0</v>
      </c>
      <c r="BL291" s="453">
        <v>0</v>
      </c>
      <c r="BM291" s="453">
        <v>0</v>
      </c>
      <c r="BN291" s="453">
        <v>0</v>
      </c>
      <c r="BO291" s="453">
        <v>0</v>
      </c>
      <c r="BP291" s="453">
        <v>0</v>
      </c>
      <c r="BQ291" s="453">
        <v>0</v>
      </c>
      <c r="BR291" s="14">
        <v>0</v>
      </c>
      <c r="BS291" s="14">
        <v>0</v>
      </c>
      <c r="BT291" s="377" t="str">
        <v/>
      </c>
      <c r="BU291" s="105" t="str">
        <v/>
      </c>
      <c r="BV291" s="453" t="str">
        <v/>
      </c>
      <c r="BW291" s="105" t="str">
        <f ca="1"/>
        <v/>
      </c>
    </row>
    <row r="292" spans="1:75" x14ac:dyDescent="0.3">
      <c r="A292" s="1">
        <v>0</v>
      </c>
      <c r="B292" s="106">
        <v>0</v>
      </c>
      <c r="C292" s="14">
        <v>0</v>
      </c>
      <c r="D292" s="14">
        <v>0</v>
      </c>
      <c r="E292" s="14">
        <v>0</v>
      </c>
      <c r="F292" s="453">
        <v>0</v>
      </c>
      <c r="G292" s="377">
        <v>0</v>
      </c>
      <c r="H292" s="453">
        <v>0</v>
      </c>
      <c r="I292" s="453">
        <v>0</v>
      </c>
      <c r="J292" s="453">
        <v>0</v>
      </c>
      <c r="K292" s="453">
        <v>0</v>
      </c>
      <c r="L292" s="453">
        <v>0</v>
      </c>
      <c r="M292" s="453">
        <v>0</v>
      </c>
      <c r="N292" s="453">
        <v>0</v>
      </c>
      <c r="O292" s="453">
        <v>0</v>
      </c>
      <c r="P292" s="14">
        <v>0</v>
      </c>
      <c r="Q292" s="14">
        <v>0</v>
      </c>
      <c r="R292" s="453">
        <v>0</v>
      </c>
      <c r="S292" s="453">
        <v>0</v>
      </c>
      <c r="T292" s="453">
        <v>0</v>
      </c>
      <c r="U292" s="453">
        <v>0</v>
      </c>
      <c r="V292" s="453">
        <v>0</v>
      </c>
      <c r="W292" s="453">
        <v>0</v>
      </c>
      <c r="X292" s="453">
        <v>0</v>
      </c>
      <c r="Y292" s="453">
        <v>0</v>
      </c>
      <c r="Z292" s="453">
        <v>0</v>
      </c>
      <c r="AA292" s="14">
        <v>0</v>
      </c>
      <c r="AB292" s="14">
        <v>0</v>
      </c>
      <c r="AC292" s="453">
        <v>0</v>
      </c>
      <c r="AD292" s="14">
        <v>0</v>
      </c>
      <c r="AE292" s="14">
        <v>0</v>
      </c>
      <c r="AF292" s="14">
        <v>0</v>
      </c>
      <c r="AG292" s="14">
        <v>0</v>
      </c>
      <c r="AH292" s="14">
        <v>0</v>
      </c>
      <c r="AI292" s="14">
        <v>0</v>
      </c>
      <c r="AJ292" s="14">
        <v>0</v>
      </c>
      <c r="AK292" s="14">
        <v>0</v>
      </c>
      <c r="AL292" s="14">
        <v>0</v>
      </c>
      <c r="AM292" s="453">
        <v>0</v>
      </c>
      <c r="AN292" s="453">
        <v>0</v>
      </c>
      <c r="AO292" s="453">
        <v>0</v>
      </c>
      <c r="AP292" s="453">
        <v>0</v>
      </c>
      <c r="AQ292" s="453">
        <v>0</v>
      </c>
      <c r="AR292" s="453">
        <v>0</v>
      </c>
      <c r="AS292" s="453">
        <v>0</v>
      </c>
      <c r="AT292" s="453">
        <v>0</v>
      </c>
      <c r="AU292" s="453">
        <v>0</v>
      </c>
      <c r="AV292" s="453">
        <v>0</v>
      </c>
      <c r="AW292" s="453">
        <v>0</v>
      </c>
      <c r="AX292" s="453">
        <v>0</v>
      </c>
      <c r="AY292" s="453">
        <v>0</v>
      </c>
      <c r="AZ292" s="453">
        <v>0</v>
      </c>
      <c r="BA292" s="453">
        <v>0</v>
      </c>
      <c r="BB292" s="453">
        <v>0</v>
      </c>
      <c r="BC292" s="453">
        <v>0</v>
      </c>
      <c r="BD292" s="453">
        <v>0</v>
      </c>
      <c r="BE292" s="105">
        <v>0</v>
      </c>
      <c r="BF292" s="453">
        <v>0</v>
      </c>
      <c r="BG292" s="453">
        <v>0</v>
      </c>
      <c r="BH292" s="105">
        <v>0</v>
      </c>
      <c r="BI292" s="453">
        <v>0</v>
      </c>
      <c r="BJ292" s="453">
        <v>0</v>
      </c>
      <c r="BK292" s="105">
        <v>0</v>
      </c>
      <c r="BL292" s="453">
        <v>0</v>
      </c>
      <c r="BM292" s="453">
        <v>0</v>
      </c>
      <c r="BN292" s="453">
        <v>0</v>
      </c>
      <c r="BO292" s="453">
        <v>0</v>
      </c>
      <c r="BP292" s="453">
        <v>0</v>
      </c>
      <c r="BQ292" s="453">
        <v>0</v>
      </c>
      <c r="BR292" s="14">
        <v>0</v>
      </c>
      <c r="BS292" s="14">
        <v>0</v>
      </c>
      <c r="BT292" s="377" t="str">
        <v/>
      </c>
      <c r="BU292" s="105" t="str">
        <v/>
      </c>
      <c r="BV292" s="453" t="str">
        <v/>
      </c>
      <c r="BW292" s="105" t="str">
        <f ca="1"/>
        <v/>
      </c>
    </row>
    <row r="293" spans="1:75" x14ac:dyDescent="0.3">
      <c r="A293" s="1">
        <v>0</v>
      </c>
      <c r="B293" s="106">
        <v>0</v>
      </c>
      <c r="C293" s="14">
        <v>0</v>
      </c>
      <c r="D293" s="14">
        <v>0</v>
      </c>
      <c r="E293" s="14">
        <v>0</v>
      </c>
      <c r="F293" s="453">
        <v>0</v>
      </c>
      <c r="G293" s="377">
        <v>0</v>
      </c>
      <c r="H293" s="453">
        <v>0</v>
      </c>
      <c r="I293" s="453">
        <v>0</v>
      </c>
      <c r="J293" s="453">
        <v>0</v>
      </c>
      <c r="K293" s="453">
        <v>0</v>
      </c>
      <c r="L293" s="453">
        <v>0</v>
      </c>
      <c r="M293" s="453">
        <v>0</v>
      </c>
      <c r="N293" s="453">
        <v>0</v>
      </c>
      <c r="O293" s="453">
        <v>0</v>
      </c>
      <c r="P293" s="14">
        <v>0</v>
      </c>
      <c r="Q293" s="14">
        <v>0</v>
      </c>
      <c r="R293" s="453">
        <v>0</v>
      </c>
      <c r="S293" s="453">
        <v>0</v>
      </c>
      <c r="T293" s="453">
        <v>0</v>
      </c>
      <c r="U293" s="453">
        <v>0</v>
      </c>
      <c r="V293" s="453">
        <v>0</v>
      </c>
      <c r="W293" s="453">
        <v>0</v>
      </c>
      <c r="X293" s="453">
        <v>0</v>
      </c>
      <c r="Y293" s="453">
        <v>0</v>
      </c>
      <c r="Z293" s="453">
        <v>0</v>
      </c>
      <c r="AA293" s="14">
        <v>0</v>
      </c>
      <c r="AB293" s="14">
        <v>0</v>
      </c>
      <c r="AC293" s="453">
        <v>0</v>
      </c>
      <c r="AD293" s="14">
        <v>0</v>
      </c>
      <c r="AE293" s="14">
        <v>0</v>
      </c>
      <c r="AF293" s="14">
        <v>0</v>
      </c>
      <c r="AG293" s="14">
        <v>0</v>
      </c>
      <c r="AH293" s="14">
        <v>0</v>
      </c>
      <c r="AI293" s="14">
        <v>0</v>
      </c>
      <c r="AJ293" s="14">
        <v>0</v>
      </c>
      <c r="AK293" s="14">
        <v>0</v>
      </c>
      <c r="AL293" s="14">
        <v>0</v>
      </c>
      <c r="AM293" s="453">
        <v>0</v>
      </c>
      <c r="AN293" s="453">
        <v>0</v>
      </c>
      <c r="AO293" s="453">
        <v>0</v>
      </c>
      <c r="AP293" s="453">
        <v>0</v>
      </c>
      <c r="AQ293" s="453">
        <v>0</v>
      </c>
      <c r="AR293" s="453">
        <v>0</v>
      </c>
      <c r="AS293" s="453">
        <v>0</v>
      </c>
      <c r="AT293" s="453">
        <v>0</v>
      </c>
      <c r="AU293" s="453">
        <v>0</v>
      </c>
      <c r="AV293" s="453">
        <v>0</v>
      </c>
      <c r="AW293" s="453">
        <v>0</v>
      </c>
      <c r="AX293" s="453">
        <v>0</v>
      </c>
      <c r="AY293" s="453">
        <v>0</v>
      </c>
      <c r="AZ293" s="453">
        <v>0</v>
      </c>
      <c r="BA293" s="453">
        <v>0</v>
      </c>
      <c r="BB293" s="453">
        <v>0</v>
      </c>
      <c r="BC293" s="453">
        <v>0</v>
      </c>
      <c r="BD293" s="453">
        <v>0</v>
      </c>
      <c r="BE293" s="105">
        <v>0</v>
      </c>
      <c r="BF293" s="453">
        <v>0</v>
      </c>
      <c r="BG293" s="453">
        <v>0</v>
      </c>
      <c r="BH293" s="105">
        <v>0</v>
      </c>
      <c r="BI293" s="453">
        <v>0</v>
      </c>
      <c r="BJ293" s="453">
        <v>0</v>
      </c>
      <c r="BK293" s="105">
        <v>0</v>
      </c>
      <c r="BL293" s="453">
        <v>0</v>
      </c>
      <c r="BM293" s="453">
        <v>0</v>
      </c>
      <c r="BN293" s="453">
        <v>0</v>
      </c>
      <c r="BO293" s="453">
        <v>0</v>
      </c>
      <c r="BP293" s="453">
        <v>0</v>
      </c>
      <c r="BQ293" s="453">
        <v>0</v>
      </c>
      <c r="BR293" s="14">
        <v>0</v>
      </c>
      <c r="BS293" s="14">
        <v>0</v>
      </c>
      <c r="BT293" s="377" t="str">
        <v/>
      </c>
      <c r="BU293" s="105" t="str">
        <v/>
      </c>
      <c r="BV293" s="453" t="str">
        <v/>
      </c>
      <c r="BW293" s="105" t="str">
        <f ca="1"/>
        <v/>
      </c>
    </row>
    <row r="294" spans="1:75" x14ac:dyDescent="0.3">
      <c r="A294" s="1">
        <v>0</v>
      </c>
      <c r="B294" s="106">
        <v>0</v>
      </c>
      <c r="C294" s="14">
        <v>0</v>
      </c>
      <c r="D294" s="14">
        <v>0</v>
      </c>
      <c r="E294" s="14">
        <v>0</v>
      </c>
      <c r="F294" s="453">
        <v>0</v>
      </c>
      <c r="G294" s="377">
        <v>0</v>
      </c>
      <c r="H294" s="453">
        <v>0</v>
      </c>
      <c r="I294" s="453">
        <v>0</v>
      </c>
      <c r="J294" s="453">
        <v>0</v>
      </c>
      <c r="K294" s="453">
        <v>0</v>
      </c>
      <c r="L294" s="453">
        <v>0</v>
      </c>
      <c r="M294" s="453">
        <v>0</v>
      </c>
      <c r="N294" s="453">
        <v>0</v>
      </c>
      <c r="O294" s="453">
        <v>0</v>
      </c>
      <c r="P294" s="14">
        <v>0</v>
      </c>
      <c r="Q294" s="14">
        <v>0</v>
      </c>
      <c r="R294" s="453">
        <v>0</v>
      </c>
      <c r="S294" s="453">
        <v>0</v>
      </c>
      <c r="T294" s="453">
        <v>0</v>
      </c>
      <c r="U294" s="453">
        <v>0</v>
      </c>
      <c r="V294" s="453">
        <v>0</v>
      </c>
      <c r="W294" s="453">
        <v>0</v>
      </c>
      <c r="X294" s="453">
        <v>0</v>
      </c>
      <c r="Y294" s="453">
        <v>0</v>
      </c>
      <c r="Z294" s="453">
        <v>0</v>
      </c>
      <c r="AA294" s="14">
        <v>0</v>
      </c>
      <c r="AB294" s="14">
        <v>0</v>
      </c>
      <c r="AC294" s="453">
        <v>0</v>
      </c>
      <c r="AD294" s="14">
        <v>0</v>
      </c>
      <c r="AE294" s="14">
        <v>0</v>
      </c>
      <c r="AF294" s="14">
        <v>0</v>
      </c>
      <c r="AG294" s="14">
        <v>0</v>
      </c>
      <c r="AH294" s="14">
        <v>0</v>
      </c>
      <c r="AI294" s="14">
        <v>0</v>
      </c>
      <c r="AJ294" s="14">
        <v>0</v>
      </c>
      <c r="AK294" s="14">
        <v>0</v>
      </c>
      <c r="AL294" s="14">
        <v>0</v>
      </c>
      <c r="AM294" s="453">
        <v>0</v>
      </c>
      <c r="AN294" s="453">
        <v>0</v>
      </c>
      <c r="AO294" s="453">
        <v>0</v>
      </c>
      <c r="AP294" s="453">
        <v>0</v>
      </c>
      <c r="AQ294" s="453">
        <v>0</v>
      </c>
      <c r="AR294" s="453">
        <v>0</v>
      </c>
      <c r="AS294" s="453">
        <v>0</v>
      </c>
      <c r="AT294" s="453">
        <v>0</v>
      </c>
      <c r="AU294" s="453">
        <v>0</v>
      </c>
      <c r="AV294" s="453">
        <v>0</v>
      </c>
      <c r="AW294" s="453">
        <v>0</v>
      </c>
      <c r="AX294" s="453">
        <v>0</v>
      </c>
      <c r="AY294" s="453">
        <v>0</v>
      </c>
      <c r="AZ294" s="453">
        <v>0</v>
      </c>
      <c r="BA294" s="453">
        <v>0</v>
      </c>
      <c r="BB294" s="453">
        <v>0</v>
      </c>
      <c r="BC294" s="453">
        <v>0</v>
      </c>
      <c r="BD294" s="453">
        <v>0</v>
      </c>
      <c r="BE294" s="105">
        <v>0</v>
      </c>
      <c r="BF294" s="453">
        <v>0</v>
      </c>
      <c r="BG294" s="453">
        <v>0</v>
      </c>
      <c r="BH294" s="105">
        <v>0</v>
      </c>
      <c r="BI294" s="453">
        <v>0</v>
      </c>
      <c r="BJ294" s="453">
        <v>0</v>
      </c>
      <c r="BK294" s="105">
        <v>0</v>
      </c>
      <c r="BL294" s="453">
        <v>0</v>
      </c>
      <c r="BM294" s="453">
        <v>0</v>
      </c>
      <c r="BN294" s="453">
        <v>0</v>
      </c>
      <c r="BO294" s="453">
        <v>0</v>
      </c>
      <c r="BP294" s="453">
        <v>0</v>
      </c>
      <c r="BQ294" s="453">
        <v>0</v>
      </c>
      <c r="BR294" s="14">
        <v>0</v>
      </c>
      <c r="BS294" s="14">
        <v>0</v>
      </c>
      <c r="BT294" s="377" t="str">
        <v/>
      </c>
      <c r="BU294" s="105" t="str">
        <v/>
      </c>
      <c r="BV294" s="453" t="str">
        <v/>
      </c>
      <c r="BW294" s="105" t="str">
        <f ca="1"/>
        <v/>
      </c>
    </row>
    <row r="295" spans="1:75" x14ac:dyDescent="0.3">
      <c r="A295" s="1">
        <v>0</v>
      </c>
      <c r="B295" s="106">
        <v>0</v>
      </c>
      <c r="C295" s="14">
        <v>0</v>
      </c>
      <c r="D295" s="14">
        <v>0</v>
      </c>
      <c r="E295" s="14">
        <v>0</v>
      </c>
      <c r="F295" s="453">
        <v>0</v>
      </c>
      <c r="G295" s="377">
        <v>0</v>
      </c>
      <c r="H295" s="453">
        <v>0</v>
      </c>
      <c r="I295" s="453">
        <v>0</v>
      </c>
      <c r="J295" s="453">
        <v>0</v>
      </c>
      <c r="K295" s="453">
        <v>0</v>
      </c>
      <c r="L295" s="453">
        <v>0</v>
      </c>
      <c r="M295" s="453">
        <v>0</v>
      </c>
      <c r="N295" s="453">
        <v>0</v>
      </c>
      <c r="O295" s="453">
        <v>0</v>
      </c>
      <c r="P295" s="14">
        <v>0</v>
      </c>
      <c r="Q295" s="14">
        <v>0</v>
      </c>
      <c r="R295" s="453">
        <v>0</v>
      </c>
      <c r="S295" s="453">
        <v>0</v>
      </c>
      <c r="T295" s="453">
        <v>0</v>
      </c>
      <c r="U295" s="453">
        <v>0</v>
      </c>
      <c r="V295" s="453">
        <v>0</v>
      </c>
      <c r="W295" s="453">
        <v>0</v>
      </c>
      <c r="X295" s="453">
        <v>0</v>
      </c>
      <c r="Y295" s="453">
        <v>0</v>
      </c>
      <c r="Z295" s="453">
        <v>0</v>
      </c>
      <c r="AA295" s="14">
        <v>0</v>
      </c>
      <c r="AB295" s="14">
        <v>0</v>
      </c>
      <c r="AC295" s="453">
        <v>0</v>
      </c>
      <c r="AD295" s="14">
        <v>0</v>
      </c>
      <c r="AE295" s="14">
        <v>0</v>
      </c>
      <c r="AF295" s="14">
        <v>0</v>
      </c>
      <c r="AG295" s="14">
        <v>0</v>
      </c>
      <c r="AH295" s="14">
        <v>0</v>
      </c>
      <c r="AI295" s="14">
        <v>0</v>
      </c>
      <c r="AJ295" s="14">
        <v>0</v>
      </c>
      <c r="AK295" s="14">
        <v>0</v>
      </c>
      <c r="AL295" s="14">
        <v>0</v>
      </c>
      <c r="AM295" s="453">
        <v>0</v>
      </c>
      <c r="AN295" s="453">
        <v>0</v>
      </c>
      <c r="AO295" s="453">
        <v>0</v>
      </c>
      <c r="AP295" s="453">
        <v>0</v>
      </c>
      <c r="AQ295" s="453">
        <v>0</v>
      </c>
      <c r="AR295" s="453">
        <v>0</v>
      </c>
      <c r="AS295" s="453">
        <v>0</v>
      </c>
      <c r="AT295" s="453">
        <v>0</v>
      </c>
      <c r="AU295" s="453">
        <v>0</v>
      </c>
      <c r="AV295" s="453">
        <v>0</v>
      </c>
      <c r="AW295" s="453">
        <v>0</v>
      </c>
      <c r="AX295" s="453">
        <v>0</v>
      </c>
      <c r="AY295" s="453">
        <v>0</v>
      </c>
      <c r="AZ295" s="453">
        <v>0</v>
      </c>
      <c r="BA295" s="453">
        <v>0</v>
      </c>
      <c r="BB295" s="453">
        <v>0</v>
      </c>
      <c r="BC295" s="453">
        <v>0</v>
      </c>
      <c r="BD295" s="453">
        <v>0</v>
      </c>
      <c r="BE295" s="105">
        <v>0</v>
      </c>
      <c r="BF295" s="453">
        <v>0</v>
      </c>
      <c r="BG295" s="453">
        <v>0</v>
      </c>
      <c r="BH295" s="105">
        <v>0</v>
      </c>
      <c r="BI295" s="453">
        <v>0</v>
      </c>
      <c r="BJ295" s="453">
        <v>0</v>
      </c>
      <c r="BK295" s="105">
        <v>0</v>
      </c>
      <c r="BL295" s="453">
        <v>0</v>
      </c>
      <c r="BM295" s="453">
        <v>0</v>
      </c>
      <c r="BN295" s="453">
        <v>0</v>
      </c>
      <c r="BO295" s="453">
        <v>0</v>
      </c>
      <c r="BP295" s="453">
        <v>0</v>
      </c>
      <c r="BQ295" s="453">
        <v>0</v>
      </c>
      <c r="BR295" s="14">
        <v>0</v>
      </c>
      <c r="BS295" s="14">
        <v>0</v>
      </c>
      <c r="BT295" s="377" t="str">
        <v/>
      </c>
      <c r="BU295" s="105" t="str">
        <v/>
      </c>
      <c r="BV295" s="453" t="str">
        <v/>
      </c>
      <c r="BW295" s="105" t="str">
        <f ca="1"/>
        <v/>
      </c>
    </row>
    <row r="296" spans="1:75" x14ac:dyDescent="0.3">
      <c r="A296" s="1">
        <v>0</v>
      </c>
      <c r="B296" s="106">
        <v>0</v>
      </c>
      <c r="C296" s="14">
        <v>0</v>
      </c>
      <c r="D296" s="14">
        <v>0</v>
      </c>
      <c r="E296" s="14">
        <v>0</v>
      </c>
      <c r="F296" s="453">
        <v>0</v>
      </c>
      <c r="G296" s="377">
        <v>0</v>
      </c>
      <c r="H296" s="453">
        <v>0</v>
      </c>
      <c r="I296" s="453">
        <v>0</v>
      </c>
      <c r="J296" s="453">
        <v>0</v>
      </c>
      <c r="K296" s="453">
        <v>0</v>
      </c>
      <c r="L296" s="453">
        <v>0</v>
      </c>
      <c r="M296" s="453">
        <v>0</v>
      </c>
      <c r="N296" s="453">
        <v>0</v>
      </c>
      <c r="O296" s="453">
        <v>0</v>
      </c>
      <c r="P296" s="14">
        <v>0</v>
      </c>
      <c r="Q296" s="14">
        <v>0</v>
      </c>
      <c r="R296" s="453">
        <v>0</v>
      </c>
      <c r="S296" s="453">
        <v>0</v>
      </c>
      <c r="T296" s="453">
        <v>0</v>
      </c>
      <c r="U296" s="453">
        <v>0</v>
      </c>
      <c r="V296" s="453">
        <v>0</v>
      </c>
      <c r="W296" s="453">
        <v>0</v>
      </c>
      <c r="X296" s="453">
        <v>0</v>
      </c>
      <c r="Y296" s="453">
        <v>0</v>
      </c>
      <c r="Z296" s="453">
        <v>0</v>
      </c>
      <c r="AA296" s="14">
        <v>0</v>
      </c>
      <c r="AB296" s="14">
        <v>0</v>
      </c>
      <c r="AC296" s="453">
        <v>0</v>
      </c>
      <c r="AD296" s="14">
        <v>0</v>
      </c>
      <c r="AE296" s="14">
        <v>0</v>
      </c>
      <c r="AF296" s="14">
        <v>0</v>
      </c>
      <c r="AG296" s="14">
        <v>0</v>
      </c>
      <c r="AH296" s="14">
        <v>0</v>
      </c>
      <c r="AI296" s="14">
        <v>0</v>
      </c>
      <c r="AJ296" s="14">
        <v>0</v>
      </c>
      <c r="AK296" s="14">
        <v>0</v>
      </c>
      <c r="AL296" s="14">
        <v>0</v>
      </c>
      <c r="AM296" s="453">
        <v>0</v>
      </c>
      <c r="AN296" s="453">
        <v>0</v>
      </c>
      <c r="AO296" s="453">
        <v>0</v>
      </c>
      <c r="AP296" s="453">
        <v>0</v>
      </c>
      <c r="AQ296" s="453">
        <v>0</v>
      </c>
      <c r="AR296" s="453">
        <v>0</v>
      </c>
      <c r="AS296" s="453">
        <v>0</v>
      </c>
      <c r="AT296" s="453">
        <v>0</v>
      </c>
      <c r="AU296" s="453">
        <v>0</v>
      </c>
      <c r="AV296" s="453">
        <v>0</v>
      </c>
      <c r="AW296" s="453">
        <v>0</v>
      </c>
      <c r="AX296" s="453">
        <v>0</v>
      </c>
      <c r="AY296" s="453">
        <v>0</v>
      </c>
      <c r="AZ296" s="453">
        <v>0</v>
      </c>
      <c r="BA296" s="453">
        <v>0</v>
      </c>
      <c r="BB296" s="453">
        <v>0</v>
      </c>
      <c r="BC296" s="453">
        <v>0</v>
      </c>
      <c r="BD296" s="453">
        <v>0</v>
      </c>
      <c r="BE296" s="105">
        <v>0</v>
      </c>
      <c r="BF296" s="453">
        <v>0</v>
      </c>
      <c r="BG296" s="453">
        <v>0</v>
      </c>
      <c r="BH296" s="105">
        <v>0</v>
      </c>
      <c r="BI296" s="453">
        <v>0</v>
      </c>
      <c r="BJ296" s="453">
        <v>0</v>
      </c>
      <c r="BK296" s="105">
        <v>0</v>
      </c>
      <c r="BL296" s="453">
        <v>0</v>
      </c>
      <c r="BM296" s="453">
        <v>0</v>
      </c>
      <c r="BN296" s="453">
        <v>0</v>
      </c>
      <c r="BO296" s="453">
        <v>0</v>
      </c>
      <c r="BP296" s="453">
        <v>0</v>
      </c>
      <c r="BQ296" s="453">
        <v>0</v>
      </c>
      <c r="BR296" s="14">
        <v>0</v>
      </c>
      <c r="BS296" s="14">
        <v>0</v>
      </c>
      <c r="BT296" s="377" t="str">
        <v/>
      </c>
      <c r="BU296" s="105" t="str">
        <v/>
      </c>
      <c r="BV296" s="453" t="str">
        <v/>
      </c>
      <c r="BW296" s="105" t="str">
        <f ca="1"/>
        <v/>
      </c>
    </row>
    <row r="297" spans="1:75" x14ac:dyDescent="0.3">
      <c r="A297" s="1">
        <v>0</v>
      </c>
      <c r="B297" s="106">
        <v>0</v>
      </c>
      <c r="C297" s="14">
        <v>0</v>
      </c>
      <c r="D297" s="14">
        <v>0</v>
      </c>
      <c r="E297" s="14">
        <v>0</v>
      </c>
      <c r="F297" s="453">
        <v>0</v>
      </c>
      <c r="G297" s="377">
        <v>0</v>
      </c>
      <c r="H297" s="453">
        <v>0</v>
      </c>
      <c r="I297" s="453">
        <v>0</v>
      </c>
      <c r="J297" s="453">
        <v>0</v>
      </c>
      <c r="K297" s="453">
        <v>0</v>
      </c>
      <c r="L297" s="453">
        <v>0</v>
      </c>
      <c r="M297" s="453">
        <v>0</v>
      </c>
      <c r="N297" s="453">
        <v>0</v>
      </c>
      <c r="O297" s="453">
        <v>0</v>
      </c>
      <c r="P297" s="14">
        <v>0</v>
      </c>
      <c r="Q297" s="14">
        <v>0</v>
      </c>
      <c r="R297" s="453">
        <v>0</v>
      </c>
      <c r="S297" s="453">
        <v>0</v>
      </c>
      <c r="T297" s="453">
        <v>0</v>
      </c>
      <c r="U297" s="453">
        <v>0</v>
      </c>
      <c r="V297" s="453">
        <v>0</v>
      </c>
      <c r="W297" s="453">
        <v>0</v>
      </c>
      <c r="X297" s="453">
        <v>0</v>
      </c>
      <c r="Y297" s="453">
        <v>0</v>
      </c>
      <c r="Z297" s="453">
        <v>0</v>
      </c>
      <c r="AA297" s="14">
        <v>0</v>
      </c>
      <c r="AB297" s="14">
        <v>0</v>
      </c>
      <c r="AC297" s="453">
        <v>0</v>
      </c>
      <c r="AD297" s="14">
        <v>0</v>
      </c>
      <c r="AE297" s="14">
        <v>0</v>
      </c>
      <c r="AF297" s="14">
        <v>0</v>
      </c>
      <c r="AG297" s="14">
        <v>0</v>
      </c>
      <c r="AH297" s="14">
        <v>0</v>
      </c>
      <c r="AI297" s="14">
        <v>0</v>
      </c>
      <c r="AJ297" s="14">
        <v>0</v>
      </c>
      <c r="AK297" s="14">
        <v>0</v>
      </c>
      <c r="AL297" s="14">
        <v>0</v>
      </c>
      <c r="AM297" s="453">
        <v>0</v>
      </c>
      <c r="AN297" s="453">
        <v>0</v>
      </c>
      <c r="AO297" s="453">
        <v>0</v>
      </c>
      <c r="AP297" s="453">
        <v>0</v>
      </c>
      <c r="AQ297" s="453">
        <v>0</v>
      </c>
      <c r="AR297" s="453">
        <v>0</v>
      </c>
      <c r="AS297" s="453">
        <v>0</v>
      </c>
      <c r="AT297" s="453">
        <v>0</v>
      </c>
      <c r="AU297" s="453">
        <v>0</v>
      </c>
      <c r="AV297" s="453">
        <v>0</v>
      </c>
      <c r="AW297" s="453">
        <v>0</v>
      </c>
      <c r="AX297" s="453">
        <v>0</v>
      </c>
      <c r="AY297" s="453">
        <v>0</v>
      </c>
      <c r="AZ297" s="453">
        <v>0</v>
      </c>
      <c r="BA297" s="453">
        <v>0</v>
      </c>
      <c r="BB297" s="453">
        <v>0</v>
      </c>
      <c r="BC297" s="453">
        <v>0</v>
      </c>
      <c r="BD297" s="453">
        <v>0</v>
      </c>
      <c r="BE297" s="105">
        <v>0</v>
      </c>
      <c r="BF297" s="453">
        <v>0</v>
      </c>
      <c r="BG297" s="453">
        <v>0</v>
      </c>
      <c r="BH297" s="105">
        <v>0</v>
      </c>
      <c r="BI297" s="453">
        <v>0</v>
      </c>
      <c r="BJ297" s="453">
        <v>0</v>
      </c>
      <c r="BK297" s="105">
        <v>0</v>
      </c>
      <c r="BL297" s="453">
        <v>0</v>
      </c>
      <c r="BM297" s="453">
        <v>0</v>
      </c>
      <c r="BN297" s="453">
        <v>0</v>
      </c>
      <c r="BO297" s="453">
        <v>0</v>
      </c>
      <c r="BP297" s="453">
        <v>0</v>
      </c>
      <c r="BQ297" s="453">
        <v>0</v>
      </c>
      <c r="BR297" s="14">
        <v>0</v>
      </c>
      <c r="BS297" s="14">
        <v>0</v>
      </c>
      <c r="BT297" s="377" t="str">
        <v/>
      </c>
      <c r="BU297" s="105" t="str">
        <v/>
      </c>
      <c r="BV297" s="453" t="str">
        <v/>
      </c>
      <c r="BW297" s="105" t="str">
        <f ca="1"/>
        <v/>
      </c>
    </row>
    <row r="298" spans="1:75" x14ac:dyDescent="0.3">
      <c r="A298" s="1">
        <v>0</v>
      </c>
      <c r="B298" s="106">
        <v>0</v>
      </c>
      <c r="C298" s="14">
        <v>0</v>
      </c>
      <c r="D298" s="14">
        <v>0</v>
      </c>
      <c r="E298" s="14">
        <v>0</v>
      </c>
      <c r="F298" s="453">
        <v>0</v>
      </c>
      <c r="G298" s="377">
        <v>0</v>
      </c>
      <c r="H298" s="453">
        <v>0</v>
      </c>
      <c r="I298" s="453">
        <v>0</v>
      </c>
      <c r="J298" s="453">
        <v>0</v>
      </c>
      <c r="K298" s="453">
        <v>0</v>
      </c>
      <c r="L298" s="453">
        <v>0</v>
      </c>
      <c r="M298" s="453">
        <v>0</v>
      </c>
      <c r="N298" s="453">
        <v>0</v>
      </c>
      <c r="O298" s="453">
        <v>0</v>
      </c>
      <c r="P298" s="14">
        <v>0</v>
      </c>
      <c r="Q298" s="14">
        <v>0</v>
      </c>
      <c r="R298" s="453">
        <v>0</v>
      </c>
      <c r="S298" s="453">
        <v>0</v>
      </c>
      <c r="T298" s="453">
        <v>0</v>
      </c>
      <c r="U298" s="453">
        <v>0</v>
      </c>
      <c r="V298" s="453">
        <v>0</v>
      </c>
      <c r="W298" s="453">
        <v>0</v>
      </c>
      <c r="X298" s="453">
        <v>0</v>
      </c>
      <c r="Y298" s="453">
        <v>0</v>
      </c>
      <c r="Z298" s="453">
        <v>0</v>
      </c>
      <c r="AA298" s="14">
        <v>0</v>
      </c>
      <c r="AB298" s="14">
        <v>0</v>
      </c>
      <c r="AC298" s="453">
        <v>0</v>
      </c>
      <c r="AD298" s="14">
        <v>0</v>
      </c>
      <c r="AE298" s="14">
        <v>0</v>
      </c>
      <c r="AF298" s="14">
        <v>0</v>
      </c>
      <c r="AG298" s="14">
        <v>0</v>
      </c>
      <c r="AH298" s="14">
        <v>0</v>
      </c>
      <c r="AI298" s="14">
        <v>0</v>
      </c>
      <c r="AJ298" s="14">
        <v>0</v>
      </c>
      <c r="AK298" s="14">
        <v>0</v>
      </c>
      <c r="AL298" s="14">
        <v>0</v>
      </c>
      <c r="AM298" s="453">
        <v>0</v>
      </c>
      <c r="AN298" s="453">
        <v>0</v>
      </c>
      <c r="AO298" s="453">
        <v>0</v>
      </c>
      <c r="AP298" s="453">
        <v>0</v>
      </c>
      <c r="AQ298" s="453">
        <v>0</v>
      </c>
      <c r="AR298" s="453">
        <v>0</v>
      </c>
      <c r="AS298" s="453">
        <v>0</v>
      </c>
      <c r="AT298" s="453">
        <v>0</v>
      </c>
      <c r="AU298" s="453">
        <v>0</v>
      </c>
      <c r="AV298" s="453">
        <v>0</v>
      </c>
      <c r="AW298" s="453">
        <v>0</v>
      </c>
      <c r="AX298" s="453">
        <v>0</v>
      </c>
      <c r="AY298" s="453">
        <v>0</v>
      </c>
      <c r="AZ298" s="453">
        <v>0</v>
      </c>
      <c r="BA298" s="453">
        <v>0</v>
      </c>
      <c r="BB298" s="453">
        <v>0</v>
      </c>
      <c r="BC298" s="453">
        <v>0</v>
      </c>
      <c r="BD298" s="453">
        <v>0</v>
      </c>
      <c r="BE298" s="105">
        <v>0</v>
      </c>
      <c r="BF298" s="453">
        <v>0</v>
      </c>
      <c r="BG298" s="453">
        <v>0</v>
      </c>
      <c r="BH298" s="105">
        <v>0</v>
      </c>
      <c r="BI298" s="453">
        <v>0</v>
      </c>
      <c r="BJ298" s="453">
        <v>0</v>
      </c>
      <c r="BK298" s="105">
        <v>0</v>
      </c>
      <c r="BL298" s="453">
        <v>0</v>
      </c>
      <c r="BM298" s="453">
        <v>0</v>
      </c>
      <c r="BN298" s="453">
        <v>0</v>
      </c>
      <c r="BO298" s="453">
        <v>0</v>
      </c>
      <c r="BP298" s="453">
        <v>0</v>
      </c>
      <c r="BQ298" s="453">
        <v>0</v>
      </c>
      <c r="BR298" s="14">
        <v>0</v>
      </c>
      <c r="BS298" s="14">
        <v>0</v>
      </c>
      <c r="BT298" s="377" t="str">
        <v/>
      </c>
      <c r="BU298" s="105" t="str">
        <v/>
      </c>
      <c r="BV298" s="453" t="str">
        <v/>
      </c>
      <c r="BW298" s="105" t="str">
        <f ca="1"/>
        <v/>
      </c>
    </row>
    <row r="299" spans="1:75" x14ac:dyDescent="0.3">
      <c r="A299" s="1">
        <v>0</v>
      </c>
      <c r="B299" s="106">
        <v>0</v>
      </c>
      <c r="C299" s="14">
        <v>0</v>
      </c>
      <c r="D299" s="14">
        <v>0</v>
      </c>
      <c r="E299" s="14">
        <v>0</v>
      </c>
      <c r="F299" s="453">
        <v>0</v>
      </c>
      <c r="G299" s="377">
        <v>0</v>
      </c>
      <c r="H299" s="453">
        <v>0</v>
      </c>
      <c r="I299" s="453">
        <v>0</v>
      </c>
      <c r="J299" s="453">
        <v>0</v>
      </c>
      <c r="K299" s="453">
        <v>0</v>
      </c>
      <c r="L299" s="453">
        <v>0</v>
      </c>
      <c r="M299" s="453">
        <v>0</v>
      </c>
      <c r="N299" s="453">
        <v>0</v>
      </c>
      <c r="O299" s="453">
        <v>0</v>
      </c>
      <c r="P299" s="14">
        <v>0</v>
      </c>
      <c r="Q299" s="14">
        <v>0</v>
      </c>
      <c r="R299" s="453">
        <v>0</v>
      </c>
      <c r="S299" s="453">
        <v>0</v>
      </c>
      <c r="T299" s="453">
        <v>0</v>
      </c>
      <c r="U299" s="453">
        <v>0</v>
      </c>
      <c r="V299" s="453">
        <v>0</v>
      </c>
      <c r="W299" s="453">
        <v>0</v>
      </c>
      <c r="X299" s="453">
        <v>0</v>
      </c>
      <c r="Y299" s="453">
        <v>0</v>
      </c>
      <c r="Z299" s="453">
        <v>0</v>
      </c>
      <c r="AA299" s="14">
        <v>0</v>
      </c>
      <c r="AB299" s="14">
        <v>0</v>
      </c>
      <c r="AC299" s="453">
        <v>0</v>
      </c>
      <c r="AD299" s="14">
        <v>0</v>
      </c>
      <c r="AE299" s="14">
        <v>0</v>
      </c>
      <c r="AF299" s="14">
        <v>0</v>
      </c>
      <c r="AG299" s="14">
        <v>0</v>
      </c>
      <c r="AH299" s="14">
        <v>0</v>
      </c>
      <c r="AI299" s="14">
        <v>0</v>
      </c>
      <c r="AJ299" s="14">
        <v>0</v>
      </c>
      <c r="AK299" s="14">
        <v>0</v>
      </c>
      <c r="AL299" s="14">
        <v>0</v>
      </c>
      <c r="AM299" s="453">
        <v>0</v>
      </c>
      <c r="AN299" s="453">
        <v>0</v>
      </c>
      <c r="AO299" s="453">
        <v>0</v>
      </c>
      <c r="AP299" s="453">
        <v>0</v>
      </c>
      <c r="AQ299" s="453">
        <v>0</v>
      </c>
      <c r="AR299" s="453">
        <v>0</v>
      </c>
      <c r="AS299" s="453">
        <v>0</v>
      </c>
      <c r="AT299" s="453">
        <v>0</v>
      </c>
      <c r="AU299" s="453">
        <v>0</v>
      </c>
      <c r="AV299" s="453">
        <v>0</v>
      </c>
      <c r="AW299" s="453">
        <v>0</v>
      </c>
      <c r="AX299" s="453">
        <v>0</v>
      </c>
      <c r="AY299" s="453">
        <v>0</v>
      </c>
      <c r="AZ299" s="453">
        <v>0</v>
      </c>
      <c r="BA299" s="453">
        <v>0</v>
      </c>
      <c r="BB299" s="453">
        <v>0</v>
      </c>
      <c r="BC299" s="453">
        <v>0</v>
      </c>
      <c r="BD299" s="453">
        <v>0</v>
      </c>
      <c r="BE299" s="105">
        <v>0</v>
      </c>
      <c r="BF299" s="453">
        <v>0</v>
      </c>
      <c r="BG299" s="453">
        <v>0</v>
      </c>
      <c r="BH299" s="105">
        <v>0</v>
      </c>
      <c r="BI299" s="453">
        <v>0</v>
      </c>
      <c r="BJ299" s="453">
        <v>0</v>
      </c>
      <c r="BK299" s="105">
        <v>0</v>
      </c>
      <c r="BL299" s="453">
        <v>0</v>
      </c>
      <c r="BM299" s="453">
        <v>0</v>
      </c>
      <c r="BN299" s="453">
        <v>0</v>
      </c>
      <c r="BO299" s="453">
        <v>0</v>
      </c>
      <c r="BP299" s="453">
        <v>0</v>
      </c>
      <c r="BQ299" s="453">
        <v>0</v>
      </c>
      <c r="BR299" s="14">
        <v>0</v>
      </c>
      <c r="BS299" s="14">
        <v>0</v>
      </c>
      <c r="BT299" s="377" t="str">
        <v/>
      </c>
      <c r="BU299" s="105" t="str">
        <v/>
      </c>
      <c r="BV299" s="453" t="str">
        <v/>
      </c>
      <c r="BW299" s="105" t="str">
        <f ca="1"/>
        <v/>
      </c>
    </row>
    <row r="300" spans="1:75" x14ac:dyDescent="0.3">
      <c r="A300" s="1">
        <v>0</v>
      </c>
      <c r="B300" s="106">
        <v>0</v>
      </c>
      <c r="C300" s="14">
        <v>0</v>
      </c>
      <c r="D300" s="14">
        <v>0</v>
      </c>
      <c r="E300" s="14">
        <v>0</v>
      </c>
      <c r="F300" s="453">
        <v>0</v>
      </c>
      <c r="G300" s="377">
        <v>0</v>
      </c>
      <c r="H300" s="453">
        <v>0</v>
      </c>
      <c r="I300" s="453">
        <v>0</v>
      </c>
      <c r="J300" s="453">
        <v>0</v>
      </c>
      <c r="K300" s="453">
        <v>0</v>
      </c>
      <c r="L300" s="453">
        <v>0</v>
      </c>
      <c r="M300" s="453">
        <v>0</v>
      </c>
      <c r="N300" s="453">
        <v>0</v>
      </c>
      <c r="O300" s="453">
        <v>0</v>
      </c>
      <c r="P300" s="14">
        <v>0</v>
      </c>
      <c r="Q300" s="14">
        <v>0</v>
      </c>
      <c r="R300" s="453">
        <v>0</v>
      </c>
      <c r="S300" s="453">
        <v>0</v>
      </c>
      <c r="T300" s="453">
        <v>0</v>
      </c>
      <c r="U300" s="453">
        <v>0</v>
      </c>
      <c r="V300" s="453">
        <v>0</v>
      </c>
      <c r="W300" s="453">
        <v>0</v>
      </c>
      <c r="X300" s="453">
        <v>0</v>
      </c>
      <c r="Y300" s="453">
        <v>0</v>
      </c>
      <c r="Z300" s="453">
        <v>0</v>
      </c>
      <c r="AA300" s="14">
        <v>0</v>
      </c>
      <c r="AB300" s="14">
        <v>0</v>
      </c>
      <c r="AC300" s="453">
        <v>0</v>
      </c>
      <c r="AD300" s="14">
        <v>0</v>
      </c>
      <c r="AE300" s="14">
        <v>0</v>
      </c>
      <c r="AF300" s="14">
        <v>0</v>
      </c>
      <c r="AG300" s="14">
        <v>0</v>
      </c>
      <c r="AH300" s="14">
        <v>0</v>
      </c>
      <c r="AI300" s="14">
        <v>0</v>
      </c>
      <c r="AJ300" s="14">
        <v>0</v>
      </c>
      <c r="AK300" s="14">
        <v>0</v>
      </c>
      <c r="AL300" s="14">
        <v>0</v>
      </c>
      <c r="AM300" s="453">
        <v>0</v>
      </c>
      <c r="AN300" s="453">
        <v>0</v>
      </c>
      <c r="AO300" s="453">
        <v>0</v>
      </c>
      <c r="AP300" s="453">
        <v>0</v>
      </c>
      <c r="AQ300" s="453">
        <v>0</v>
      </c>
      <c r="AR300" s="453">
        <v>0</v>
      </c>
      <c r="AS300" s="453">
        <v>0</v>
      </c>
      <c r="AT300" s="453">
        <v>0</v>
      </c>
      <c r="AU300" s="453">
        <v>0</v>
      </c>
      <c r="AV300" s="453">
        <v>0</v>
      </c>
      <c r="AW300" s="453">
        <v>0</v>
      </c>
      <c r="AX300" s="453">
        <v>0</v>
      </c>
      <c r="AY300" s="453">
        <v>0</v>
      </c>
      <c r="AZ300" s="453">
        <v>0</v>
      </c>
      <c r="BA300" s="453">
        <v>0</v>
      </c>
      <c r="BB300" s="453">
        <v>0</v>
      </c>
      <c r="BC300" s="453">
        <v>0</v>
      </c>
      <c r="BD300" s="453">
        <v>0</v>
      </c>
      <c r="BE300" s="105">
        <v>0</v>
      </c>
      <c r="BF300" s="453">
        <v>0</v>
      </c>
      <c r="BG300" s="453">
        <v>0</v>
      </c>
      <c r="BH300" s="105">
        <v>0</v>
      </c>
      <c r="BI300" s="453">
        <v>0</v>
      </c>
      <c r="BJ300" s="453">
        <v>0</v>
      </c>
      <c r="BK300" s="105">
        <v>0</v>
      </c>
      <c r="BL300" s="453">
        <v>0</v>
      </c>
      <c r="BM300" s="453">
        <v>0</v>
      </c>
      <c r="BN300" s="453">
        <v>0</v>
      </c>
      <c r="BO300" s="453">
        <v>0</v>
      </c>
      <c r="BP300" s="453">
        <v>0</v>
      </c>
      <c r="BQ300" s="453">
        <v>0</v>
      </c>
      <c r="BR300" s="14">
        <v>0</v>
      </c>
      <c r="BS300" s="14">
        <v>0</v>
      </c>
      <c r="BT300" s="377" t="str">
        <v/>
      </c>
      <c r="BU300" s="105" t="str">
        <v/>
      </c>
      <c r="BV300" s="453" t="str">
        <v/>
      </c>
      <c r="BW300" s="105" t="str">
        <f ca="1"/>
        <v/>
      </c>
    </row>
    <row r="301" spans="1:75" x14ac:dyDescent="0.3">
      <c r="A301" s="1">
        <v>0</v>
      </c>
      <c r="B301" s="106">
        <v>0</v>
      </c>
      <c r="C301" s="14">
        <v>0</v>
      </c>
      <c r="D301" s="14">
        <v>0</v>
      </c>
      <c r="E301" s="14">
        <v>0</v>
      </c>
      <c r="F301" s="453">
        <v>0</v>
      </c>
      <c r="G301" s="377">
        <v>0</v>
      </c>
      <c r="H301" s="453">
        <v>0</v>
      </c>
      <c r="I301" s="453">
        <v>0</v>
      </c>
      <c r="J301" s="453">
        <v>0</v>
      </c>
      <c r="K301" s="453">
        <v>0</v>
      </c>
      <c r="L301" s="453">
        <v>0</v>
      </c>
      <c r="M301" s="453">
        <v>0</v>
      </c>
      <c r="N301" s="453">
        <v>0</v>
      </c>
      <c r="O301" s="453">
        <v>0</v>
      </c>
      <c r="P301" s="14">
        <v>0</v>
      </c>
      <c r="Q301" s="14">
        <v>0</v>
      </c>
      <c r="R301" s="453">
        <v>0</v>
      </c>
      <c r="S301" s="453">
        <v>0</v>
      </c>
      <c r="T301" s="453">
        <v>0</v>
      </c>
      <c r="U301" s="453">
        <v>0</v>
      </c>
      <c r="V301" s="453">
        <v>0</v>
      </c>
      <c r="W301" s="453">
        <v>0</v>
      </c>
      <c r="X301" s="453">
        <v>0</v>
      </c>
      <c r="Y301" s="453">
        <v>0</v>
      </c>
      <c r="Z301" s="453">
        <v>0</v>
      </c>
      <c r="AA301" s="14">
        <v>0</v>
      </c>
      <c r="AB301" s="14">
        <v>0</v>
      </c>
      <c r="AC301" s="453">
        <v>0</v>
      </c>
      <c r="AD301" s="14">
        <v>0</v>
      </c>
      <c r="AE301" s="14">
        <v>0</v>
      </c>
      <c r="AF301" s="14">
        <v>0</v>
      </c>
      <c r="AG301" s="14">
        <v>0</v>
      </c>
      <c r="AH301" s="14">
        <v>0</v>
      </c>
      <c r="AI301" s="14">
        <v>0</v>
      </c>
      <c r="AJ301" s="14">
        <v>0</v>
      </c>
      <c r="AK301" s="14">
        <v>0</v>
      </c>
      <c r="AL301" s="14">
        <v>0</v>
      </c>
      <c r="AM301" s="453">
        <v>0</v>
      </c>
      <c r="AN301" s="453">
        <v>0</v>
      </c>
      <c r="AO301" s="453">
        <v>0</v>
      </c>
      <c r="AP301" s="453">
        <v>0</v>
      </c>
      <c r="AQ301" s="453">
        <v>0</v>
      </c>
      <c r="AR301" s="453">
        <v>0</v>
      </c>
      <c r="AS301" s="453">
        <v>0</v>
      </c>
      <c r="AT301" s="453">
        <v>0</v>
      </c>
      <c r="AU301" s="453">
        <v>0</v>
      </c>
      <c r="AV301" s="453">
        <v>0</v>
      </c>
      <c r="AW301" s="453">
        <v>0</v>
      </c>
      <c r="AX301" s="453">
        <v>0</v>
      </c>
      <c r="AY301" s="453">
        <v>0</v>
      </c>
      <c r="AZ301" s="453">
        <v>0</v>
      </c>
      <c r="BA301" s="453">
        <v>0</v>
      </c>
      <c r="BB301" s="453">
        <v>0</v>
      </c>
      <c r="BC301" s="453">
        <v>0</v>
      </c>
      <c r="BD301" s="453">
        <v>0</v>
      </c>
      <c r="BE301" s="105">
        <v>0</v>
      </c>
      <c r="BF301" s="453">
        <v>0</v>
      </c>
      <c r="BG301" s="453">
        <v>0</v>
      </c>
      <c r="BH301" s="105">
        <v>0</v>
      </c>
      <c r="BI301" s="453">
        <v>0</v>
      </c>
      <c r="BJ301" s="453">
        <v>0</v>
      </c>
      <c r="BK301" s="105">
        <v>0</v>
      </c>
      <c r="BL301" s="453">
        <v>0</v>
      </c>
      <c r="BM301" s="453">
        <v>0</v>
      </c>
      <c r="BN301" s="453">
        <v>0</v>
      </c>
      <c r="BO301" s="453">
        <v>0</v>
      </c>
      <c r="BP301" s="453">
        <v>0</v>
      </c>
      <c r="BQ301" s="453">
        <v>0</v>
      </c>
      <c r="BR301" s="14">
        <v>0</v>
      </c>
      <c r="BS301" s="14">
        <v>0</v>
      </c>
      <c r="BT301" s="377" t="str">
        <v/>
      </c>
      <c r="BU301" s="105" t="str">
        <v/>
      </c>
      <c r="BV301" s="453" t="str">
        <v/>
      </c>
      <c r="BW301" s="105" t="str">
        <f ca="1"/>
        <v/>
      </c>
    </row>
    <row r="302" spans="1:75" x14ac:dyDescent="0.3">
      <c r="A302" s="1">
        <v>0</v>
      </c>
      <c r="B302" s="106">
        <v>0</v>
      </c>
      <c r="C302" s="14">
        <v>0</v>
      </c>
      <c r="D302" s="14">
        <v>0</v>
      </c>
      <c r="E302" s="14">
        <v>0</v>
      </c>
      <c r="F302" s="453">
        <v>0</v>
      </c>
      <c r="G302" s="377">
        <v>0</v>
      </c>
      <c r="H302" s="453">
        <v>0</v>
      </c>
      <c r="I302" s="453">
        <v>0</v>
      </c>
      <c r="J302" s="453">
        <v>0</v>
      </c>
      <c r="K302" s="453">
        <v>0</v>
      </c>
      <c r="L302" s="453">
        <v>0</v>
      </c>
      <c r="M302" s="453">
        <v>0</v>
      </c>
      <c r="N302" s="453">
        <v>0</v>
      </c>
      <c r="O302" s="453">
        <v>0</v>
      </c>
      <c r="P302" s="14">
        <v>0</v>
      </c>
      <c r="Q302" s="14">
        <v>0</v>
      </c>
      <c r="R302" s="453">
        <v>0</v>
      </c>
      <c r="S302" s="453">
        <v>0</v>
      </c>
      <c r="T302" s="453">
        <v>0</v>
      </c>
      <c r="U302" s="453">
        <v>0</v>
      </c>
      <c r="V302" s="453">
        <v>0</v>
      </c>
      <c r="W302" s="453">
        <v>0</v>
      </c>
      <c r="X302" s="453">
        <v>0</v>
      </c>
      <c r="Y302" s="453">
        <v>0</v>
      </c>
      <c r="Z302" s="453">
        <v>0</v>
      </c>
      <c r="AA302" s="14">
        <v>0</v>
      </c>
      <c r="AB302" s="14">
        <v>0</v>
      </c>
      <c r="AC302" s="453">
        <v>0</v>
      </c>
      <c r="AD302" s="14">
        <v>0</v>
      </c>
      <c r="AE302" s="14">
        <v>0</v>
      </c>
      <c r="AF302" s="14">
        <v>0</v>
      </c>
      <c r="AG302" s="14">
        <v>0</v>
      </c>
      <c r="AH302" s="14">
        <v>0</v>
      </c>
      <c r="AI302" s="14">
        <v>0</v>
      </c>
      <c r="AJ302" s="14">
        <v>0</v>
      </c>
      <c r="AK302" s="14">
        <v>0</v>
      </c>
      <c r="AL302" s="14">
        <v>0</v>
      </c>
      <c r="AM302" s="453">
        <v>0</v>
      </c>
      <c r="AN302" s="453">
        <v>0</v>
      </c>
      <c r="AO302" s="453">
        <v>0</v>
      </c>
      <c r="AP302" s="453">
        <v>0</v>
      </c>
      <c r="AQ302" s="453">
        <v>0</v>
      </c>
      <c r="AR302" s="453">
        <v>0</v>
      </c>
      <c r="AS302" s="453">
        <v>0</v>
      </c>
      <c r="AT302" s="453">
        <v>0</v>
      </c>
      <c r="AU302" s="453">
        <v>0</v>
      </c>
      <c r="AV302" s="453">
        <v>0</v>
      </c>
      <c r="AW302" s="453">
        <v>0</v>
      </c>
      <c r="AX302" s="453">
        <v>0</v>
      </c>
      <c r="AY302" s="453">
        <v>0</v>
      </c>
      <c r="AZ302" s="453">
        <v>0</v>
      </c>
      <c r="BA302" s="453">
        <v>0</v>
      </c>
      <c r="BB302" s="453">
        <v>0</v>
      </c>
      <c r="BC302" s="453">
        <v>0</v>
      </c>
      <c r="BD302" s="453">
        <v>0</v>
      </c>
      <c r="BE302" s="105">
        <v>0</v>
      </c>
      <c r="BF302" s="453">
        <v>0</v>
      </c>
      <c r="BG302" s="453">
        <v>0</v>
      </c>
      <c r="BH302" s="105">
        <v>0</v>
      </c>
      <c r="BI302" s="453">
        <v>0</v>
      </c>
      <c r="BJ302" s="453">
        <v>0</v>
      </c>
      <c r="BK302" s="105">
        <v>0</v>
      </c>
      <c r="BL302" s="453">
        <v>0</v>
      </c>
      <c r="BM302" s="453">
        <v>0</v>
      </c>
      <c r="BN302" s="453">
        <v>0</v>
      </c>
      <c r="BO302" s="453">
        <v>0</v>
      </c>
      <c r="BP302" s="453">
        <v>0</v>
      </c>
      <c r="BQ302" s="453">
        <v>0</v>
      </c>
      <c r="BR302" s="14">
        <v>0</v>
      </c>
      <c r="BS302" s="14">
        <v>0</v>
      </c>
      <c r="BT302" s="377" t="str">
        <v/>
      </c>
      <c r="BU302" s="105" t="str">
        <v/>
      </c>
      <c r="BV302" s="453" t="str">
        <v/>
      </c>
      <c r="BW302" s="105" t="str">
        <f ca="1"/>
        <v/>
      </c>
    </row>
    <row r="303" spans="1:75" x14ac:dyDescent="0.3">
      <c r="A303" s="1">
        <v>0</v>
      </c>
      <c r="B303" s="106">
        <v>0</v>
      </c>
      <c r="C303" s="14">
        <v>0</v>
      </c>
      <c r="D303" s="14">
        <v>0</v>
      </c>
      <c r="E303" s="14">
        <v>0</v>
      </c>
      <c r="F303" s="453">
        <v>0</v>
      </c>
      <c r="G303" s="377">
        <v>0</v>
      </c>
      <c r="H303" s="453">
        <v>0</v>
      </c>
      <c r="I303" s="453">
        <v>0</v>
      </c>
      <c r="J303" s="453">
        <v>0</v>
      </c>
      <c r="K303" s="453">
        <v>0</v>
      </c>
      <c r="L303" s="453">
        <v>0</v>
      </c>
      <c r="M303" s="453">
        <v>0</v>
      </c>
      <c r="N303" s="453">
        <v>0</v>
      </c>
      <c r="O303" s="453">
        <v>0</v>
      </c>
      <c r="P303" s="14">
        <v>0</v>
      </c>
      <c r="Q303" s="14">
        <v>0</v>
      </c>
      <c r="R303" s="453">
        <v>0</v>
      </c>
      <c r="S303" s="453">
        <v>0</v>
      </c>
      <c r="T303" s="453">
        <v>0</v>
      </c>
      <c r="U303" s="453">
        <v>0</v>
      </c>
      <c r="V303" s="453">
        <v>0</v>
      </c>
      <c r="W303" s="453">
        <v>0</v>
      </c>
      <c r="X303" s="453">
        <v>0</v>
      </c>
      <c r="Y303" s="453">
        <v>0</v>
      </c>
      <c r="Z303" s="453">
        <v>0</v>
      </c>
      <c r="AA303" s="14">
        <v>0</v>
      </c>
      <c r="AB303" s="14">
        <v>0</v>
      </c>
      <c r="AC303" s="453">
        <v>0</v>
      </c>
      <c r="AD303" s="14">
        <v>0</v>
      </c>
      <c r="AE303" s="14">
        <v>0</v>
      </c>
      <c r="AF303" s="14">
        <v>0</v>
      </c>
      <c r="AG303" s="14">
        <v>0</v>
      </c>
      <c r="AH303" s="14">
        <v>0</v>
      </c>
      <c r="AI303" s="14">
        <v>0</v>
      </c>
      <c r="AJ303" s="14">
        <v>0</v>
      </c>
      <c r="AK303" s="14">
        <v>0</v>
      </c>
      <c r="AL303" s="14">
        <v>0</v>
      </c>
      <c r="AM303" s="453">
        <v>0</v>
      </c>
      <c r="AN303" s="453">
        <v>0</v>
      </c>
      <c r="AO303" s="453">
        <v>0</v>
      </c>
      <c r="AP303" s="453">
        <v>0</v>
      </c>
      <c r="AQ303" s="453">
        <v>0</v>
      </c>
      <c r="AR303" s="453">
        <v>0</v>
      </c>
      <c r="AS303" s="453">
        <v>0</v>
      </c>
      <c r="AT303" s="453">
        <v>0</v>
      </c>
      <c r="AU303" s="453">
        <v>0</v>
      </c>
      <c r="AV303" s="453">
        <v>0</v>
      </c>
      <c r="AW303" s="453">
        <v>0</v>
      </c>
      <c r="AX303" s="453">
        <v>0</v>
      </c>
      <c r="AY303" s="453">
        <v>0</v>
      </c>
      <c r="AZ303" s="453">
        <v>0</v>
      </c>
      <c r="BA303" s="453">
        <v>0</v>
      </c>
      <c r="BB303" s="453">
        <v>0</v>
      </c>
      <c r="BC303" s="453">
        <v>0</v>
      </c>
      <c r="BD303" s="453">
        <v>0</v>
      </c>
      <c r="BE303" s="105">
        <v>0</v>
      </c>
      <c r="BF303" s="453">
        <v>0</v>
      </c>
      <c r="BG303" s="453">
        <v>0</v>
      </c>
      <c r="BH303" s="105">
        <v>0</v>
      </c>
      <c r="BI303" s="453">
        <v>0</v>
      </c>
      <c r="BJ303" s="453">
        <v>0</v>
      </c>
      <c r="BK303" s="105">
        <v>0</v>
      </c>
      <c r="BL303" s="453">
        <v>0</v>
      </c>
      <c r="BM303" s="453">
        <v>0</v>
      </c>
      <c r="BN303" s="453">
        <v>0</v>
      </c>
      <c r="BO303" s="453">
        <v>0</v>
      </c>
      <c r="BP303" s="453">
        <v>0</v>
      </c>
      <c r="BQ303" s="453">
        <v>0</v>
      </c>
      <c r="BR303" s="14">
        <v>0</v>
      </c>
      <c r="BS303" s="14">
        <v>0</v>
      </c>
      <c r="BT303" s="377" t="str">
        <v/>
      </c>
      <c r="BU303" s="105" t="str">
        <v/>
      </c>
      <c r="BV303" s="453" t="str">
        <v/>
      </c>
      <c r="BW303" s="105" t="str">
        <f ca="1"/>
        <v/>
      </c>
    </row>
    <row r="304" spans="1:75" x14ac:dyDescent="0.3">
      <c r="A304" s="1">
        <v>0</v>
      </c>
      <c r="B304" s="106">
        <v>0</v>
      </c>
      <c r="C304" s="14">
        <v>0</v>
      </c>
      <c r="D304" s="14">
        <v>0</v>
      </c>
      <c r="E304" s="14">
        <v>0</v>
      </c>
      <c r="F304" s="453">
        <v>0</v>
      </c>
      <c r="G304" s="377">
        <v>0</v>
      </c>
      <c r="H304" s="453">
        <v>0</v>
      </c>
      <c r="I304" s="453">
        <v>0</v>
      </c>
      <c r="J304" s="453">
        <v>0</v>
      </c>
      <c r="K304" s="453">
        <v>0</v>
      </c>
      <c r="L304" s="453">
        <v>0</v>
      </c>
      <c r="M304" s="453">
        <v>0</v>
      </c>
      <c r="N304" s="453">
        <v>0</v>
      </c>
      <c r="O304" s="453">
        <v>0</v>
      </c>
      <c r="P304" s="14">
        <v>0</v>
      </c>
      <c r="Q304" s="14">
        <v>0</v>
      </c>
      <c r="R304" s="453">
        <v>0</v>
      </c>
      <c r="S304" s="453">
        <v>0</v>
      </c>
      <c r="T304" s="453">
        <v>0</v>
      </c>
      <c r="U304" s="453">
        <v>0</v>
      </c>
      <c r="V304" s="453">
        <v>0</v>
      </c>
      <c r="W304" s="453">
        <v>0</v>
      </c>
      <c r="X304" s="453">
        <v>0</v>
      </c>
      <c r="Y304" s="453">
        <v>0</v>
      </c>
      <c r="Z304" s="453">
        <v>0</v>
      </c>
      <c r="AA304" s="14">
        <v>0</v>
      </c>
      <c r="AB304" s="14">
        <v>0</v>
      </c>
      <c r="AC304" s="453">
        <v>0</v>
      </c>
      <c r="AD304" s="14">
        <v>0</v>
      </c>
      <c r="AE304" s="14">
        <v>0</v>
      </c>
      <c r="AF304" s="14">
        <v>0</v>
      </c>
      <c r="AG304" s="14">
        <v>0</v>
      </c>
      <c r="AH304" s="14">
        <v>0</v>
      </c>
      <c r="AI304" s="14">
        <v>0</v>
      </c>
      <c r="AJ304" s="14">
        <v>0</v>
      </c>
      <c r="AK304" s="14">
        <v>0</v>
      </c>
      <c r="AL304" s="14">
        <v>0</v>
      </c>
      <c r="AM304" s="453">
        <v>0</v>
      </c>
      <c r="AN304" s="453">
        <v>0</v>
      </c>
      <c r="AO304" s="453">
        <v>0</v>
      </c>
      <c r="AP304" s="453">
        <v>0</v>
      </c>
      <c r="AQ304" s="453">
        <v>0</v>
      </c>
      <c r="AR304" s="453">
        <v>0</v>
      </c>
      <c r="AS304" s="453">
        <v>0</v>
      </c>
      <c r="AT304" s="453">
        <v>0</v>
      </c>
      <c r="AU304" s="453">
        <v>0</v>
      </c>
      <c r="AV304" s="453">
        <v>0</v>
      </c>
      <c r="AW304" s="453">
        <v>0</v>
      </c>
      <c r="AX304" s="453">
        <v>0</v>
      </c>
      <c r="AY304" s="453">
        <v>0</v>
      </c>
      <c r="AZ304" s="453">
        <v>0</v>
      </c>
      <c r="BA304" s="453">
        <v>0</v>
      </c>
      <c r="BB304" s="453">
        <v>0</v>
      </c>
      <c r="BC304" s="453">
        <v>0</v>
      </c>
      <c r="BD304" s="453">
        <v>0</v>
      </c>
      <c r="BE304" s="105">
        <v>0</v>
      </c>
      <c r="BF304" s="453">
        <v>0</v>
      </c>
      <c r="BG304" s="453">
        <v>0</v>
      </c>
      <c r="BH304" s="105">
        <v>0</v>
      </c>
      <c r="BI304" s="453">
        <v>0</v>
      </c>
      <c r="BJ304" s="453">
        <v>0</v>
      </c>
      <c r="BK304" s="105">
        <v>0</v>
      </c>
      <c r="BL304" s="453">
        <v>0</v>
      </c>
      <c r="BM304" s="453">
        <v>0</v>
      </c>
      <c r="BN304" s="453">
        <v>0</v>
      </c>
      <c r="BO304" s="453">
        <v>0</v>
      </c>
      <c r="BP304" s="453">
        <v>0</v>
      </c>
      <c r="BQ304" s="453">
        <v>0</v>
      </c>
      <c r="BR304" s="14">
        <v>0</v>
      </c>
      <c r="BS304" s="14">
        <v>0</v>
      </c>
      <c r="BT304" s="377" t="str">
        <v/>
      </c>
      <c r="BU304" s="105" t="str">
        <v/>
      </c>
      <c r="BV304" s="453" t="str">
        <v/>
      </c>
      <c r="BW304" s="105" t="str">
        <f ca="1"/>
        <v/>
      </c>
    </row>
    <row r="305" spans="1:75" x14ac:dyDescent="0.3">
      <c r="A305" s="1">
        <v>0</v>
      </c>
      <c r="B305" s="106">
        <v>0</v>
      </c>
      <c r="C305" s="14">
        <v>0</v>
      </c>
      <c r="D305" s="14">
        <v>0</v>
      </c>
      <c r="E305" s="14">
        <v>0</v>
      </c>
      <c r="F305" s="453">
        <v>0</v>
      </c>
      <c r="G305" s="377">
        <v>0</v>
      </c>
      <c r="H305" s="453">
        <v>0</v>
      </c>
      <c r="I305" s="453">
        <v>0</v>
      </c>
      <c r="J305" s="453">
        <v>0</v>
      </c>
      <c r="K305" s="453">
        <v>0</v>
      </c>
      <c r="L305" s="453">
        <v>0</v>
      </c>
      <c r="M305" s="453">
        <v>0</v>
      </c>
      <c r="N305" s="453">
        <v>0</v>
      </c>
      <c r="O305" s="453">
        <v>0</v>
      </c>
      <c r="P305" s="14">
        <v>0</v>
      </c>
      <c r="Q305" s="14">
        <v>0</v>
      </c>
      <c r="R305" s="453">
        <v>0</v>
      </c>
      <c r="S305" s="453">
        <v>0</v>
      </c>
      <c r="T305" s="453">
        <v>0</v>
      </c>
      <c r="U305" s="453">
        <v>0</v>
      </c>
      <c r="V305" s="453">
        <v>0</v>
      </c>
      <c r="W305" s="453">
        <v>0</v>
      </c>
      <c r="X305" s="453">
        <v>0</v>
      </c>
      <c r="Y305" s="453">
        <v>0</v>
      </c>
      <c r="Z305" s="453">
        <v>0</v>
      </c>
      <c r="AA305" s="14">
        <v>0</v>
      </c>
      <c r="AB305" s="14">
        <v>0</v>
      </c>
      <c r="AC305" s="453">
        <v>0</v>
      </c>
      <c r="AD305" s="14">
        <v>0</v>
      </c>
      <c r="AE305" s="14">
        <v>0</v>
      </c>
      <c r="AF305" s="14">
        <v>0</v>
      </c>
      <c r="AG305" s="14">
        <v>0</v>
      </c>
      <c r="AH305" s="14">
        <v>0</v>
      </c>
      <c r="AI305" s="14">
        <v>0</v>
      </c>
      <c r="AJ305" s="14">
        <v>0</v>
      </c>
      <c r="AK305" s="14">
        <v>0</v>
      </c>
      <c r="AL305" s="14">
        <v>0</v>
      </c>
      <c r="AM305" s="453">
        <v>0</v>
      </c>
      <c r="AN305" s="453">
        <v>0</v>
      </c>
      <c r="AO305" s="453">
        <v>0</v>
      </c>
      <c r="AP305" s="453">
        <v>0</v>
      </c>
      <c r="AQ305" s="453">
        <v>0</v>
      </c>
      <c r="AR305" s="453">
        <v>0</v>
      </c>
      <c r="AS305" s="453">
        <v>0</v>
      </c>
      <c r="AT305" s="453">
        <v>0</v>
      </c>
      <c r="AU305" s="453">
        <v>0</v>
      </c>
      <c r="AV305" s="453">
        <v>0</v>
      </c>
      <c r="AW305" s="453">
        <v>0</v>
      </c>
      <c r="AX305" s="453">
        <v>0</v>
      </c>
      <c r="AY305" s="453">
        <v>0</v>
      </c>
      <c r="AZ305" s="453">
        <v>0</v>
      </c>
      <c r="BA305" s="453">
        <v>0</v>
      </c>
      <c r="BB305" s="453">
        <v>0</v>
      </c>
      <c r="BC305" s="453">
        <v>0</v>
      </c>
      <c r="BD305" s="453">
        <v>0</v>
      </c>
      <c r="BE305" s="105">
        <v>0</v>
      </c>
      <c r="BF305" s="453">
        <v>0</v>
      </c>
      <c r="BG305" s="453">
        <v>0</v>
      </c>
      <c r="BH305" s="105">
        <v>0</v>
      </c>
      <c r="BI305" s="453">
        <v>0</v>
      </c>
      <c r="BJ305" s="453">
        <v>0</v>
      </c>
      <c r="BK305" s="105">
        <v>0</v>
      </c>
      <c r="BL305" s="453">
        <v>0</v>
      </c>
      <c r="BM305" s="453">
        <v>0</v>
      </c>
      <c r="BN305" s="453">
        <v>0</v>
      </c>
      <c r="BO305" s="453">
        <v>0</v>
      </c>
      <c r="BP305" s="453">
        <v>0</v>
      </c>
      <c r="BQ305" s="453">
        <v>0</v>
      </c>
      <c r="BR305" s="14">
        <v>0</v>
      </c>
      <c r="BS305" s="14">
        <v>0</v>
      </c>
      <c r="BT305" s="377" t="str">
        <v/>
      </c>
      <c r="BU305" s="105" t="str">
        <v/>
      </c>
      <c r="BV305" s="453" t="str">
        <v/>
      </c>
      <c r="BW305" s="105" t="str">
        <f ca="1"/>
        <v/>
      </c>
    </row>
    <row r="306" spans="1:75" x14ac:dyDescent="0.3">
      <c r="A306" s="1">
        <v>0</v>
      </c>
      <c r="B306" s="106">
        <v>0</v>
      </c>
      <c r="C306" s="14">
        <v>0</v>
      </c>
      <c r="D306" s="14">
        <v>0</v>
      </c>
      <c r="E306" s="14">
        <v>0</v>
      </c>
      <c r="F306" s="453">
        <v>0</v>
      </c>
      <c r="G306" s="377">
        <v>0</v>
      </c>
      <c r="H306" s="453">
        <v>0</v>
      </c>
      <c r="I306" s="453">
        <v>0</v>
      </c>
      <c r="J306" s="453">
        <v>0</v>
      </c>
      <c r="K306" s="453">
        <v>0</v>
      </c>
      <c r="L306" s="453">
        <v>0</v>
      </c>
      <c r="M306" s="453">
        <v>0</v>
      </c>
      <c r="N306" s="453">
        <v>0</v>
      </c>
      <c r="O306" s="453">
        <v>0</v>
      </c>
      <c r="P306" s="14">
        <v>0</v>
      </c>
      <c r="Q306" s="14">
        <v>0</v>
      </c>
      <c r="R306" s="453">
        <v>0</v>
      </c>
      <c r="S306" s="453">
        <v>0</v>
      </c>
      <c r="T306" s="453">
        <v>0</v>
      </c>
      <c r="U306" s="453">
        <v>0</v>
      </c>
      <c r="V306" s="453">
        <v>0</v>
      </c>
      <c r="W306" s="453">
        <v>0</v>
      </c>
      <c r="X306" s="453">
        <v>0</v>
      </c>
      <c r="Y306" s="453">
        <v>0</v>
      </c>
      <c r="Z306" s="453">
        <v>0</v>
      </c>
      <c r="AA306" s="14">
        <v>0</v>
      </c>
      <c r="AB306" s="14">
        <v>0</v>
      </c>
      <c r="AC306" s="453">
        <v>0</v>
      </c>
      <c r="AD306" s="14">
        <v>0</v>
      </c>
      <c r="AE306" s="14">
        <v>0</v>
      </c>
      <c r="AF306" s="14">
        <v>0</v>
      </c>
      <c r="AG306" s="14">
        <v>0</v>
      </c>
      <c r="AH306" s="14">
        <v>0</v>
      </c>
      <c r="AI306" s="14">
        <v>0</v>
      </c>
      <c r="AJ306" s="14">
        <v>0</v>
      </c>
      <c r="AK306" s="14">
        <v>0</v>
      </c>
      <c r="AL306" s="14">
        <v>0</v>
      </c>
      <c r="AM306" s="453">
        <v>0</v>
      </c>
      <c r="AN306" s="453">
        <v>0</v>
      </c>
      <c r="AO306" s="453">
        <v>0</v>
      </c>
      <c r="AP306" s="453">
        <v>0</v>
      </c>
      <c r="AQ306" s="453">
        <v>0</v>
      </c>
      <c r="AR306" s="453">
        <v>0</v>
      </c>
      <c r="AS306" s="453">
        <v>0</v>
      </c>
      <c r="AT306" s="453">
        <v>0</v>
      </c>
      <c r="AU306" s="453">
        <v>0</v>
      </c>
      <c r="AV306" s="453">
        <v>0</v>
      </c>
      <c r="AW306" s="453">
        <v>0</v>
      </c>
      <c r="AX306" s="453">
        <v>0</v>
      </c>
      <c r="AY306" s="453">
        <v>0</v>
      </c>
      <c r="AZ306" s="453">
        <v>0</v>
      </c>
      <c r="BA306" s="453">
        <v>0</v>
      </c>
      <c r="BB306" s="453">
        <v>0</v>
      </c>
      <c r="BC306" s="453">
        <v>0</v>
      </c>
      <c r="BD306" s="453">
        <v>0</v>
      </c>
      <c r="BE306" s="105">
        <v>0</v>
      </c>
      <c r="BF306" s="453">
        <v>0</v>
      </c>
      <c r="BG306" s="453">
        <v>0</v>
      </c>
      <c r="BH306" s="105">
        <v>0</v>
      </c>
      <c r="BI306" s="453">
        <v>0</v>
      </c>
      <c r="BJ306" s="453">
        <v>0</v>
      </c>
      <c r="BK306" s="105">
        <v>0</v>
      </c>
      <c r="BL306" s="453">
        <v>0</v>
      </c>
      <c r="BM306" s="453">
        <v>0</v>
      </c>
      <c r="BN306" s="453">
        <v>0</v>
      </c>
      <c r="BO306" s="453">
        <v>0</v>
      </c>
      <c r="BP306" s="453">
        <v>0</v>
      </c>
      <c r="BQ306" s="453">
        <v>0</v>
      </c>
      <c r="BR306" s="14">
        <v>0</v>
      </c>
      <c r="BS306" s="14">
        <v>0</v>
      </c>
      <c r="BT306" s="377" t="str">
        <v/>
      </c>
      <c r="BU306" s="105" t="str">
        <v/>
      </c>
      <c r="BV306" s="453" t="str">
        <v/>
      </c>
      <c r="BW306" s="105" t="str">
        <f ca="1"/>
        <v/>
      </c>
    </row>
    <row r="307" spans="1:75" x14ac:dyDescent="0.3">
      <c r="A307" s="1">
        <v>0</v>
      </c>
      <c r="B307" s="106">
        <v>0</v>
      </c>
      <c r="C307" s="14">
        <v>0</v>
      </c>
      <c r="D307" s="14">
        <v>0</v>
      </c>
      <c r="E307" s="14">
        <v>0</v>
      </c>
      <c r="F307" s="453">
        <v>0</v>
      </c>
      <c r="G307" s="377">
        <v>0</v>
      </c>
      <c r="H307" s="453">
        <v>0</v>
      </c>
      <c r="I307" s="453">
        <v>0</v>
      </c>
      <c r="J307" s="453">
        <v>0</v>
      </c>
      <c r="K307" s="453">
        <v>0</v>
      </c>
      <c r="L307" s="453">
        <v>0</v>
      </c>
      <c r="M307" s="453">
        <v>0</v>
      </c>
      <c r="N307" s="453">
        <v>0</v>
      </c>
      <c r="O307" s="453">
        <v>0</v>
      </c>
      <c r="P307" s="14">
        <v>0</v>
      </c>
      <c r="Q307" s="14">
        <v>0</v>
      </c>
      <c r="R307" s="453">
        <v>0</v>
      </c>
      <c r="S307" s="453">
        <v>0</v>
      </c>
      <c r="T307" s="453">
        <v>0</v>
      </c>
      <c r="U307" s="453">
        <v>0</v>
      </c>
      <c r="V307" s="453">
        <v>0</v>
      </c>
      <c r="W307" s="453">
        <v>0</v>
      </c>
      <c r="X307" s="453">
        <v>0</v>
      </c>
      <c r="Y307" s="453">
        <v>0</v>
      </c>
      <c r="Z307" s="453">
        <v>0</v>
      </c>
      <c r="AA307" s="14">
        <v>0</v>
      </c>
      <c r="AB307" s="14">
        <v>0</v>
      </c>
      <c r="AC307" s="453">
        <v>0</v>
      </c>
      <c r="AD307" s="14">
        <v>0</v>
      </c>
      <c r="AE307" s="14">
        <v>0</v>
      </c>
      <c r="AF307" s="14">
        <v>0</v>
      </c>
      <c r="AG307" s="14">
        <v>0</v>
      </c>
      <c r="AH307" s="14">
        <v>0</v>
      </c>
      <c r="AI307" s="14">
        <v>0</v>
      </c>
      <c r="AJ307" s="14">
        <v>0</v>
      </c>
      <c r="AK307" s="14">
        <v>0</v>
      </c>
      <c r="AL307" s="14">
        <v>0</v>
      </c>
      <c r="AM307" s="453">
        <v>0</v>
      </c>
      <c r="AN307" s="453">
        <v>0</v>
      </c>
      <c r="AO307" s="453">
        <v>0</v>
      </c>
      <c r="AP307" s="453">
        <v>0</v>
      </c>
      <c r="AQ307" s="453">
        <v>0</v>
      </c>
      <c r="AR307" s="453">
        <v>0</v>
      </c>
      <c r="AS307" s="453">
        <v>0</v>
      </c>
      <c r="AT307" s="453">
        <v>0</v>
      </c>
      <c r="AU307" s="453">
        <v>0</v>
      </c>
      <c r="AV307" s="453">
        <v>0</v>
      </c>
      <c r="AW307" s="453">
        <v>0</v>
      </c>
      <c r="AX307" s="453">
        <v>0</v>
      </c>
      <c r="AY307" s="453">
        <v>0</v>
      </c>
      <c r="AZ307" s="453">
        <v>0</v>
      </c>
      <c r="BA307" s="453">
        <v>0</v>
      </c>
      <c r="BB307" s="453">
        <v>0</v>
      </c>
      <c r="BC307" s="453">
        <v>0</v>
      </c>
      <c r="BD307" s="453">
        <v>0</v>
      </c>
      <c r="BE307" s="105">
        <v>0</v>
      </c>
      <c r="BF307" s="453">
        <v>0</v>
      </c>
      <c r="BG307" s="453">
        <v>0</v>
      </c>
      <c r="BH307" s="105">
        <v>0</v>
      </c>
      <c r="BI307" s="453">
        <v>0</v>
      </c>
      <c r="BJ307" s="453">
        <v>0</v>
      </c>
      <c r="BK307" s="105">
        <v>0</v>
      </c>
      <c r="BL307" s="453">
        <v>0</v>
      </c>
      <c r="BM307" s="453">
        <v>0</v>
      </c>
      <c r="BN307" s="453">
        <v>0</v>
      </c>
      <c r="BO307" s="453">
        <v>0</v>
      </c>
      <c r="BP307" s="453">
        <v>0</v>
      </c>
      <c r="BQ307" s="453">
        <v>0</v>
      </c>
      <c r="BR307" s="14">
        <v>0</v>
      </c>
      <c r="BS307" s="14">
        <v>0</v>
      </c>
      <c r="BT307" s="377" t="str">
        <v/>
      </c>
      <c r="BU307" s="105" t="str">
        <v/>
      </c>
      <c r="BV307" s="453" t="str">
        <v/>
      </c>
      <c r="BW307" s="105" t="str">
        <f ca="1"/>
        <v/>
      </c>
    </row>
    <row r="308" spans="1:75" x14ac:dyDescent="0.3">
      <c r="A308" s="1">
        <v>0</v>
      </c>
      <c r="B308" s="106">
        <v>0</v>
      </c>
      <c r="C308" s="14">
        <v>0</v>
      </c>
      <c r="D308" s="14">
        <v>0</v>
      </c>
      <c r="E308" s="14">
        <v>0</v>
      </c>
      <c r="F308" s="453">
        <v>0</v>
      </c>
      <c r="G308" s="377">
        <v>0</v>
      </c>
      <c r="H308" s="453">
        <v>0</v>
      </c>
      <c r="I308" s="453">
        <v>0</v>
      </c>
      <c r="J308" s="453">
        <v>0</v>
      </c>
      <c r="K308" s="453">
        <v>0</v>
      </c>
      <c r="L308" s="453">
        <v>0</v>
      </c>
      <c r="M308" s="453">
        <v>0</v>
      </c>
      <c r="N308" s="453">
        <v>0</v>
      </c>
      <c r="O308" s="453">
        <v>0</v>
      </c>
      <c r="P308" s="14">
        <v>0</v>
      </c>
      <c r="Q308" s="14">
        <v>0</v>
      </c>
      <c r="R308" s="453">
        <v>0</v>
      </c>
      <c r="S308" s="453">
        <v>0</v>
      </c>
      <c r="T308" s="453">
        <v>0</v>
      </c>
      <c r="U308" s="453">
        <v>0</v>
      </c>
      <c r="V308" s="453">
        <v>0</v>
      </c>
      <c r="W308" s="453">
        <v>0</v>
      </c>
      <c r="X308" s="453">
        <v>0</v>
      </c>
      <c r="Y308" s="453">
        <v>0</v>
      </c>
      <c r="Z308" s="453">
        <v>0</v>
      </c>
      <c r="AA308" s="14">
        <v>0</v>
      </c>
      <c r="AB308" s="14">
        <v>0</v>
      </c>
      <c r="AC308" s="453">
        <v>0</v>
      </c>
      <c r="AD308" s="14">
        <v>0</v>
      </c>
      <c r="AE308" s="14">
        <v>0</v>
      </c>
      <c r="AF308" s="14">
        <v>0</v>
      </c>
      <c r="AG308" s="14">
        <v>0</v>
      </c>
      <c r="AH308" s="14">
        <v>0</v>
      </c>
      <c r="AI308" s="14">
        <v>0</v>
      </c>
      <c r="AJ308" s="14">
        <v>0</v>
      </c>
      <c r="AK308" s="14">
        <v>0</v>
      </c>
      <c r="AL308" s="14">
        <v>0</v>
      </c>
      <c r="AM308" s="453">
        <v>0</v>
      </c>
      <c r="AN308" s="453">
        <v>0</v>
      </c>
      <c r="AO308" s="453">
        <v>0</v>
      </c>
      <c r="AP308" s="453">
        <v>0</v>
      </c>
      <c r="AQ308" s="453">
        <v>0</v>
      </c>
      <c r="AR308" s="453">
        <v>0</v>
      </c>
      <c r="AS308" s="453">
        <v>0</v>
      </c>
      <c r="AT308" s="453">
        <v>0</v>
      </c>
      <c r="AU308" s="453">
        <v>0</v>
      </c>
      <c r="AV308" s="453">
        <v>0</v>
      </c>
      <c r="AW308" s="453">
        <v>0</v>
      </c>
      <c r="AX308" s="453">
        <v>0</v>
      </c>
      <c r="AY308" s="453">
        <v>0</v>
      </c>
      <c r="AZ308" s="453">
        <v>0</v>
      </c>
      <c r="BA308" s="453">
        <v>0</v>
      </c>
      <c r="BB308" s="453">
        <v>0</v>
      </c>
      <c r="BC308" s="453">
        <v>0</v>
      </c>
      <c r="BD308" s="453">
        <v>0</v>
      </c>
      <c r="BE308" s="105">
        <v>0</v>
      </c>
      <c r="BF308" s="453">
        <v>0</v>
      </c>
      <c r="BG308" s="453">
        <v>0</v>
      </c>
      <c r="BH308" s="105">
        <v>0</v>
      </c>
      <c r="BI308" s="453">
        <v>0</v>
      </c>
      <c r="BJ308" s="453">
        <v>0</v>
      </c>
      <c r="BK308" s="105">
        <v>0</v>
      </c>
      <c r="BL308" s="453">
        <v>0</v>
      </c>
      <c r="BM308" s="453">
        <v>0</v>
      </c>
      <c r="BN308" s="453">
        <v>0</v>
      </c>
      <c r="BO308" s="453">
        <v>0</v>
      </c>
      <c r="BP308" s="453">
        <v>0</v>
      </c>
      <c r="BQ308" s="453">
        <v>0</v>
      </c>
      <c r="BR308" s="14">
        <v>0</v>
      </c>
      <c r="BS308" s="14">
        <v>0</v>
      </c>
      <c r="BT308" s="377" t="str">
        <v/>
      </c>
      <c r="BU308" s="105" t="str">
        <v/>
      </c>
      <c r="BV308" s="453" t="str">
        <v/>
      </c>
      <c r="BW308" s="105" t="str">
        <f ca="1"/>
        <v/>
      </c>
    </row>
    <row r="309" spans="1:75" x14ac:dyDescent="0.3">
      <c r="A309" s="1">
        <v>0</v>
      </c>
      <c r="B309" s="106">
        <v>0</v>
      </c>
      <c r="C309" s="14">
        <v>0</v>
      </c>
      <c r="D309" s="14">
        <v>0</v>
      </c>
      <c r="E309" s="14">
        <v>0</v>
      </c>
      <c r="F309" s="453">
        <v>0</v>
      </c>
      <c r="G309" s="377">
        <v>0</v>
      </c>
      <c r="H309" s="453">
        <v>0</v>
      </c>
      <c r="I309" s="453">
        <v>0</v>
      </c>
      <c r="J309" s="453">
        <v>0</v>
      </c>
      <c r="K309" s="453">
        <v>0</v>
      </c>
      <c r="L309" s="453">
        <v>0</v>
      </c>
      <c r="M309" s="453">
        <v>0</v>
      </c>
      <c r="N309" s="453">
        <v>0</v>
      </c>
      <c r="O309" s="453">
        <v>0</v>
      </c>
      <c r="P309" s="14">
        <v>0</v>
      </c>
      <c r="Q309" s="14">
        <v>0</v>
      </c>
      <c r="R309" s="453">
        <v>0</v>
      </c>
      <c r="S309" s="453">
        <v>0</v>
      </c>
      <c r="T309" s="453">
        <v>0</v>
      </c>
      <c r="U309" s="453">
        <v>0</v>
      </c>
      <c r="V309" s="453">
        <v>0</v>
      </c>
      <c r="W309" s="453">
        <v>0</v>
      </c>
      <c r="X309" s="453">
        <v>0</v>
      </c>
      <c r="Y309" s="453">
        <v>0</v>
      </c>
      <c r="Z309" s="453">
        <v>0</v>
      </c>
      <c r="AA309" s="14">
        <v>0</v>
      </c>
      <c r="AB309" s="14">
        <v>0</v>
      </c>
      <c r="AC309" s="453">
        <v>0</v>
      </c>
      <c r="AD309" s="14">
        <v>0</v>
      </c>
      <c r="AE309" s="14">
        <v>0</v>
      </c>
      <c r="AF309" s="14">
        <v>0</v>
      </c>
      <c r="AG309" s="14">
        <v>0</v>
      </c>
      <c r="AH309" s="14">
        <v>0</v>
      </c>
      <c r="AI309" s="14">
        <v>0</v>
      </c>
      <c r="AJ309" s="14">
        <v>0</v>
      </c>
      <c r="AK309" s="14">
        <v>0</v>
      </c>
      <c r="AL309" s="14">
        <v>0</v>
      </c>
      <c r="AM309" s="453">
        <v>0</v>
      </c>
      <c r="AN309" s="453">
        <v>0</v>
      </c>
      <c r="AO309" s="453">
        <v>0</v>
      </c>
      <c r="AP309" s="453">
        <v>0</v>
      </c>
      <c r="AQ309" s="453">
        <v>0</v>
      </c>
      <c r="AR309" s="453">
        <v>0</v>
      </c>
      <c r="AS309" s="453">
        <v>0</v>
      </c>
      <c r="AT309" s="453">
        <v>0</v>
      </c>
      <c r="AU309" s="453">
        <v>0</v>
      </c>
      <c r="AV309" s="453">
        <v>0</v>
      </c>
      <c r="AW309" s="453">
        <v>0</v>
      </c>
      <c r="AX309" s="453">
        <v>0</v>
      </c>
      <c r="AY309" s="453">
        <v>0</v>
      </c>
      <c r="AZ309" s="453">
        <v>0</v>
      </c>
      <c r="BA309" s="453">
        <v>0</v>
      </c>
      <c r="BB309" s="453">
        <v>0</v>
      </c>
      <c r="BC309" s="453">
        <v>0</v>
      </c>
      <c r="BD309" s="453">
        <v>0</v>
      </c>
      <c r="BE309" s="105">
        <v>0</v>
      </c>
      <c r="BF309" s="453">
        <v>0</v>
      </c>
      <c r="BG309" s="453">
        <v>0</v>
      </c>
      <c r="BH309" s="105">
        <v>0</v>
      </c>
      <c r="BI309" s="453">
        <v>0</v>
      </c>
      <c r="BJ309" s="453">
        <v>0</v>
      </c>
      <c r="BK309" s="105">
        <v>0</v>
      </c>
      <c r="BL309" s="453">
        <v>0</v>
      </c>
      <c r="BM309" s="453">
        <v>0</v>
      </c>
      <c r="BN309" s="453">
        <v>0</v>
      </c>
      <c r="BO309" s="453">
        <v>0</v>
      </c>
      <c r="BP309" s="453">
        <v>0</v>
      </c>
      <c r="BQ309" s="453">
        <v>0</v>
      </c>
      <c r="BR309" s="14">
        <v>0</v>
      </c>
      <c r="BS309" s="14">
        <v>0</v>
      </c>
      <c r="BT309" s="377" t="str">
        <v/>
      </c>
      <c r="BU309" s="105" t="str">
        <v/>
      </c>
      <c r="BV309" s="453" t="str">
        <v/>
      </c>
      <c r="BW309" s="105" t="str">
        <f ca="1"/>
        <v/>
      </c>
    </row>
    <row r="310" spans="1:75" x14ac:dyDescent="0.3">
      <c r="A310" s="1">
        <v>0</v>
      </c>
      <c r="B310" s="106">
        <v>0</v>
      </c>
      <c r="C310" s="14">
        <v>0</v>
      </c>
      <c r="D310" s="14">
        <v>0</v>
      </c>
      <c r="E310" s="14">
        <v>0</v>
      </c>
      <c r="F310" s="453">
        <v>0</v>
      </c>
      <c r="G310" s="377">
        <v>0</v>
      </c>
      <c r="H310" s="453">
        <v>0</v>
      </c>
      <c r="I310" s="453">
        <v>0</v>
      </c>
      <c r="J310" s="453">
        <v>0</v>
      </c>
      <c r="K310" s="453">
        <v>0</v>
      </c>
      <c r="L310" s="453">
        <v>0</v>
      </c>
      <c r="M310" s="453">
        <v>0</v>
      </c>
      <c r="N310" s="453">
        <v>0</v>
      </c>
      <c r="O310" s="453">
        <v>0</v>
      </c>
      <c r="P310" s="14">
        <v>0</v>
      </c>
      <c r="Q310" s="14">
        <v>0</v>
      </c>
      <c r="R310" s="453">
        <v>0</v>
      </c>
      <c r="S310" s="453">
        <v>0</v>
      </c>
      <c r="T310" s="453">
        <v>0</v>
      </c>
      <c r="U310" s="453">
        <v>0</v>
      </c>
      <c r="V310" s="453">
        <v>0</v>
      </c>
      <c r="W310" s="453">
        <v>0</v>
      </c>
      <c r="X310" s="453">
        <v>0</v>
      </c>
      <c r="Y310" s="453">
        <v>0</v>
      </c>
      <c r="Z310" s="453">
        <v>0</v>
      </c>
      <c r="AA310" s="14">
        <v>0</v>
      </c>
      <c r="AB310" s="14">
        <v>0</v>
      </c>
      <c r="AC310" s="453">
        <v>0</v>
      </c>
      <c r="AD310" s="14">
        <v>0</v>
      </c>
      <c r="AE310" s="14">
        <v>0</v>
      </c>
      <c r="AF310" s="14">
        <v>0</v>
      </c>
      <c r="AG310" s="14">
        <v>0</v>
      </c>
      <c r="AH310" s="14">
        <v>0</v>
      </c>
      <c r="AI310" s="14">
        <v>0</v>
      </c>
      <c r="AJ310" s="14">
        <v>0</v>
      </c>
      <c r="AK310" s="14">
        <v>0</v>
      </c>
      <c r="AL310" s="14">
        <v>0</v>
      </c>
      <c r="AM310" s="453">
        <v>0</v>
      </c>
      <c r="AN310" s="453">
        <v>0</v>
      </c>
      <c r="AO310" s="453">
        <v>0</v>
      </c>
      <c r="AP310" s="453">
        <v>0</v>
      </c>
      <c r="AQ310" s="453">
        <v>0</v>
      </c>
      <c r="AR310" s="453">
        <v>0</v>
      </c>
      <c r="AS310" s="453">
        <v>0</v>
      </c>
      <c r="AT310" s="453">
        <v>0</v>
      </c>
      <c r="AU310" s="453">
        <v>0</v>
      </c>
      <c r="AV310" s="453">
        <v>0</v>
      </c>
      <c r="AW310" s="453">
        <v>0</v>
      </c>
      <c r="AX310" s="453">
        <v>0</v>
      </c>
      <c r="AY310" s="453">
        <v>0</v>
      </c>
      <c r="AZ310" s="453">
        <v>0</v>
      </c>
      <c r="BA310" s="453">
        <v>0</v>
      </c>
      <c r="BB310" s="453">
        <v>0</v>
      </c>
      <c r="BC310" s="453">
        <v>0</v>
      </c>
      <c r="BD310" s="453">
        <v>0</v>
      </c>
      <c r="BE310" s="105">
        <v>0</v>
      </c>
      <c r="BF310" s="453">
        <v>0</v>
      </c>
      <c r="BG310" s="453">
        <v>0</v>
      </c>
      <c r="BH310" s="105">
        <v>0</v>
      </c>
      <c r="BI310" s="453">
        <v>0</v>
      </c>
      <c r="BJ310" s="453">
        <v>0</v>
      </c>
      <c r="BK310" s="105">
        <v>0</v>
      </c>
      <c r="BL310" s="453">
        <v>0</v>
      </c>
      <c r="BM310" s="453">
        <v>0</v>
      </c>
      <c r="BN310" s="453">
        <v>0</v>
      </c>
      <c r="BO310" s="453">
        <v>0</v>
      </c>
      <c r="BP310" s="453">
        <v>0</v>
      </c>
      <c r="BQ310" s="453">
        <v>0</v>
      </c>
      <c r="BR310" s="14">
        <v>0</v>
      </c>
      <c r="BS310" s="14">
        <v>0</v>
      </c>
      <c r="BT310" s="377" t="str">
        <v/>
      </c>
      <c r="BU310" s="105" t="str">
        <v/>
      </c>
      <c r="BV310" s="453" t="str">
        <v/>
      </c>
      <c r="BW310" s="105" t="str">
        <f ca="1"/>
        <v/>
      </c>
    </row>
    <row r="311" spans="1:75" x14ac:dyDescent="0.3">
      <c r="A311" s="1">
        <v>0</v>
      </c>
      <c r="B311" s="106">
        <v>0</v>
      </c>
      <c r="C311" s="14">
        <v>0</v>
      </c>
      <c r="D311" s="14">
        <v>0</v>
      </c>
      <c r="E311" s="14">
        <v>0</v>
      </c>
      <c r="F311" s="453">
        <v>0</v>
      </c>
      <c r="G311" s="377">
        <v>0</v>
      </c>
      <c r="H311" s="453">
        <v>0</v>
      </c>
      <c r="I311" s="453">
        <v>0</v>
      </c>
      <c r="J311" s="453">
        <v>0</v>
      </c>
      <c r="K311" s="453">
        <v>0</v>
      </c>
      <c r="L311" s="453">
        <v>0</v>
      </c>
      <c r="M311" s="453">
        <v>0</v>
      </c>
      <c r="N311" s="453">
        <v>0</v>
      </c>
      <c r="O311" s="453">
        <v>0</v>
      </c>
      <c r="P311" s="14">
        <v>0</v>
      </c>
      <c r="Q311" s="14">
        <v>0</v>
      </c>
      <c r="R311" s="453">
        <v>0</v>
      </c>
      <c r="S311" s="453">
        <v>0</v>
      </c>
      <c r="T311" s="453">
        <v>0</v>
      </c>
      <c r="U311" s="453">
        <v>0</v>
      </c>
      <c r="V311" s="453">
        <v>0</v>
      </c>
      <c r="W311" s="453">
        <v>0</v>
      </c>
      <c r="X311" s="453">
        <v>0</v>
      </c>
      <c r="Y311" s="453">
        <v>0</v>
      </c>
      <c r="Z311" s="453">
        <v>0</v>
      </c>
      <c r="AA311" s="14">
        <v>0</v>
      </c>
      <c r="AB311" s="14">
        <v>0</v>
      </c>
      <c r="AC311" s="453">
        <v>0</v>
      </c>
      <c r="AD311" s="14">
        <v>0</v>
      </c>
      <c r="AE311" s="14">
        <v>0</v>
      </c>
      <c r="AF311" s="14">
        <v>0</v>
      </c>
      <c r="AG311" s="14">
        <v>0</v>
      </c>
      <c r="AH311" s="14">
        <v>0</v>
      </c>
      <c r="AI311" s="14">
        <v>0</v>
      </c>
      <c r="AJ311" s="14">
        <v>0</v>
      </c>
      <c r="AK311" s="14">
        <v>0</v>
      </c>
      <c r="AL311" s="14">
        <v>0</v>
      </c>
      <c r="AM311" s="453">
        <v>0</v>
      </c>
      <c r="AN311" s="453">
        <v>0</v>
      </c>
      <c r="AO311" s="453">
        <v>0</v>
      </c>
      <c r="AP311" s="453">
        <v>0</v>
      </c>
      <c r="AQ311" s="453">
        <v>0</v>
      </c>
      <c r="AR311" s="453">
        <v>0</v>
      </c>
      <c r="AS311" s="453">
        <v>0</v>
      </c>
      <c r="AT311" s="453">
        <v>0</v>
      </c>
      <c r="AU311" s="453">
        <v>0</v>
      </c>
      <c r="AV311" s="453">
        <v>0</v>
      </c>
      <c r="AW311" s="453">
        <v>0</v>
      </c>
      <c r="AX311" s="453">
        <v>0</v>
      </c>
      <c r="AY311" s="453">
        <v>0</v>
      </c>
      <c r="AZ311" s="453">
        <v>0</v>
      </c>
      <c r="BA311" s="453">
        <v>0</v>
      </c>
      <c r="BB311" s="453">
        <v>0</v>
      </c>
      <c r="BC311" s="453">
        <v>0</v>
      </c>
      <c r="BD311" s="453">
        <v>0</v>
      </c>
      <c r="BE311" s="105">
        <v>0</v>
      </c>
      <c r="BF311" s="453">
        <v>0</v>
      </c>
      <c r="BG311" s="453">
        <v>0</v>
      </c>
      <c r="BH311" s="105">
        <v>0</v>
      </c>
      <c r="BI311" s="453">
        <v>0</v>
      </c>
      <c r="BJ311" s="453">
        <v>0</v>
      </c>
      <c r="BK311" s="105">
        <v>0</v>
      </c>
      <c r="BL311" s="453">
        <v>0</v>
      </c>
      <c r="BM311" s="453">
        <v>0</v>
      </c>
      <c r="BN311" s="453">
        <v>0</v>
      </c>
      <c r="BO311" s="453">
        <v>0</v>
      </c>
      <c r="BP311" s="453">
        <v>0</v>
      </c>
      <c r="BQ311" s="453">
        <v>0</v>
      </c>
      <c r="BR311" s="14">
        <v>0</v>
      </c>
      <c r="BS311" s="14">
        <v>0</v>
      </c>
      <c r="BT311" s="377" t="str">
        <v/>
      </c>
      <c r="BU311" s="105" t="str">
        <v/>
      </c>
      <c r="BV311" s="453" t="str">
        <v/>
      </c>
      <c r="BW311" s="105" t="str">
        <f ca="1"/>
        <v/>
      </c>
    </row>
    <row r="312" spans="1:75" x14ac:dyDescent="0.3">
      <c r="A312" s="1">
        <v>0</v>
      </c>
      <c r="B312" s="106">
        <v>0</v>
      </c>
      <c r="C312" s="14">
        <v>0</v>
      </c>
      <c r="D312" s="14">
        <v>0</v>
      </c>
      <c r="E312" s="14">
        <v>0</v>
      </c>
      <c r="F312" s="453">
        <v>0</v>
      </c>
      <c r="G312" s="377">
        <v>0</v>
      </c>
      <c r="H312" s="453">
        <v>0</v>
      </c>
      <c r="I312" s="453">
        <v>0</v>
      </c>
      <c r="J312" s="453">
        <v>0</v>
      </c>
      <c r="K312" s="453">
        <v>0</v>
      </c>
      <c r="L312" s="453">
        <v>0</v>
      </c>
      <c r="M312" s="453">
        <v>0</v>
      </c>
      <c r="N312" s="453">
        <v>0</v>
      </c>
      <c r="O312" s="453">
        <v>0</v>
      </c>
      <c r="P312" s="14">
        <v>0</v>
      </c>
      <c r="Q312" s="14">
        <v>0</v>
      </c>
      <c r="R312" s="453">
        <v>0</v>
      </c>
      <c r="S312" s="453">
        <v>0</v>
      </c>
      <c r="T312" s="453">
        <v>0</v>
      </c>
      <c r="U312" s="453">
        <v>0</v>
      </c>
      <c r="V312" s="453">
        <v>0</v>
      </c>
      <c r="W312" s="453">
        <v>0</v>
      </c>
      <c r="X312" s="453">
        <v>0</v>
      </c>
      <c r="Y312" s="453">
        <v>0</v>
      </c>
      <c r="Z312" s="453">
        <v>0</v>
      </c>
      <c r="AA312" s="14">
        <v>0</v>
      </c>
      <c r="AB312" s="14">
        <v>0</v>
      </c>
      <c r="AC312" s="453">
        <v>0</v>
      </c>
      <c r="AD312" s="14">
        <v>0</v>
      </c>
      <c r="AE312" s="14">
        <v>0</v>
      </c>
      <c r="AF312" s="14">
        <v>0</v>
      </c>
      <c r="AG312" s="14">
        <v>0</v>
      </c>
      <c r="AH312" s="14">
        <v>0</v>
      </c>
      <c r="AI312" s="14">
        <v>0</v>
      </c>
      <c r="AJ312" s="14">
        <v>0</v>
      </c>
      <c r="AK312" s="14">
        <v>0</v>
      </c>
      <c r="AL312" s="14">
        <v>0</v>
      </c>
      <c r="AM312" s="453">
        <v>0</v>
      </c>
      <c r="AN312" s="453">
        <v>0</v>
      </c>
      <c r="AO312" s="453">
        <v>0</v>
      </c>
      <c r="AP312" s="453">
        <v>0</v>
      </c>
      <c r="AQ312" s="453">
        <v>0</v>
      </c>
      <c r="AR312" s="453">
        <v>0</v>
      </c>
      <c r="AS312" s="453">
        <v>0</v>
      </c>
      <c r="AT312" s="453">
        <v>0</v>
      </c>
      <c r="AU312" s="453">
        <v>0</v>
      </c>
      <c r="AV312" s="453">
        <v>0</v>
      </c>
      <c r="AW312" s="453">
        <v>0</v>
      </c>
      <c r="AX312" s="453">
        <v>0</v>
      </c>
      <c r="AY312" s="453">
        <v>0</v>
      </c>
      <c r="AZ312" s="453">
        <v>0</v>
      </c>
      <c r="BA312" s="453">
        <v>0</v>
      </c>
      <c r="BB312" s="453">
        <v>0</v>
      </c>
      <c r="BC312" s="453">
        <v>0</v>
      </c>
      <c r="BD312" s="453">
        <v>0</v>
      </c>
      <c r="BE312" s="105">
        <v>0</v>
      </c>
      <c r="BF312" s="453">
        <v>0</v>
      </c>
      <c r="BG312" s="453">
        <v>0</v>
      </c>
      <c r="BH312" s="105">
        <v>0</v>
      </c>
      <c r="BI312" s="453">
        <v>0</v>
      </c>
      <c r="BJ312" s="453">
        <v>0</v>
      </c>
      <c r="BK312" s="105">
        <v>0</v>
      </c>
      <c r="BL312" s="453">
        <v>0</v>
      </c>
      <c r="BM312" s="453">
        <v>0</v>
      </c>
      <c r="BN312" s="453">
        <v>0</v>
      </c>
      <c r="BO312" s="453">
        <v>0</v>
      </c>
      <c r="BP312" s="453">
        <v>0</v>
      </c>
      <c r="BQ312" s="453">
        <v>0</v>
      </c>
      <c r="BR312" s="14">
        <v>0</v>
      </c>
      <c r="BS312" s="14">
        <v>0</v>
      </c>
      <c r="BT312" s="377" t="str">
        <v/>
      </c>
      <c r="BU312" s="105" t="str">
        <v/>
      </c>
      <c r="BV312" s="453" t="str">
        <v/>
      </c>
      <c r="BW312" s="105" t="str">
        <f ca="1"/>
        <v/>
      </c>
    </row>
    <row r="313" spans="1:75" x14ac:dyDescent="0.3">
      <c r="A313" s="1">
        <v>0</v>
      </c>
      <c r="B313" s="106">
        <v>0</v>
      </c>
      <c r="C313" s="14">
        <v>0</v>
      </c>
      <c r="D313" s="14">
        <v>0</v>
      </c>
      <c r="E313" s="14">
        <v>0</v>
      </c>
      <c r="F313" s="453">
        <v>0</v>
      </c>
      <c r="G313" s="377">
        <v>0</v>
      </c>
      <c r="H313" s="453">
        <v>0</v>
      </c>
      <c r="I313" s="453">
        <v>0</v>
      </c>
      <c r="J313" s="453">
        <v>0</v>
      </c>
      <c r="K313" s="453">
        <v>0</v>
      </c>
      <c r="L313" s="453">
        <v>0</v>
      </c>
      <c r="M313" s="453">
        <v>0</v>
      </c>
      <c r="N313" s="453">
        <v>0</v>
      </c>
      <c r="O313" s="453">
        <v>0</v>
      </c>
      <c r="P313" s="14">
        <v>0</v>
      </c>
      <c r="Q313" s="14">
        <v>0</v>
      </c>
      <c r="R313" s="453">
        <v>0</v>
      </c>
      <c r="S313" s="453">
        <v>0</v>
      </c>
      <c r="T313" s="453">
        <v>0</v>
      </c>
      <c r="U313" s="453">
        <v>0</v>
      </c>
      <c r="V313" s="453">
        <v>0</v>
      </c>
      <c r="W313" s="453">
        <v>0</v>
      </c>
      <c r="X313" s="453">
        <v>0</v>
      </c>
      <c r="Y313" s="453">
        <v>0</v>
      </c>
      <c r="Z313" s="453">
        <v>0</v>
      </c>
      <c r="AA313" s="14">
        <v>0</v>
      </c>
      <c r="AB313" s="14">
        <v>0</v>
      </c>
      <c r="AC313" s="453">
        <v>0</v>
      </c>
      <c r="AD313" s="14">
        <v>0</v>
      </c>
      <c r="AE313" s="14">
        <v>0</v>
      </c>
      <c r="AF313" s="14">
        <v>0</v>
      </c>
      <c r="AG313" s="14">
        <v>0</v>
      </c>
      <c r="AH313" s="14">
        <v>0</v>
      </c>
      <c r="AI313" s="14">
        <v>0</v>
      </c>
      <c r="AJ313" s="14">
        <v>0</v>
      </c>
      <c r="AK313" s="14">
        <v>0</v>
      </c>
      <c r="AL313" s="14">
        <v>0</v>
      </c>
      <c r="AM313" s="453">
        <v>0</v>
      </c>
      <c r="AN313" s="453">
        <v>0</v>
      </c>
      <c r="AO313" s="453">
        <v>0</v>
      </c>
      <c r="AP313" s="453">
        <v>0</v>
      </c>
      <c r="AQ313" s="453">
        <v>0</v>
      </c>
      <c r="AR313" s="453">
        <v>0</v>
      </c>
      <c r="AS313" s="453">
        <v>0</v>
      </c>
      <c r="AT313" s="453">
        <v>0</v>
      </c>
      <c r="AU313" s="453">
        <v>0</v>
      </c>
      <c r="AV313" s="453">
        <v>0</v>
      </c>
      <c r="AW313" s="453">
        <v>0</v>
      </c>
      <c r="AX313" s="453">
        <v>0</v>
      </c>
      <c r="AY313" s="453">
        <v>0</v>
      </c>
      <c r="AZ313" s="453">
        <v>0</v>
      </c>
      <c r="BA313" s="453">
        <v>0</v>
      </c>
      <c r="BB313" s="453">
        <v>0</v>
      </c>
      <c r="BC313" s="453">
        <v>0</v>
      </c>
      <c r="BD313" s="453">
        <v>0</v>
      </c>
      <c r="BE313" s="105">
        <v>0</v>
      </c>
      <c r="BF313" s="453">
        <v>0</v>
      </c>
      <c r="BG313" s="453">
        <v>0</v>
      </c>
      <c r="BH313" s="105">
        <v>0</v>
      </c>
      <c r="BI313" s="453">
        <v>0</v>
      </c>
      <c r="BJ313" s="453">
        <v>0</v>
      </c>
      <c r="BK313" s="105">
        <v>0</v>
      </c>
      <c r="BL313" s="453">
        <v>0</v>
      </c>
      <c r="BM313" s="453">
        <v>0</v>
      </c>
      <c r="BN313" s="453">
        <v>0</v>
      </c>
      <c r="BO313" s="453">
        <v>0</v>
      </c>
      <c r="BP313" s="453">
        <v>0</v>
      </c>
      <c r="BQ313" s="453">
        <v>0</v>
      </c>
      <c r="BR313" s="14">
        <v>0</v>
      </c>
      <c r="BS313" s="14">
        <v>0</v>
      </c>
      <c r="BT313" s="377" t="str">
        <v/>
      </c>
      <c r="BU313" s="105" t="str">
        <v/>
      </c>
      <c r="BV313" s="453" t="str">
        <v/>
      </c>
      <c r="BW313" s="105" t="str">
        <f ca="1"/>
        <v/>
      </c>
    </row>
    <row r="314" spans="1:75" x14ac:dyDescent="0.3">
      <c r="A314" s="1">
        <v>0</v>
      </c>
      <c r="B314" s="106">
        <v>0</v>
      </c>
      <c r="C314" s="14">
        <v>0</v>
      </c>
      <c r="D314" s="14">
        <v>0</v>
      </c>
      <c r="E314" s="14">
        <v>0</v>
      </c>
      <c r="F314" s="453">
        <v>0</v>
      </c>
      <c r="G314" s="377">
        <v>0</v>
      </c>
      <c r="H314" s="453">
        <v>0</v>
      </c>
      <c r="I314" s="453">
        <v>0</v>
      </c>
      <c r="J314" s="453">
        <v>0</v>
      </c>
      <c r="K314" s="453">
        <v>0</v>
      </c>
      <c r="L314" s="453">
        <v>0</v>
      </c>
      <c r="M314" s="453">
        <v>0</v>
      </c>
      <c r="N314" s="453">
        <v>0</v>
      </c>
      <c r="O314" s="453">
        <v>0</v>
      </c>
      <c r="P314" s="14">
        <v>0</v>
      </c>
      <c r="Q314" s="14">
        <v>0</v>
      </c>
      <c r="R314" s="453">
        <v>0</v>
      </c>
      <c r="S314" s="453">
        <v>0</v>
      </c>
      <c r="T314" s="453">
        <v>0</v>
      </c>
      <c r="U314" s="453">
        <v>0</v>
      </c>
      <c r="V314" s="453">
        <v>0</v>
      </c>
      <c r="W314" s="453">
        <v>0</v>
      </c>
      <c r="X314" s="453">
        <v>0</v>
      </c>
      <c r="Y314" s="453">
        <v>0</v>
      </c>
      <c r="Z314" s="453">
        <v>0</v>
      </c>
      <c r="AA314" s="14">
        <v>0</v>
      </c>
      <c r="AB314" s="14">
        <v>0</v>
      </c>
      <c r="AC314" s="453">
        <v>0</v>
      </c>
      <c r="AD314" s="14">
        <v>0</v>
      </c>
      <c r="AE314" s="14">
        <v>0</v>
      </c>
      <c r="AF314" s="14">
        <v>0</v>
      </c>
      <c r="AG314" s="14">
        <v>0</v>
      </c>
      <c r="AH314" s="14">
        <v>0</v>
      </c>
      <c r="AI314" s="14">
        <v>0</v>
      </c>
      <c r="AJ314" s="14">
        <v>0</v>
      </c>
      <c r="AK314" s="14">
        <v>0</v>
      </c>
      <c r="AL314" s="14">
        <v>0</v>
      </c>
      <c r="AM314" s="453">
        <v>0</v>
      </c>
      <c r="AN314" s="453">
        <v>0</v>
      </c>
      <c r="AO314" s="453">
        <v>0</v>
      </c>
      <c r="AP314" s="453">
        <v>0</v>
      </c>
      <c r="AQ314" s="453">
        <v>0</v>
      </c>
      <c r="AR314" s="453">
        <v>0</v>
      </c>
      <c r="AS314" s="453">
        <v>0</v>
      </c>
      <c r="AT314" s="453">
        <v>0</v>
      </c>
      <c r="AU314" s="453">
        <v>0</v>
      </c>
      <c r="AV314" s="453">
        <v>0</v>
      </c>
      <c r="AW314" s="453">
        <v>0</v>
      </c>
      <c r="AX314" s="453">
        <v>0</v>
      </c>
      <c r="AY314" s="453">
        <v>0</v>
      </c>
      <c r="AZ314" s="453">
        <v>0</v>
      </c>
      <c r="BA314" s="453">
        <v>0</v>
      </c>
      <c r="BB314" s="453">
        <v>0</v>
      </c>
      <c r="BC314" s="453">
        <v>0</v>
      </c>
      <c r="BD314" s="453">
        <v>0</v>
      </c>
      <c r="BE314" s="105">
        <v>0</v>
      </c>
      <c r="BF314" s="453">
        <v>0</v>
      </c>
      <c r="BG314" s="453">
        <v>0</v>
      </c>
      <c r="BH314" s="105">
        <v>0</v>
      </c>
      <c r="BI314" s="453">
        <v>0</v>
      </c>
      <c r="BJ314" s="453">
        <v>0</v>
      </c>
      <c r="BK314" s="105">
        <v>0</v>
      </c>
      <c r="BL314" s="453">
        <v>0</v>
      </c>
      <c r="BM314" s="453">
        <v>0</v>
      </c>
      <c r="BN314" s="453">
        <v>0</v>
      </c>
      <c r="BO314" s="453">
        <v>0</v>
      </c>
      <c r="BP314" s="453">
        <v>0</v>
      </c>
      <c r="BQ314" s="453">
        <v>0</v>
      </c>
      <c r="BR314" s="14">
        <v>0</v>
      </c>
      <c r="BS314" s="14">
        <v>0</v>
      </c>
      <c r="BT314" s="377" t="str">
        <v/>
      </c>
      <c r="BU314" s="105" t="str">
        <v/>
      </c>
      <c r="BV314" s="453" t="str">
        <v/>
      </c>
      <c r="BW314" s="105" t="str">
        <f ca="1"/>
        <v/>
      </c>
    </row>
    <row r="315" spans="1:75" x14ac:dyDescent="0.3">
      <c r="A315" s="1">
        <v>0</v>
      </c>
      <c r="B315" s="106">
        <v>0</v>
      </c>
      <c r="C315" s="14">
        <v>0</v>
      </c>
      <c r="D315" s="14">
        <v>0</v>
      </c>
      <c r="E315" s="14">
        <v>0</v>
      </c>
      <c r="F315" s="453">
        <v>0</v>
      </c>
      <c r="G315" s="377">
        <v>0</v>
      </c>
      <c r="H315" s="453">
        <v>0</v>
      </c>
      <c r="I315" s="453">
        <v>0</v>
      </c>
      <c r="J315" s="453">
        <v>0</v>
      </c>
      <c r="K315" s="453">
        <v>0</v>
      </c>
      <c r="L315" s="453">
        <v>0</v>
      </c>
      <c r="M315" s="453">
        <v>0</v>
      </c>
      <c r="N315" s="453">
        <v>0</v>
      </c>
      <c r="O315" s="453">
        <v>0</v>
      </c>
      <c r="P315" s="14">
        <v>0</v>
      </c>
      <c r="Q315" s="14">
        <v>0</v>
      </c>
      <c r="R315" s="453">
        <v>0</v>
      </c>
      <c r="S315" s="453">
        <v>0</v>
      </c>
      <c r="T315" s="453">
        <v>0</v>
      </c>
      <c r="U315" s="453">
        <v>0</v>
      </c>
      <c r="V315" s="453">
        <v>0</v>
      </c>
      <c r="W315" s="453">
        <v>0</v>
      </c>
      <c r="X315" s="453">
        <v>0</v>
      </c>
      <c r="Y315" s="453">
        <v>0</v>
      </c>
      <c r="Z315" s="453">
        <v>0</v>
      </c>
      <c r="AA315" s="14">
        <v>0</v>
      </c>
      <c r="AB315" s="14">
        <v>0</v>
      </c>
      <c r="AC315" s="453">
        <v>0</v>
      </c>
      <c r="AD315" s="14">
        <v>0</v>
      </c>
      <c r="AE315" s="14">
        <v>0</v>
      </c>
      <c r="AF315" s="14">
        <v>0</v>
      </c>
      <c r="AG315" s="14">
        <v>0</v>
      </c>
      <c r="AH315" s="14">
        <v>0</v>
      </c>
      <c r="AI315" s="14">
        <v>0</v>
      </c>
      <c r="AJ315" s="14">
        <v>0</v>
      </c>
      <c r="AK315" s="14">
        <v>0</v>
      </c>
      <c r="AL315" s="14">
        <v>0</v>
      </c>
      <c r="AM315" s="453">
        <v>0</v>
      </c>
      <c r="AN315" s="453">
        <v>0</v>
      </c>
      <c r="AO315" s="453">
        <v>0</v>
      </c>
      <c r="AP315" s="453">
        <v>0</v>
      </c>
      <c r="AQ315" s="453">
        <v>0</v>
      </c>
      <c r="AR315" s="453">
        <v>0</v>
      </c>
      <c r="AS315" s="453">
        <v>0</v>
      </c>
      <c r="AT315" s="453">
        <v>0</v>
      </c>
      <c r="AU315" s="453">
        <v>0</v>
      </c>
      <c r="AV315" s="453">
        <v>0</v>
      </c>
      <c r="AW315" s="453">
        <v>0</v>
      </c>
      <c r="AX315" s="453">
        <v>0</v>
      </c>
      <c r="AY315" s="453">
        <v>0</v>
      </c>
      <c r="AZ315" s="453">
        <v>0</v>
      </c>
      <c r="BA315" s="453">
        <v>0</v>
      </c>
      <c r="BB315" s="453">
        <v>0</v>
      </c>
      <c r="BC315" s="453">
        <v>0</v>
      </c>
      <c r="BD315" s="453">
        <v>0</v>
      </c>
      <c r="BE315" s="105">
        <v>0</v>
      </c>
      <c r="BF315" s="453">
        <v>0</v>
      </c>
      <c r="BG315" s="453">
        <v>0</v>
      </c>
      <c r="BH315" s="105">
        <v>0</v>
      </c>
      <c r="BI315" s="453">
        <v>0</v>
      </c>
      <c r="BJ315" s="453">
        <v>0</v>
      </c>
      <c r="BK315" s="105">
        <v>0</v>
      </c>
      <c r="BL315" s="453">
        <v>0</v>
      </c>
      <c r="BM315" s="453">
        <v>0</v>
      </c>
      <c r="BN315" s="453">
        <v>0</v>
      </c>
      <c r="BO315" s="453">
        <v>0</v>
      </c>
      <c r="BP315" s="453">
        <v>0</v>
      </c>
      <c r="BQ315" s="453">
        <v>0</v>
      </c>
      <c r="BR315" s="14">
        <v>0</v>
      </c>
      <c r="BS315" s="14">
        <v>0</v>
      </c>
      <c r="BT315" s="377" t="str">
        <v/>
      </c>
      <c r="BU315" s="105" t="str">
        <v/>
      </c>
      <c r="BV315" s="453" t="str">
        <v/>
      </c>
      <c r="BW315" s="105" t="str">
        <f ca="1"/>
        <v/>
      </c>
    </row>
    <row r="316" spans="1:75" x14ac:dyDescent="0.3">
      <c r="A316" s="1">
        <v>0</v>
      </c>
      <c r="B316" s="106">
        <v>0</v>
      </c>
      <c r="C316" s="14">
        <v>0</v>
      </c>
      <c r="D316" s="14">
        <v>0</v>
      </c>
      <c r="E316" s="14">
        <v>0</v>
      </c>
      <c r="F316" s="453">
        <v>0</v>
      </c>
      <c r="G316" s="377">
        <v>0</v>
      </c>
      <c r="H316" s="453">
        <v>0</v>
      </c>
      <c r="I316" s="453">
        <v>0</v>
      </c>
      <c r="J316" s="453">
        <v>0</v>
      </c>
      <c r="K316" s="453">
        <v>0</v>
      </c>
      <c r="L316" s="453">
        <v>0</v>
      </c>
      <c r="M316" s="453">
        <v>0</v>
      </c>
      <c r="N316" s="453">
        <v>0</v>
      </c>
      <c r="O316" s="453">
        <v>0</v>
      </c>
      <c r="P316" s="14">
        <v>0</v>
      </c>
      <c r="Q316" s="14">
        <v>0</v>
      </c>
      <c r="R316" s="453">
        <v>0</v>
      </c>
      <c r="S316" s="453">
        <v>0</v>
      </c>
      <c r="T316" s="453">
        <v>0</v>
      </c>
      <c r="U316" s="453">
        <v>0</v>
      </c>
      <c r="V316" s="453">
        <v>0</v>
      </c>
      <c r="W316" s="453">
        <v>0</v>
      </c>
      <c r="X316" s="453">
        <v>0</v>
      </c>
      <c r="Y316" s="453">
        <v>0</v>
      </c>
      <c r="Z316" s="453">
        <v>0</v>
      </c>
      <c r="AA316" s="14">
        <v>0</v>
      </c>
      <c r="AB316" s="14">
        <v>0</v>
      </c>
      <c r="AC316" s="453">
        <v>0</v>
      </c>
      <c r="AD316" s="14">
        <v>0</v>
      </c>
      <c r="AE316" s="14">
        <v>0</v>
      </c>
      <c r="AF316" s="14">
        <v>0</v>
      </c>
      <c r="AG316" s="14">
        <v>0</v>
      </c>
      <c r="AH316" s="14">
        <v>0</v>
      </c>
      <c r="AI316" s="14">
        <v>0</v>
      </c>
      <c r="AJ316" s="14">
        <v>0</v>
      </c>
      <c r="AK316" s="14">
        <v>0</v>
      </c>
      <c r="AL316" s="14">
        <v>0</v>
      </c>
      <c r="AM316" s="453">
        <v>0</v>
      </c>
      <c r="AN316" s="453">
        <v>0</v>
      </c>
      <c r="AO316" s="453">
        <v>0</v>
      </c>
      <c r="AP316" s="453">
        <v>0</v>
      </c>
      <c r="AQ316" s="453">
        <v>0</v>
      </c>
      <c r="AR316" s="453">
        <v>0</v>
      </c>
      <c r="AS316" s="453">
        <v>0</v>
      </c>
      <c r="AT316" s="453">
        <v>0</v>
      </c>
      <c r="AU316" s="453">
        <v>0</v>
      </c>
      <c r="AV316" s="453">
        <v>0</v>
      </c>
      <c r="AW316" s="453">
        <v>0</v>
      </c>
      <c r="AX316" s="453">
        <v>0</v>
      </c>
      <c r="AY316" s="453">
        <v>0</v>
      </c>
      <c r="AZ316" s="453">
        <v>0</v>
      </c>
      <c r="BA316" s="453">
        <v>0</v>
      </c>
      <c r="BB316" s="453">
        <v>0</v>
      </c>
      <c r="BC316" s="453">
        <v>0</v>
      </c>
      <c r="BD316" s="453">
        <v>0</v>
      </c>
      <c r="BE316" s="105">
        <v>0</v>
      </c>
      <c r="BF316" s="453">
        <v>0</v>
      </c>
      <c r="BG316" s="453">
        <v>0</v>
      </c>
      <c r="BH316" s="105">
        <v>0</v>
      </c>
      <c r="BI316" s="453">
        <v>0</v>
      </c>
      <c r="BJ316" s="453">
        <v>0</v>
      </c>
      <c r="BK316" s="105">
        <v>0</v>
      </c>
      <c r="BL316" s="453">
        <v>0</v>
      </c>
      <c r="BM316" s="453">
        <v>0</v>
      </c>
      <c r="BN316" s="453">
        <v>0</v>
      </c>
      <c r="BO316" s="453">
        <v>0</v>
      </c>
      <c r="BP316" s="453">
        <v>0</v>
      </c>
      <c r="BQ316" s="453">
        <v>0</v>
      </c>
      <c r="BR316" s="14">
        <v>0</v>
      </c>
      <c r="BS316" s="14">
        <v>0</v>
      </c>
      <c r="BT316" s="377" t="str">
        <v/>
      </c>
      <c r="BU316" s="105" t="str">
        <v/>
      </c>
      <c r="BV316" s="453" t="str">
        <v/>
      </c>
      <c r="BW316" s="105" t="str">
        <f ca="1"/>
        <v/>
      </c>
    </row>
    <row r="317" spans="1:75" x14ac:dyDescent="0.3">
      <c r="A317" s="1">
        <v>0</v>
      </c>
      <c r="B317" s="106">
        <v>0</v>
      </c>
      <c r="C317" s="14">
        <v>0</v>
      </c>
      <c r="D317" s="14">
        <v>0</v>
      </c>
      <c r="E317" s="14">
        <v>0</v>
      </c>
      <c r="F317" s="453">
        <v>0</v>
      </c>
      <c r="G317" s="377">
        <v>0</v>
      </c>
      <c r="H317" s="453">
        <v>0</v>
      </c>
      <c r="I317" s="453">
        <v>0</v>
      </c>
      <c r="J317" s="453">
        <v>0</v>
      </c>
      <c r="K317" s="453">
        <v>0</v>
      </c>
      <c r="L317" s="453">
        <v>0</v>
      </c>
      <c r="M317" s="453">
        <v>0</v>
      </c>
      <c r="N317" s="453">
        <v>0</v>
      </c>
      <c r="O317" s="453">
        <v>0</v>
      </c>
      <c r="P317" s="14">
        <v>0</v>
      </c>
      <c r="Q317" s="14">
        <v>0</v>
      </c>
      <c r="R317" s="453">
        <v>0</v>
      </c>
      <c r="S317" s="453">
        <v>0</v>
      </c>
      <c r="T317" s="453">
        <v>0</v>
      </c>
      <c r="U317" s="453">
        <v>0</v>
      </c>
      <c r="V317" s="453">
        <v>0</v>
      </c>
      <c r="W317" s="453">
        <v>0</v>
      </c>
      <c r="X317" s="453">
        <v>0</v>
      </c>
      <c r="Y317" s="453">
        <v>0</v>
      </c>
      <c r="Z317" s="453">
        <v>0</v>
      </c>
      <c r="AA317" s="14">
        <v>0</v>
      </c>
      <c r="AB317" s="14">
        <v>0</v>
      </c>
      <c r="AC317" s="453">
        <v>0</v>
      </c>
      <c r="AD317" s="14">
        <v>0</v>
      </c>
      <c r="AE317" s="14">
        <v>0</v>
      </c>
      <c r="AF317" s="14">
        <v>0</v>
      </c>
      <c r="AG317" s="14">
        <v>0</v>
      </c>
      <c r="AH317" s="14">
        <v>0</v>
      </c>
      <c r="AI317" s="14">
        <v>0</v>
      </c>
      <c r="AJ317" s="14">
        <v>0</v>
      </c>
      <c r="AK317" s="14">
        <v>0</v>
      </c>
      <c r="AL317" s="14">
        <v>0</v>
      </c>
      <c r="AM317" s="453">
        <v>0</v>
      </c>
      <c r="AN317" s="453">
        <v>0</v>
      </c>
      <c r="AO317" s="453">
        <v>0</v>
      </c>
      <c r="AP317" s="453">
        <v>0</v>
      </c>
      <c r="AQ317" s="453">
        <v>0</v>
      </c>
      <c r="AR317" s="453">
        <v>0</v>
      </c>
      <c r="AS317" s="453">
        <v>0</v>
      </c>
      <c r="AT317" s="453">
        <v>0</v>
      </c>
      <c r="AU317" s="453">
        <v>0</v>
      </c>
      <c r="AV317" s="453">
        <v>0</v>
      </c>
      <c r="AW317" s="453">
        <v>0</v>
      </c>
      <c r="AX317" s="453">
        <v>0</v>
      </c>
      <c r="AY317" s="453">
        <v>0</v>
      </c>
      <c r="AZ317" s="453">
        <v>0</v>
      </c>
      <c r="BA317" s="453">
        <v>0</v>
      </c>
      <c r="BB317" s="453">
        <v>0</v>
      </c>
      <c r="BC317" s="453">
        <v>0</v>
      </c>
      <c r="BD317" s="453">
        <v>0</v>
      </c>
      <c r="BE317" s="105">
        <v>0</v>
      </c>
      <c r="BF317" s="453">
        <v>0</v>
      </c>
      <c r="BG317" s="453">
        <v>0</v>
      </c>
      <c r="BH317" s="105">
        <v>0</v>
      </c>
      <c r="BI317" s="453">
        <v>0</v>
      </c>
      <c r="BJ317" s="453">
        <v>0</v>
      </c>
      <c r="BK317" s="105">
        <v>0</v>
      </c>
      <c r="BL317" s="453">
        <v>0</v>
      </c>
      <c r="BM317" s="453">
        <v>0</v>
      </c>
      <c r="BN317" s="453">
        <v>0</v>
      </c>
      <c r="BO317" s="453">
        <v>0</v>
      </c>
      <c r="BP317" s="453">
        <v>0</v>
      </c>
      <c r="BQ317" s="453">
        <v>0</v>
      </c>
      <c r="BR317" s="14">
        <v>0</v>
      </c>
      <c r="BS317" s="14">
        <v>0</v>
      </c>
      <c r="BT317" s="377" t="str">
        <v/>
      </c>
      <c r="BU317" s="105" t="str">
        <v/>
      </c>
      <c r="BV317" s="453" t="str">
        <v/>
      </c>
      <c r="BW317" s="105" t="str">
        <f ca="1"/>
        <v/>
      </c>
    </row>
    <row r="318" spans="1:75" x14ac:dyDescent="0.3">
      <c r="A318" s="1">
        <v>0</v>
      </c>
      <c r="B318" s="106">
        <v>0</v>
      </c>
      <c r="C318" s="14">
        <v>0</v>
      </c>
      <c r="D318" s="14">
        <v>0</v>
      </c>
      <c r="E318" s="14">
        <v>0</v>
      </c>
      <c r="F318" s="453">
        <v>0</v>
      </c>
      <c r="G318" s="377">
        <v>0</v>
      </c>
      <c r="H318" s="453">
        <v>0</v>
      </c>
      <c r="I318" s="453">
        <v>0</v>
      </c>
      <c r="J318" s="453">
        <v>0</v>
      </c>
      <c r="K318" s="453">
        <v>0</v>
      </c>
      <c r="L318" s="453">
        <v>0</v>
      </c>
      <c r="M318" s="453">
        <v>0</v>
      </c>
      <c r="N318" s="453">
        <v>0</v>
      </c>
      <c r="O318" s="453">
        <v>0</v>
      </c>
      <c r="P318" s="14">
        <v>0</v>
      </c>
      <c r="Q318" s="14">
        <v>0</v>
      </c>
      <c r="R318" s="453">
        <v>0</v>
      </c>
      <c r="S318" s="453">
        <v>0</v>
      </c>
      <c r="T318" s="453">
        <v>0</v>
      </c>
      <c r="U318" s="453">
        <v>0</v>
      </c>
      <c r="V318" s="453">
        <v>0</v>
      </c>
      <c r="W318" s="453">
        <v>0</v>
      </c>
      <c r="X318" s="453">
        <v>0</v>
      </c>
      <c r="Y318" s="453">
        <v>0</v>
      </c>
      <c r="Z318" s="453">
        <v>0</v>
      </c>
      <c r="AA318" s="14">
        <v>0</v>
      </c>
      <c r="AB318" s="14">
        <v>0</v>
      </c>
      <c r="AC318" s="453">
        <v>0</v>
      </c>
      <c r="AD318" s="14">
        <v>0</v>
      </c>
      <c r="AE318" s="14">
        <v>0</v>
      </c>
      <c r="AF318" s="14">
        <v>0</v>
      </c>
      <c r="AG318" s="14">
        <v>0</v>
      </c>
      <c r="AH318" s="14">
        <v>0</v>
      </c>
      <c r="AI318" s="14">
        <v>0</v>
      </c>
      <c r="AJ318" s="14">
        <v>0</v>
      </c>
      <c r="AK318" s="14">
        <v>0</v>
      </c>
      <c r="AL318" s="14">
        <v>0</v>
      </c>
      <c r="AM318" s="453">
        <v>0</v>
      </c>
      <c r="AN318" s="453">
        <v>0</v>
      </c>
      <c r="AO318" s="453">
        <v>0</v>
      </c>
      <c r="AP318" s="453">
        <v>0</v>
      </c>
      <c r="AQ318" s="453">
        <v>0</v>
      </c>
      <c r="AR318" s="453">
        <v>0</v>
      </c>
      <c r="AS318" s="453">
        <v>0</v>
      </c>
      <c r="AT318" s="453">
        <v>0</v>
      </c>
      <c r="AU318" s="453">
        <v>0</v>
      </c>
      <c r="AV318" s="453">
        <v>0</v>
      </c>
      <c r="AW318" s="453">
        <v>0</v>
      </c>
      <c r="AX318" s="453">
        <v>0</v>
      </c>
      <c r="AY318" s="453">
        <v>0</v>
      </c>
      <c r="AZ318" s="453">
        <v>0</v>
      </c>
      <c r="BA318" s="453">
        <v>0</v>
      </c>
      <c r="BB318" s="453">
        <v>0</v>
      </c>
      <c r="BC318" s="453">
        <v>0</v>
      </c>
      <c r="BD318" s="453">
        <v>0</v>
      </c>
      <c r="BE318" s="105">
        <v>0</v>
      </c>
      <c r="BF318" s="453">
        <v>0</v>
      </c>
      <c r="BG318" s="453">
        <v>0</v>
      </c>
      <c r="BH318" s="105">
        <v>0</v>
      </c>
      <c r="BI318" s="453">
        <v>0</v>
      </c>
      <c r="BJ318" s="453">
        <v>0</v>
      </c>
      <c r="BK318" s="105">
        <v>0</v>
      </c>
      <c r="BL318" s="453">
        <v>0</v>
      </c>
      <c r="BM318" s="453">
        <v>0</v>
      </c>
      <c r="BN318" s="453">
        <v>0</v>
      </c>
      <c r="BO318" s="453">
        <v>0</v>
      </c>
      <c r="BP318" s="453">
        <v>0</v>
      </c>
      <c r="BQ318" s="453">
        <v>0</v>
      </c>
      <c r="BR318" s="14">
        <v>0</v>
      </c>
      <c r="BS318" s="14">
        <v>0</v>
      </c>
      <c r="BT318" s="377" t="str">
        <v/>
      </c>
      <c r="BU318" s="105" t="str">
        <v/>
      </c>
      <c r="BV318" s="453" t="str">
        <v/>
      </c>
      <c r="BW318" s="105" t="str">
        <f ca="1"/>
        <v/>
      </c>
    </row>
    <row r="319" spans="1:75" x14ac:dyDescent="0.3">
      <c r="A319" s="1">
        <v>0</v>
      </c>
      <c r="B319" s="106">
        <v>0</v>
      </c>
      <c r="C319" s="14">
        <v>0</v>
      </c>
      <c r="D319" s="14">
        <v>0</v>
      </c>
      <c r="E319" s="14">
        <v>0</v>
      </c>
      <c r="F319" s="453">
        <v>0</v>
      </c>
      <c r="G319" s="377">
        <v>0</v>
      </c>
      <c r="H319" s="453">
        <v>0</v>
      </c>
      <c r="I319" s="453">
        <v>0</v>
      </c>
      <c r="J319" s="453">
        <v>0</v>
      </c>
      <c r="K319" s="453">
        <v>0</v>
      </c>
      <c r="L319" s="453">
        <v>0</v>
      </c>
      <c r="M319" s="453">
        <v>0</v>
      </c>
      <c r="N319" s="453">
        <v>0</v>
      </c>
      <c r="O319" s="453">
        <v>0</v>
      </c>
      <c r="P319" s="14">
        <v>0</v>
      </c>
      <c r="Q319" s="14">
        <v>0</v>
      </c>
      <c r="R319" s="453">
        <v>0</v>
      </c>
      <c r="S319" s="453">
        <v>0</v>
      </c>
      <c r="T319" s="453">
        <v>0</v>
      </c>
      <c r="U319" s="453">
        <v>0</v>
      </c>
      <c r="V319" s="453">
        <v>0</v>
      </c>
      <c r="W319" s="453">
        <v>0</v>
      </c>
      <c r="X319" s="453">
        <v>0</v>
      </c>
      <c r="Y319" s="453">
        <v>0</v>
      </c>
      <c r="Z319" s="453">
        <v>0</v>
      </c>
      <c r="AA319" s="14">
        <v>0</v>
      </c>
      <c r="AB319" s="14">
        <v>0</v>
      </c>
      <c r="AC319" s="453">
        <v>0</v>
      </c>
      <c r="AD319" s="14">
        <v>0</v>
      </c>
      <c r="AE319" s="14">
        <v>0</v>
      </c>
      <c r="AF319" s="14">
        <v>0</v>
      </c>
      <c r="AG319" s="14">
        <v>0</v>
      </c>
      <c r="AH319" s="14">
        <v>0</v>
      </c>
      <c r="AI319" s="14">
        <v>0</v>
      </c>
      <c r="AJ319" s="14">
        <v>0</v>
      </c>
      <c r="AK319" s="14">
        <v>0</v>
      </c>
      <c r="AL319" s="14">
        <v>0</v>
      </c>
      <c r="AM319" s="453">
        <v>0</v>
      </c>
      <c r="AN319" s="453">
        <v>0</v>
      </c>
      <c r="AO319" s="453">
        <v>0</v>
      </c>
      <c r="AP319" s="453">
        <v>0</v>
      </c>
      <c r="AQ319" s="453">
        <v>0</v>
      </c>
      <c r="AR319" s="453">
        <v>0</v>
      </c>
      <c r="AS319" s="453">
        <v>0</v>
      </c>
      <c r="AT319" s="453">
        <v>0</v>
      </c>
      <c r="AU319" s="453">
        <v>0</v>
      </c>
      <c r="AV319" s="453">
        <v>0</v>
      </c>
      <c r="AW319" s="453">
        <v>0</v>
      </c>
      <c r="AX319" s="453">
        <v>0</v>
      </c>
      <c r="AY319" s="453">
        <v>0</v>
      </c>
      <c r="AZ319" s="453">
        <v>0</v>
      </c>
      <c r="BA319" s="453">
        <v>0</v>
      </c>
      <c r="BB319" s="453">
        <v>0</v>
      </c>
      <c r="BC319" s="453">
        <v>0</v>
      </c>
      <c r="BD319" s="453">
        <v>0</v>
      </c>
      <c r="BE319" s="105">
        <v>0</v>
      </c>
      <c r="BF319" s="453">
        <v>0</v>
      </c>
      <c r="BG319" s="453">
        <v>0</v>
      </c>
      <c r="BH319" s="105">
        <v>0</v>
      </c>
      <c r="BI319" s="453">
        <v>0</v>
      </c>
      <c r="BJ319" s="453">
        <v>0</v>
      </c>
      <c r="BK319" s="105">
        <v>0</v>
      </c>
      <c r="BL319" s="453">
        <v>0</v>
      </c>
      <c r="BM319" s="453">
        <v>0</v>
      </c>
      <c r="BN319" s="453">
        <v>0</v>
      </c>
      <c r="BO319" s="453">
        <v>0</v>
      </c>
      <c r="BP319" s="453">
        <v>0</v>
      </c>
      <c r="BQ319" s="453">
        <v>0</v>
      </c>
      <c r="BR319" s="14">
        <v>0</v>
      </c>
      <c r="BS319" s="14">
        <v>0</v>
      </c>
      <c r="BT319" s="377" t="str">
        <v/>
      </c>
      <c r="BU319" s="105" t="str">
        <v/>
      </c>
      <c r="BV319" s="453" t="str">
        <v/>
      </c>
      <c r="BW319" s="105" t="str">
        <f ca="1"/>
        <v/>
      </c>
    </row>
    <row r="320" spans="1:75" x14ac:dyDescent="0.3">
      <c r="A320" s="1">
        <v>0</v>
      </c>
      <c r="B320" s="106">
        <v>0</v>
      </c>
      <c r="C320" s="14">
        <v>0</v>
      </c>
      <c r="D320" s="14">
        <v>0</v>
      </c>
      <c r="E320" s="14">
        <v>0</v>
      </c>
      <c r="F320" s="453">
        <v>0</v>
      </c>
      <c r="G320" s="377">
        <v>0</v>
      </c>
      <c r="H320" s="453">
        <v>0</v>
      </c>
      <c r="I320" s="453">
        <v>0</v>
      </c>
      <c r="J320" s="453">
        <v>0</v>
      </c>
      <c r="K320" s="453">
        <v>0</v>
      </c>
      <c r="L320" s="453">
        <v>0</v>
      </c>
      <c r="M320" s="453">
        <v>0</v>
      </c>
      <c r="N320" s="453">
        <v>0</v>
      </c>
      <c r="O320" s="453">
        <v>0</v>
      </c>
      <c r="P320" s="14">
        <v>0</v>
      </c>
      <c r="Q320" s="14">
        <v>0</v>
      </c>
      <c r="R320" s="453">
        <v>0</v>
      </c>
      <c r="S320" s="453">
        <v>0</v>
      </c>
      <c r="T320" s="453">
        <v>0</v>
      </c>
      <c r="U320" s="453">
        <v>0</v>
      </c>
      <c r="V320" s="453">
        <v>0</v>
      </c>
      <c r="W320" s="453">
        <v>0</v>
      </c>
      <c r="X320" s="453">
        <v>0</v>
      </c>
      <c r="Y320" s="453">
        <v>0</v>
      </c>
      <c r="Z320" s="453">
        <v>0</v>
      </c>
      <c r="AA320" s="14">
        <v>0</v>
      </c>
      <c r="AB320" s="14">
        <v>0</v>
      </c>
      <c r="AC320" s="453">
        <v>0</v>
      </c>
      <c r="AD320" s="14">
        <v>0</v>
      </c>
      <c r="AE320" s="14">
        <v>0</v>
      </c>
      <c r="AF320" s="14">
        <v>0</v>
      </c>
      <c r="AG320" s="14">
        <v>0</v>
      </c>
      <c r="AH320" s="14">
        <v>0</v>
      </c>
      <c r="AI320" s="14">
        <v>0</v>
      </c>
      <c r="AJ320" s="14">
        <v>0</v>
      </c>
      <c r="AK320" s="14">
        <v>0</v>
      </c>
      <c r="AL320" s="14">
        <v>0</v>
      </c>
      <c r="AM320" s="453">
        <v>0</v>
      </c>
      <c r="AN320" s="453">
        <v>0</v>
      </c>
      <c r="AO320" s="453">
        <v>0</v>
      </c>
      <c r="AP320" s="453">
        <v>0</v>
      </c>
      <c r="AQ320" s="453">
        <v>0</v>
      </c>
      <c r="AR320" s="453">
        <v>0</v>
      </c>
      <c r="AS320" s="453">
        <v>0</v>
      </c>
      <c r="AT320" s="453">
        <v>0</v>
      </c>
      <c r="AU320" s="453">
        <v>0</v>
      </c>
      <c r="AV320" s="453">
        <v>0</v>
      </c>
      <c r="AW320" s="453">
        <v>0</v>
      </c>
      <c r="AX320" s="453">
        <v>0</v>
      </c>
      <c r="AY320" s="453">
        <v>0</v>
      </c>
      <c r="AZ320" s="453">
        <v>0</v>
      </c>
      <c r="BA320" s="453">
        <v>0</v>
      </c>
      <c r="BB320" s="453">
        <v>0</v>
      </c>
      <c r="BC320" s="453">
        <v>0</v>
      </c>
      <c r="BD320" s="453">
        <v>0</v>
      </c>
      <c r="BE320" s="105">
        <v>0</v>
      </c>
      <c r="BF320" s="453">
        <v>0</v>
      </c>
      <c r="BG320" s="453">
        <v>0</v>
      </c>
      <c r="BH320" s="105">
        <v>0</v>
      </c>
      <c r="BI320" s="453">
        <v>0</v>
      </c>
      <c r="BJ320" s="453">
        <v>0</v>
      </c>
      <c r="BK320" s="105">
        <v>0</v>
      </c>
      <c r="BL320" s="453">
        <v>0</v>
      </c>
      <c r="BM320" s="453">
        <v>0</v>
      </c>
      <c r="BN320" s="453">
        <v>0</v>
      </c>
      <c r="BO320" s="453">
        <v>0</v>
      </c>
      <c r="BP320" s="453">
        <v>0</v>
      </c>
      <c r="BQ320" s="453">
        <v>0</v>
      </c>
      <c r="BR320" s="14">
        <v>0</v>
      </c>
      <c r="BS320" s="14">
        <v>0</v>
      </c>
      <c r="BT320" s="377" t="str">
        <v/>
      </c>
      <c r="BU320" s="105" t="str">
        <v/>
      </c>
      <c r="BV320" s="453" t="str">
        <v/>
      </c>
      <c r="BW320" s="105" t="str">
        <f ca="1"/>
        <v/>
      </c>
    </row>
    <row r="321" spans="1:75" x14ac:dyDescent="0.3">
      <c r="A321" s="1">
        <v>0</v>
      </c>
      <c r="B321" s="106">
        <v>0</v>
      </c>
      <c r="C321" s="14">
        <v>0</v>
      </c>
      <c r="D321" s="14">
        <v>0</v>
      </c>
      <c r="E321" s="14">
        <v>0</v>
      </c>
      <c r="F321" s="453">
        <v>0</v>
      </c>
      <c r="G321" s="377">
        <v>0</v>
      </c>
      <c r="H321" s="453">
        <v>0</v>
      </c>
      <c r="I321" s="453">
        <v>0</v>
      </c>
      <c r="J321" s="453">
        <v>0</v>
      </c>
      <c r="K321" s="453">
        <v>0</v>
      </c>
      <c r="L321" s="453">
        <v>0</v>
      </c>
      <c r="M321" s="453">
        <v>0</v>
      </c>
      <c r="N321" s="453">
        <v>0</v>
      </c>
      <c r="O321" s="453">
        <v>0</v>
      </c>
      <c r="P321" s="14">
        <v>0</v>
      </c>
      <c r="Q321" s="14">
        <v>0</v>
      </c>
      <c r="R321" s="453">
        <v>0</v>
      </c>
      <c r="S321" s="453">
        <v>0</v>
      </c>
      <c r="T321" s="453">
        <v>0</v>
      </c>
      <c r="U321" s="453">
        <v>0</v>
      </c>
      <c r="V321" s="453">
        <v>0</v>
      </c>
      <c r="W321" s="453">
        <v>0</v>
      </c>
      <c r="X321" s="453">
        <v>0</v>
      </c>
      <c r="Y321" s="453">
        <v>0</v>
      </c>
      <c r="Z321" s="453">
        <v>0</v>
      </c>
      <c r="AA321" s="14">
        <v>0</v>
      </c>
      <c r="AB321" s="14">
        <v>0</v>
      </c>
      <c r="AC321" s="453">
        <v>0</v>
      </c>
      <c r="AD321" s="14">
        <v>0</v>
      </c>
      <c r="AE321" s="14">
        <v>0</v>
      </c>
      <c r="AF321" s="14">
        <v>0</v>
      </c>
      <c r="AG321" s="14">
        <v>0</v>
      </c>
      <c r="AH321" s="14">
        <v>0</v>
      </c>
      <c r="AI321" s="14">
        <v>0</v>
      </c>
      <c r="AJ321" s="14">
        <v>0</v>
      </c>
      <c r="AK321" s="14">
        <v>0</v>
      </c>
      <c r="AL321" s="14">
        <v>0</v>
      </c>
      <c r="AM321" s="453">
        <v>0</v>
      </c>
      <c r="AN321" s="453">
        <v>0</v>
      </c>
      <c r="AO321" s="453">
        <v>0</v>
      </c>
      <c r="AP321" s="453">
        <v>0</v>
      </c>
      <c r="AQ321" s="453">
        <v>0</v>
      </c>
      <c r="AR321" s="453">
        <v>0</v>
      </c>
      <c r="AS321" s="453">
        <v>0</v>
      </c>
      <c r="AT321" s="453">
        <v>0</v>
      </c>
      <c r="AU321" s="453">
        <v>0</v>
      </c>
      <c r="AV321" s="453">
        <v>0</v>
      </c>
      <c r="AW321" s="453">
        <v>0</v>
      </c>
      <c r="AX321" s="453">
        <v>0</v>
      </c>
      <c r="AY321" s="453">
        <v>0</v>
      </c>
      <c r="AZ321" s="453">
        <v>0</v>
      </c>
      <c r="BA321" s="453">
        <v>0</v>
      </c>
      <c r="BB321" s="453">
        <v>0</v>
      </c>
      <c r="BC321" s="453">
        <v>0</v>
      </c>
      <c r="BD321" s="453">
        <v>0</v>
      </c>
      <c r="BE321" s="105">
        <v>0</v>
      </c>
      <c r="BF321" s="453">
        <v>0</v>
      </c>
      <c r="BG321" s="453">
        <v>0</v>
      </c>
      <c r="BH321" s="105">
        <v>0</v>
      </c>
      <c r="BI321" s="453">
        <v>0</v>
      </c>
      <c r="BJ321" s="453">
        <v>0</v>
      </c>
      <c r="BK321" s="105">
        <v>0</v>
      </c>
      <c r="BL321" s="453">
        <v>0</v>
      </c>
      <c r="BM321" s="453">
        <v>0</v>
      </c>
      <c r="BN321" s="453">
        <v>0</v>
      </c>
      <c r="BO321" s="453">
        <v>0</v>
      </c>
      <c r="BP321" s="453">
        <v>0</v>
      </c>
      <c r="BQ321" s="453">
        <v>0</v>
      </c>
      <c r="BR321" s="14">
        <v>0</v>
      </c>
      <c r="BS321" s="14">
        <v>0</v>
      </c>
      <c r="BT321" s="377" t="str">
        <v/>
      </c>
      <c r="BU321" s="105" t="str">
        <v/>
      </c>
      <c r="BV321" s="453" t="str">
        <v/>
      </c>
      <c r="BW321" s="105" t="str">
        <f ca="1"/>
        <v/>
      </c>
    </row>
    <row r="322" spans="1:75" x14ac:dyDescent="0.3">
      <c r="A322" s="1">
        <v>0</v>
      </c>
      <c r="B322" s="106">
        <v>0</v>
      </c>
      <c r="C322" s="14">
        <v>0</v>
      </c>
      <c r="D322" s="14">
        <v>0</v>
      </c>
      <c r="E322" s="14">
        <v>0</v>
      </c>
      <c r="F322" s="453">
        <v>0</v>
      </c>
      <c r="G322" s="377">
        <v>0</v>
      </c>
      <c r="H322" s="453">
        <v>0</v>
      </c>
      <c r="I322" s="453">
        <v>0</v>
      </c>
      <c r="J322" s="453">
        <v>0</v>
      </c>
      <c r="K322" s="453">
        <v>0</v>
      </c>
      <c r="L322" s="453">
        <v>0</v>
      </c>
      <c r="M322" s="453">
        <v>0</v>
      </c>
      <c r="N322" s="453">
        <v>0</v>
      </c>
      <c r="O322" s="453">
        <v>0</v>
      </c>
      <c r="P322" s="14">
        <v>0</v>
      </c>
      <c r="Q322" s="14">
        <v>0</v>
      </c>
      <c r="R322" s="453">
        <v>0</v>
      </c>
      <c r="S322" s="453">
        <v>0</v>
      </c>
      <c r="T322" s="453">
        <v>0</v>
      </c>
      <c r="U322" s="453">
        <v>0</v>
      </c>
      <c r="V322" s="453">
        <v>0</v>
      </c>
      <c r="W322" s="453">
        <v>0</v>
      </c>
      <c r="X322" s="453">
        <v>0</v>
      </c>
      <c r="Y322" s="453">
        <v>0</v>
      </c>
      <c r="Z322" s="453">
        <v>0</v>
      </c>
      <c r="AA322" s="14">
        <v>0</v>
      </c>
      <c r="AB322" s="14">
        <v>0</v>
      </c>
      <c r="AC322" s="453">
        <v>0</v>
      </c>
      <c r="AD322" s="14">
        <v>0</v>
      </c>
      <c r="AE322" s="14">
        <v>0</v>
      </c>
      <c r="AF322" s="14">
        <v>0</v>
      </c>
      <c r="AG322" s="14">
        <v>0</v>
      </c>
      <c r="AH322" s="14">
        <v>0</v>
      </c>
      <c r="AI322" s="14">
        <v>0</v>
      </c>
      <c r="AJ322" s="14">
        <v>0</v>
      </c>
      <c r="AK322" s="14">
        <v>0</v>
      </c>
      <c r="AL322" s="14">
        <v>0</v>
      </c>
      <c r="AM322" s="453">
        <v>0</v>
      </c>
      <c r="AN322" s="453">
        <v>0</v>
      </c>
      <c r="AO322" s="453">
        <v>0</v>
      </c>
      <c r="AP322" s="453">
        <v>0</v>
      </c>
      <c r="AQ322" s="453">
        <v>0</v>
      </c>
      <c r="AR322" s="453">
        <v>0</v>
      </c>
      <c r="AS322" s="453">
        <v>0</v>
      </c>
      <c r="AT322" s="453">
        <v>0</v>
      </c>
      <c r="AU322" s="453">
        <v>0</v>
      </c>
      <c r="AV322" s="453">
        <v>0</v>
      </c>
      <c r="AW322" s="453">
        <v>0</v>
      </c>
      <c r="AX322" s="453">
        <v>0</v>
      </c>
      <c r="AY322" s="453">
        <v>0</v>
      </c>
      <c r="AZ322" s="453">
        <v>0</v>
      </c>
      <c r="BA322" s="453">
        <v>0</v>
      </c>
      <c r="BB322" s="453">
        <v>0</v>
      </c>
      <c r="BC322" s="453">
        <v>0</v>
      </c>
      <c r="BD322" s="453">
        <v>0</v>
      </c>
      <c r="BE322" s="105">
        <v>0</v>
      </c>
      <c r="BF322" s="453">
        <v>0</v>
      </c>
      <c r="BG322" s="453">
        <v>0</v>
      </c>
      <c r="BH322" s="105">
        <v>0</v>
      </c>
      <c r="BI322" s="453">
        <v>0</v>
      </c>
      <c r="BJ322" s="453">
        <v>0</v>
      </c>
      <c r="BK322" s="105">
        <v>0</v>
      </c>
      <c r="BL322" s="453">
        <v>0</v>
      </c>
      <c r="BM322" s="453">
        <v>0</v>
      </c>
      <c r="BN322" s="453">
        <v>0</v>
      </c>
      <c r="BO322" s="453">
        <v>0</v>
      </c>
      <c r="BP322" s="453">
        <v>0</v>
      </c>
      <c r="BQ322" s="453">
        <v>0</v>
      </c>
      <c r="BR322" s="14">
        <v>0</v>
      </c>
      <c r="BS322" s="14">
        <v>0</v>
      </c>
      <c r="BT322" s="377" t="str">
        <v/>
      </c>
      <c r="BU322" s="105" t="str">
        <v/>
      </c>
      <c r="BV322" s="453" t="str">
        <v/>
      </c>
      <c r="BW322" s="105" t="str">
        <f ca="1"/>
        <v/>
      </c>
    </row>
    <row r="323" spans="1:75" x14ac:dyDescent="0.3">
      <c r="A323" s="1">
        <v>0</v>
      </c>
      <c r="B323" s="106">
        <v>0</v>
      </c>
      <c r="C323" s="14">
        <v>0</v>
      </c>
      <c r="D323" s="14">
        <v>0</v>
      </c>
      <c r="E323" s="14">
        <v>0</v>
      </c>
      <c r="F323" s="453">
        <v>0</v>
      </c>
      <c r="G323" s="377">
        <v>0</v>
      </c>
      <c r="H323" s="453">
        <v>0</v>
      </c>
      <c r="I323" s="453">
        <v>0</v>
      </c>
      <c r="J323" s="453">
        <v>0</v>
      </c>
      <c r="K323" s="453">
        <v>0</v>
      </c>
      <c r="L323" s="453">
        <v>0</v>
      </c>
      <c r="M323" s="453">
        <v>0</v>
      </c>
      <c r="N323" s="453">
        <v>0</v>
      </c>
      <c r="O323" s="453">
        <v>0</v>
      </c>
      <c r="P323" s="14">
        <v>0</v>
      </c>
      <c r="Q323" s="14">
        <v>0</v>
      </c>
      <c r="R323" s="453">
        <v>0</v>
      </c>
      <c r="S323" s="453">
        <v>0</v>
      </c>
      <c r="T323" s="453">
        <v>0</v>
      </c>
      <c r="U323" s="453">
        <v>0</v>
      </c>
      <c r="V323" s="453">
        <v>0</v>
      </c>
      <c r="W323" s="453">
        <v>0</v>
      </c>
      <c r="X323" s="453">
        <v>0</v>
      </c>
      <c r="Y323" s="453">
        <v>0</v>
      </c>
      <c r="Z323" s="453">
        <v>0</v>
      </c>
      <c r="AA323" s="14">
        <v>0</v>
      </c>
      <c r="AB323" s="14">
        <v>0</v>
      </c>
      <c r="AC323" s="453">
        <v>0</v>
      </c>
      <c r="AD323" s="14">
        <v>0</v>
      </c>
      <c r="AE323" s="14">
        <v>0</v>
      </c>
      <c r="AF323" s="14">
        <v>0</v>
      </c>
      <c r="AG323" s="14">
        <v>0</v>
      </c>
      <c r="AH323" s="14">
        <v>0</v>
      </c>
      <c r="AI323" s="14">
        <v>0</v>
      </c>
      <c r="AJ323" s="14">
        <v>0</v>
      </c>
      <c r="AK323" s="14">
        <v>0</v>
      </c>
      <c r="AL323" s="14">
        <v>0</v>
      </c>
      <c r="AM323" s="453">
        <v>0</v>
      </c>
      <c r="AN323" s="453">
        <v>0</v>
      </c>
      <c r="AO323" s="453">
        <v>0</v>
      </c>
      <c r="AP323" s="453">
        <v>0</v>
      </c>
      <c r="AQ323" s="453">
        <v>0</v>
      </c>
      <c r="AR323" s="453">
        <v>0</v>
      </c>
      <c r="AS323" s="453">
        <v>0</v>
      </c>
      <c r="AT323" s="453">
        <v>0</v>
      </c>
      <c r="AU323" s="453">
        <v>0</v>
      </c>
      <c r="AV323" s="453">
        <v>0</v>
      </c>
      <c r="AW323" s="453">
        <v>0</v>
      </c>
      <c r="AX323" s="453">
        <v>0</v>
      </c>
      <c r="AY323" s="453">
        <v>0</v>
      </c>
      <c r="AZ323" s="453">
        <v>0</v>
      </c>
      <c r="BA323" s="453">
        <v>0</v>
      </c>
      <c r="BB323" s="453">
        <v>0</v>
      </c>
      <c r="BC323" s="453">
        <v>0</v>
      </c>
      <c r="BD323" s="453">
        <v>0</v>
      </c>
      <c r="BE323" s="105">
        <v>0</v>
      </c>
      <c r="BF323" s="453">
        <v>0</v>
      </c>
      <c r="BG323" s="453">
        <v>0</v>
      </c>
      <c r="BH323" s="105">
        <v>0</v>
      </c>
      <c r="BI323" s="453">
        <v>0</v>
      </c>
      <c r="BJ323" s="453">
        <v>0</v>
      </c>
      <c r="BK323" s="105">
        <v>0</v>
      </c>
      <c r="BL323" s="453">
        <v>0</v>
      </c>
      <c r="BM323" s="453">
        <v>0</v>
      </c>
      <c r="BN323" s="453">
        <v>0</v>
      </c>
      <c r="BO323" s="453">
        <v>0</v>
      </c>
      <c r="BP323" s="453">
        <v>0</v>
      </c>
      <c r="BQ323" s="453">
        <v>0</v>
      </c>
      <c r="BR323" s="14">
        <v>0</v>
      </c>
      <c r="BS323" s="14">
        <v>0</v>
      </c>
      <c r="BT323" s="377" t="str">
        <v/>
      </c>
      <c r="BU323" s="105" t="str">
        <v/>
      </c>
      <c r="BV323" s="453" t="str">
        <v/>
      </c>
      <c r="BW323" s="105" t="str">
        <f ca="1"/>
        <v/>
      </c>
    </row>
    <row r="324" spans="1:75" x14ac:dyDescent="0.3">
      <c r="A324" s="1">
        <v>0</v>
      </c>
      <c r="B324" s="106">
        <v>0</v>
      </c>
      <c r="C324" s="14">
        <v>0</v>
      </c>
      <c r="D324" s="14">
        <v>0</v>
      </c>
      <c r="E324" s="14">
        <v>0</v>
      </c>
      <c r="F324" s="453">
        <v>0</v>
      </c>
      <c r="G324" s="377">
        <v>0</v>
      </c>
      <c r="H324" s="453">
        <v>0</v>
      </c>
      <c r="I324" s="453">
        <v>0</v>
      </c>
      <c r="J324" s="453">
        <v>0</v>
      </c>
      <c r="K324" s="453">
        <v>0</v>
      </c>
      <c r="L324" s="453">
        <v>0</v>
      </c>
      <c r="M324" s="453">
        <v>0</v>
      </c>
      <c r="N324" s="453">
        <v>0</v>
      </c>
      <c r="O324" s="453">
        <v>0</v>
      </c>
      <c r="P324" s="14">
        <v>0</v>
      </c>
      <c r="Q324" s="14">
        <v>0</v>
      </c>
      <c r="R324" s="453">
        <v>0</v>
      </c>
      <c r="S324" s="453">
        <v>0</v>
      </c>
      <c r="T324" s="453">
        <v>0</v>
      </c>
      <c r="U324" s="453">
        <v>0</v>
      </c>
      <c r="V324" s="453">
        <v>0</v>
      </c>
      <c r="W324" s="453">
        <v>0</v>
      </c>
      <c r="X324" s="453">
        <v>0</v>
      </c>
      <c r="Y324" s="453">
        <v>0</v>
      </c>
      <c r="Z324" s="453">
        <v>0</v>
      </c>
      <c r="AA324" s="14">
        <v>0</v>
      </c>
      <c r="AB324" s="14">
        <v>0</v>
      </c>
      <c r="AC324" s="453">
        <v>0</v>
      </c>
      <c r="AD324" s="14">
        <v>0</v>
      </c>
      <c r="AE324" s="14">
        <v>0</v>
      </c>
      <c r="AF324" s="14">
        <v>0</v>
      </c>
      <c r="AG324" s="14">
        <v>0</v>
      </c>
      <c r="AH324" s="14">
        <v>0</v>
      </c>
      <c r="AI324" s="14">
        <v>0</v>
      </c>
      <c r="AJ324" s="14">
        <v>0</v>
      </c>
      <c r="AK324" s="14">
        <v>0</v>
      </c>
      <c r="AL324" s="14">
        <v>0</v>
      </c>
      <c r="AM324" s="453">
        <v>0</v>
      </c>
      <c r="AN324" s="453">
        <v>0</v>
      </c>
      <c r="AO324" s="453">
        <v>0</v>
      </c>
      <c r="AP324" s="453">
        <v>0</v>
      </c>
      <c r="AQ324" s="453">
        <v>0</v>
      </c>
      <c r="AR324" s="453">
        <v>0</v>
      </c>
      <c r="AS324" s="453">
        <v>0</v>
      </c>
      <c r="AT324" s="453">
        <v>0</v>
      </c>
      <c r="AU324" s="453">
        <v>0</v>
      </c>
      <c r="AV324" s="453">
        <v>0</v>
      </c>
      <c r="AW324" s="453">
        <v>0</v>
      </c>
      <c r="AX324" s="453">
        <v>0</v>
      </c>
      <c r="AY324" s="453">
        <v>0</v>
      </c>
      <c r="AZ324" s="453">
        <v>0</v>
      </c>
      <c r="BA324" s="453">
        <v>0</v>
      </c>
      <c r="BB324" s="453">
        <v>0</v>
      </c>
      <c r="BC324" s="453">
        <v>0</v>
      </c>
      <c r="BD324" s="453">
        <v>0</v>
      </c>
      <c r="BE324" s="105">
        <v>0</v>
      </c>
      <c r="BF324" s="453">
        <v>0</v>
      </c>
      <c r="BG324" s="453">
        <v>0</v>
      </c>
      <c r="BH324" s="105">
        <v>0</v>
      </c>
      <c r="BI324" s="453">
        <v>0</v>
      </c>
      <c r="BJ324" s="453">
        <v>0</v>
      </c>
      <c r="BK324" s="105">
        <v>0</v>
      </c>
      <c r="BL324" s="453">
        <v>0</v>
      </c>
      <c r="BM324" s="453">
        <v>0</v>
      </c>
      <c r="BN324" s="453">
        <v>0</v>
      </c>
      <c r="BO324" s="453">
        <v>0</v>
      </c>
      <c r="BP324" s="453">
        <v>0</v>
      </c>
      <c r="BQ324" s="453">
        <v>0</v>
      </c>
      <c r="BR324" s="14">
        <v>0</v>
      </c>
      <c r="BS324" s="14">
        <v>0</v>
      </c>
      <c r="BT324" s="377" t="str">
        <v/>
      </c>
      <c r="BU324" s="105" t="str">
        <v/>
      </c>
      <c r="BV324" s="453" t="str">
        <v/>
      </c>
      <c r="BW324" s="105" t="str">
        <f ca="1"/>
        <v/>
      </c>
    </row>
    <row r="325" spans="1:75" x14ac:dyDescent="0.3">
      <c r="A325" s="1">
        <v>0</v>
      </c>
      <c r="B325" s="106">
        <v>0</v>
      </c>
      <c r="C325" s="14">
        <v>0</v>
      </c>
      <c r="D325" s="14">
        <v>0</v>
      </c>
      <c r="E325" s="14">
        <v>0</v>
      </c>
      <c r="F325" s="453">
        <v>0</v>
      </c>
      <c r="G325" s="377">
        <v>0</v>
      </c>
      <c r="H325" s="453">
        <v>0</v>
      </c>
      <c r="I325" s="453">
        <v>0</v>
      </c>
      <c r="J325" s="453">
        <v>0</v>
      </c>
      <c r="K325" s="453">
        <v>0</v>
      </c>
      <c r="L325" s="453">
        <v>0</v>
      </c>
      <c r="M325" s="453">
        <v>0</v>
      </c>
      <c r="N325" s="453">
        <v>0</v>
      </c>
      <c r="O325" s="453">
        <v>0</v>
      </c>
      <c r="P325" s="14">
        <v>0</v>
      </c>
      <c r="Q325" s="14">
        <v>0</v>
      </c>
      <c r="R325" s="453">
        <v>0</v>
      </c>
      <c r="S325" s="453">
        <v>0</v>
      </c>
      <c r="T325" s="453">
        <v>0</v>
      </c>
      <c r="U325" s="453">
        <v>0</v>
      </c>
      <c r="V325" s="453">
        <v>0</v>
      </c>
      <c r="W325" s="453">
        <v>0</v>
      </c>
      <c r="X325" s="453">
        <v>0</v>
      </c>
      <c r="Y325" s="453">
        <v>0</v>
      </c>
      <c r="Z325" s="453">
        <v>0</v>
      </c>
      <c r="AA325" s="14">
        <v>0</v>
      </c>
      <c r="AB325" s="14">
        <v>0</v>
      </c>
      <c r="AC325" s="453">
        <v>0</v>
      </c>
      <c r="AD325" s="14">
        <v>0</v>
      </c>
      <c r="AE325" s="14">
        <v>0</v>
      </c>
      <c r="AF325" s="14">
        <v>0</v>
      </c>
      <c r="AG325" s="14">
        <v>0</v>
      </c>
      <c r="AH325" s="14">
        <v>0</v>
      </c>
      <c r="AI325" s="14">
        <v>0</v>
      </c>
      <c r="AJ325" s="14">
        <v>0</v>
      </c>
      <c r="AK325" s="14">
        <v>0</v>
      </c>
      <c r="AL325" s="14">
        <v>0</v>
      </c>
      <c r="AM325" s="453">
        <v>0</v>
      </c>
      <c r="AN325" s="453">
        <v>0</v>
      </c>
      <c r="AO325" s="453">
        <v>0</v>
      </c>
      <c r="AP325" s="453">
        <v>0</v>
      </c>
      <c r="AQ325" s="453">
        <v>0</v>
      </c>
      <c r="AR325" s="453">
        <v>0</v>
      </c>
      <c r="AS325" s="453">
        <v>0</v>
      </c>
      <c r="AT325" s="453">
        <v>0</v>
      </c>
      <c r="AU325" s="453">
        <v>0</v>
      </c>
      <c r="AV325" s="453">
        <v>0</v>
      </c>
      <c r="AW325" s="453">
        <v>0</v>
      </c>
      <c r="AX325" s="453">
        <v>0</v>
      </c>
      <c r="AY325" s="453">
        <v>0</v>
      </c>
      <c r="AZ325" s="453">
        <v>0</v>
      </c>
      <c r="BA325" s="453">
        <v>0</v>
      </c>
      <c r="BB325" s="453">
        <v>0</v>
      </c>
      <c r="BC325" s="453">
        <v>0</v>
      </c>
      <c r="BD325" s="453">
        <v>0</v>
      </c>
      <c r="BE325" s="105">
        <v>0</v>
      </c>
      <c r="BF325" s="453">
        <v>0</v>
      </c>
      <c r="BG325" s="453">
        <v>0</v>
      </c>
      <c r="BH325" s="105">
        <v>0</v>
      </c>
      <c r="BI325" s="453">
        <v>0</v>
      </c>
      <c r="BJ325" s="453">
        <v>0</v>
      </c>
      <c r="BK325" s="105">
        <v>0</v>
      </c>
      <c r="BL325" s="453">
        <v>0</v>
      </c>
      <c r="BM325" s="453">
        <v>0</v>
      </c>
      <c r="BN325" s="453">
        <v>0</v>
      </c>
      <c r="BO325" s="453">
        <v>0</v>
      </c>
      <c r="BP325" s="453">
        <v>0</v>
      </c>
      <c r="BQ325" s="453">
        <v>0</v>
      </c>
      <c r="BR325" s="14">
        <v>0</v>
      </c>
      <c r="BS325" s="14">
        <v>0</v>
      </c>
      <c r="BT325" s="377" t="str">
        <v/>
      </c>
      <c r="BU325" s="105" t="str">
        <v/>
      </c>
      <c r="BV325" s="453" t="str">
        <v/>
      </c>
      <c r="BW325" s="105" t="str">
        <f ca="1"/>
        <v/>
      </c>
    </row>
    <row r="326" spans="1:75" x14ac:dyDescent="0.3">
      <c r="A326" s="1">
        <v>0</v>
      </c>
      <c r="B326" s="106">
        <v>0</v>
      </c>
      <c r="C326" s="14">
        <v>0</v>
      </c>
      <c r="D326" s="14">
        <v>0</v>
      </c>
      <c r="E326" s="14">
        <v>0</v>
      </c>
      <c r="F326" s="453">
        <v>0</v>
      </c>
      <c r="G326" s="377">
        <v>0</v>
      </c>
      <c r="H326" s="453">
        <v>0</v>
      </c>
      <c r="I326" s="453">
        <v>0</v>
      </c>
      <c r="J326" s="453">
        <v>0</v>
      </c>
      <c r="K326" s="453">
        <v>0</v>
      </c>
      <c r="L326" s="453">
        <v>0</v>
      </c>
      <c r="M326" s="453">
        <v>0</v>
      </c>
      <c r="N326" s="453">
        <v>0</v>
      </c>
      <c r="O326" s="453">
        <v>0</v>
      </c>
      <c r="P326" s="14">
        <v>0</v>
      </c>
      <c r="Q326" s="14">
        <v>0</v>
      </c>
      <c r="R326" s="453">
        <v>0</v>
      </c>
      <c r="S326" s="453">
        <v>0</v>
      </c>
      <c r="T326" s="453">
        <v>0</v>
      </c>
      <c r="U326" s="453">
        <v>0</v>
      </c>
      <c r="V326" s="453">
        <v>0</v>
      </c>
      <c r="W326" s="453">
        <v>0</v>
      </c>
      <c r="X326" s="453">
        <v>0</v>
      </c>
      <c r="Y326" s="453">
        <v>0</v>
      </c>
      <c r="Z326" s="453">
        <v>0</v>
      </c>
      <c r="AA326" s="14">
        <v>0</v>
      </c>
      <c r="AB326" s="14">
        <v>0</v>
      </c>
      <c r="AC326" s="453">
        <v>0</v>
      </c>
      <c r="AD326" s="14">
        <v>0</v>
      </c>
      <c r="AE326" s="14">
        <v>0</v>
      </c>
      <c r="AF326" s="14">
        <v>0</v>
      </c>
      <c r="AG326" s="14">
        <v>0</v>
      </c>
      <c r="AH326" s="14">
        <v>0</v>
      </c>
      <c r="AI326" s="14">
        <v>0</v>
      </c>
      <c r="AJ326" s="14">
        <v>0</v>
      </c>
      <c r="AK326" s="14">
        <v>0</v>
      </c>
      <c r="AL326" s="14">
        <v>0</v>
      </c>
      <c r="AM326" s="453">
        <v>0</v>
      </c>
      <c r="AN326" s="453">
        <v>0</v>
      </c>
      <c r="AO326" s="453">
        <v>0</v>
      </c>
      <c r="AP326" s="453">
        <v>0</v>
      </c>
      <c r="AQ326" s="453">
        <v>0</v>
      </c>
      <c r="AR326" s="453">
        <v>0</v>
      </c>
      <c r="AS326" s="453">
        <v>0</v>
      </c>
      <c r="AT326" s="453">
        <v>0</v>
      </c>
      <c r="AU326" s="453">
        <v>0</v>
      </c>
      <c r="AV326" s="453">
        <v>0</v>
      </c>
      <c r="AW326" s="453">
        <v>0</v>
      </c>
      <c r="AX326" s="453">
        <v>0</v>
      </c>
      <c r="AY326" s="453">
        <v>0</v>
      </c>
      <c r="AZ326" s="453">
        <v>0</v>
      </c>
      <c r="BA326" s="453">
        <v>0</v>
      </c>
      <c r="BB326" s="453">
        <v>0</v>
      </c>
      <c r="BC326" s="453">
        <v>0</v>
      </c>
      <c r="BD326" s="453">
        <v>0</v>
      </c>
      <c r="BE326" s="105">
        <v>0</v>
      </c>
      <c r="BF326" s="453">
        <v>0</v>
      </c>
      <c r="BG326" s="453">
        <v>0</v>
      </c>
      <c r="BH326" s="105">
        <v>0</v>
      </c>
      <c r="BI326" s="453">
        <v>0</v>
      </c>
      <c r="BJ326" s="453">
        <v>0</v>
      </c>
      <c r="BK326" s="105">
        <v>0</v>
      </c>
      <c r="BL326" s="453">
        <v>0</v>
      </c>
      <c r="BM326" s="453">
        <v>0</v>
      </c>
      <c r="BN326" s="453">
        <v>0</v>
      </c>
      <c r="BO326" s="453">
        <v>0</v>
      </c>
      <c r="BP326" s="453">
        <v>0</v>
      </c>
      <c r="BQ326" s="453">
        <v>0</v>
      </c>
      <c r="BR326" s="14">
        <v>0</v>
      </c>
      <c r="BS326" s="14">
        <v>0</v>
      </c>
      <c r="BT326" s="377" t="str">
        <v/>
      </c>
      <c r="BU326" s="105" t="str">
        <v/>
      </c>
      <c r="BV326" s="453" t="str">
        <v/>
      </c>
      <c r="BW326" s="105" t="str">
        <f ca="1"/>
        <v/>
      </c>
    </row>
    <row r="327" spans="1:75" x14ac:dyDescent="0.3">
      <c r="A327" s="1">
        <v>0</v>
      </c>
      <c r="B327" s="106">
        <v>0</v>
      </c>
      <c r="C327" s="14">
        <v>0</v>
      </c>
      <c r="D327" s="14">
        <v>0</v>
      </c>
      <c r="E327" s="14">
        <v>0</v>
      </c>
      <c r="F327" s="453">
        <v>0</v>
      </c>
      <c r="G327" s="377">
        <v>0</v>
      </c>
      <c r="H327" s="453">
        <v>0</v>
      </c>
      <c r="I327" s="453">
        <v>0</v>
      </c>
      <c r="J327" s="453">
        <v>0</v>
      </c>
      <c r="K327" s="453">
        <v>0</v>
      </c>
      <c r="L327" s="453">
        <v>0</v>
      </c>
      <c r="M327" s="453">
        <v>0</v>
      </c>
      <c r="N327" s="453">
        <v>0</v>
      </c>
      <c r="O327" s="453">
        <v>0</v>
      </c>
      <c r="P327" s="14">
        <v>0</v>
      </c>
      <c r="Q327" s="14">
        <v>0</v>
      </c>
      <c r="R327" s="453">
        <v>0</v>
      </c>
      <c r="S327" s="453">
        <v>0</v>
      </c>
      <c r="T327" s="453">
        <v>0</v>
      </c>
      <c r="U327" s="453">
        <v>0</v>
      </c>
      <c r="V327" s="453">
        <v>0</v>
      </c>
      <c r="W327" s="453">
        <v>0</v>
      </c>
      <c r="X327" s="453">
        <v>0</v>
      </c>
      <c r="Y327" s="453">
        <v>0</v>
      </c>
      <c r="Z327" s="453">
        <v>0</v>
      </c>
      <c r="AA327" s="14">
        <v>0</v>
      </c>
      <c r="AB327" s="14">
        <v>0</v>
      </c>
      <c r="AC327" s="453">
        <v>0</v>
      </c>
      <c r="AD327" s="14">
        <v>0</v>
      </c>
      <c r="AE327" s="14">
        <v>0</v>
      </c>
      <c r="AF327" s="14">
        <v>0</v>
      </c>
      <c r="AG327" s="14">
        <v>0</v>
      </c>
      <c r="AH327" s="14">
        <v>0</v>
      </c>
      <c r="AI327" s="14">
        <v>0</v>
      </c>
      <c r="AJ327" s="14">
        <v>0</v>
      </c>
      <c r="AK327" s="14">
        <v>0</v>
      </c>
      <c r="AL327" s="14">
        <v>0</v>
      </c>
      <c r="AM327" s="453">
        <v>0</v>
      </c>
      <c r="AN327" s="453">
        <v>0</v>
      </c>
      <c r="AO327" s="453">
        <v>0</v>
      </c>
      <c r="AP327" s="453">
        <v>0</v>
      </c>
      <c r="AQ327" s="453">
        <v>0</v>
      </c>
      <c r="AR327" s="453">
        <v>0</v>
      </c>
      <c r="AS327" s="453">
        <v>0</v>
      </c>
      <c r="AT327" s="453">
        <v>0</v>
      </c>
      <c r="AU327" s="453">
        <v>0</v>
      </c>
      <c r="AV327" s="453">
        <v>0</v>
      </c>
      <c r="AW327" s="453">
        <v>0</v>
      </c>
      <c r="AX327" s="453">
        <v>0</v>
      </c>
      <c r="AY327" s="453">
        <v>0</v>
      </c>
      <c r="AZ327" s="453">
        <v>0</v>
      </c>
      <c r="BA327" s="453">
        <v>0</v>
      </c>
      <c r="BB327" s="453">
        <v>0</v>
      </c>
      <c r="BC327" s="453">
        <v>0</v>
      </c>
      <c r="BD327" s="453">
        <v>0</v>
      </c>
      <c r="BE327" s="105">
        <v>0</v>
      </c>
      <c r="BF327" s="453">
        <v>0</v>
      </c>
      <c r="BG327" s="453">
        <v>0</v>
      </c>
      <c r="BH327" s="105">
        <v>0</v>
      </c>
      <c r="BI327" s="453">
        <v>0</v>
      </c>
      <c r="BJ327" s="453">
        <v>0</v>
      </c>
      <c r="BK327" s="105">
        <v>0</v>
      </c>
      <c r="BL327" s="453">
        <v>0</v>
      </c>
      <c r="BM327" s="453">
        <v>0</v>
      </c>
      <c r="BN327" s="453">
        <v>0</v>
      </c>
      <c r="BO327" s="453">
        <v>0</v>
      </c>
      <c r="BP327" s="453">
        <v>0</v>
      </c>
      <c r="BQ327" s="453">
        <v>0</v>
      </c>
      <c r="BR327" s="14">
        <v>0</v>
      </c>
      <c r="BS327" s="14">
        <v>0</v>
      </c>
      <c r="BT327" s="377" t="str">
        <v/>
      </c>
      <c r="BU327" s="105" t="str">
        <v/>
      </c>
      <c r="BV327" s="453" t="str">
        <v/>
      </c>
      <c r="BW327" s="105" t="str">
        <f ca="1"/>
        <v/>
      </c>
    </row>
    <row r="328" spans="1:75" x14ac:dyDescent="0.3">
      <c r="A328" s="1">
        <v>0</v>
      </c>
      <c r="B328" s="106">
        <v>0</v>
      </c>
      <c r="C328" s="14">
        <v>0</v>
      </c>
      <c r="D328" s="14">
        <v>0</v>
      </c>
      <c r="E328" s="14">
        <v>0</v>
      </c>
      <c r="F328" s="453">
        <v>0</v>
      </c>
      <c r="G328" s="377">
        <v>0</v>
      </c>
      <c r="H328" s="453">
        <v>0</v>
      </c>
      <c r="I328" s="453">
        <v>0</v>
      </c>
      <c r="J328" s="453">
        <v>0</v>
      </c>
      <c r="K328" s="453">
        <v>0</v>
      </c>
      <c r="L328" s="453">
        <v>0</v>
      </c>
      <c r="M328" s="453">
        <v>0</v>
      </c>
      <c r="N328" s="453">
        <v>0</v>
      </c>
      <c r="O328" s="453">
        <v>0</v>
      </c>
      <c r="P328" s="14">
        <v>0</v>
      </c>
      <c r="Q328" s="14">
        <v>0</v>
      </c>
      <c r="R328" s="453">
        <v>0</v>
      </c>
      <c r="S328" s="453">
        <v>0</v>
      </c>
      <c r="T328" s="453">
        <v>0</v>
      </c>
      <c r="U328" s="453">
        <v>0</v>
      </c>
      <c r="V328" s="453">
        <v>0</v>
      </c>
      <c r="W328" s="453">
        <v>0</v>
      </c>
      <c r="X328" s="453">
        <v>0</v>
      </c>
      <c r="Y328" s="453">
        <v>0</v>
      </c>
      <c r="Z328" s="453">
        <v>0</v>
      </c>
      <c r="AA328" s="14">
        <v>0</v>
      </c>
      <c r="AB328" s="14">
        <v>0</v>
      </c>
      <c r="AC328" s="453">
        <v>0</v>
      </c>
      <c r="AD328" s="14">
        <v>0</v>
      </c>
      <c r="AE328" s="14">
        <v>0</v>
      </c>
      <c r="AF328" s="14">
        <v>0</v>
      </c>
      <c r="AG328" s="14">
        <v>0</v>
      </c>
      <c r="AH328" s="14">
        <v>0</v>
      </c>
      <c r="AI328" s="14">
        <v>0</v>
      </c>
      <c r="AJ328" s="14">
        <v>0</v>
      </c>
      <c r="AK328" s="14">
        <v>0</v>
      </c>
      <c r="AL328" s="14">
        <v>0</v>
      </c>
      <c r="AM328" s="453">
        <v>0</v>
      </c>
      <c r="AN328" s="453">
        <v>0</v>
      </c>
      <c r="AO328" s="453">
        <v>0</v>
      </c>
      <c r="AP328" s="453">
        <v>0</v>
      </c>
      <c r="AQ328" s="453">
        <v>0</v>
      </c>
      <c r="AR328" s="453">
        <v>0</v>
      </c>
      <c r="AS328" s="453">
        <v>0</v>
      </c>
      <c r="AT328" s="453">
        <v>0</v>
      </c>
      <c r="AU328" s="453">
        <v>0</v>
      </c>
      <c r="AV328" s="453">
        <v>0</v>
      </c>
      <c r="AW328" s="453">
        <v>0</v>
      </c>
      <c r="AX328" s="453">
        <v>0</v>
      </c>
      <c r="AY328" s="453">
        <v>0</v>
      </c>
      <c r="AZ328" s="453">
        <v>0</v>
      </c>
      <c r="BA328" s="453">
        <v>0</v>
      </c>
      <c r="BB328" s="453">
        <v>0</v>
      </c>
      <c r="BC328" s="453">
        <v>0</v>
      </c>
      <c r="BD328" s="453">
        <v>0</v>
      </c>
      <c r="BE328" s="105">
        <v>0</v>
      </c>
      <c r="BF328" s="453">
        <v>0</v>
      </c>
      <c r="BG328" s="453">
        <v>0</v>
      </c>
      <c r="BH328" s="105">
        <v>0</v>
      </c>
      <c r="BI328" s="453">
        <v>0</v>
      </c>
      <c r="BJ328" s="453">
        <v>0</v>
      </c>
      <c r="BK328" s="105">
        <v>0</v>
      </c>
      <c r="BL328" s="453">
        <v>0</v>
      </c>
      <c r="BM328" s="453">
        <v>0</v>
      </c>
      <c r="BN328" s="453">
        <v>0</v>
      </c>
      <c r="BO328" s="453">
        <v>0</v>
      </c>
      <c r="BP328" s="453">
        <v>0</v>
      </c>
      <c r="BQ328" s="453">
        <v>0</v>
      </c>
      <c r="BR328" s="14">
        <v>0</v>
      </c>
      <c r="BS328" s="14">
        <v>0</v>
      </c>
      <c r="BT328" s="377" t="str">
        <v/>
      </c>
      <c r="BU328" s="105" t="str">
        <v/>
      </c>
      <c r="BV328" s="453" t="str">
        <v/>
      </c>
      <c r="BW328" s="105" t="str">
        <f ca="1"/>
        <v/>
      </c>
    </row>
    <row r="329" spans="1:75" x14ac:dyDescent="0.3">
      <c r="A329" s="1">
        <v>0</v>
      </c>
      <c r="B329" s="106">
        <v>0</v>
      </c>
      <c r="C329" s="14">
        <v>0</v>
      </c>
      <c r="D329" s="14">
        <v>0</v>
      </c>
      <c r="E329" s="14">
        <v>0</v>
      </c>
      <c r="F329" s="453">
        <v>0</v>
      </c>
      <c r="G329" s="377">
        <v>0</v>
      </c>
      <c r="H329" s="453">
        <v>0</v>
      </c>
      <c r="I329" s="453">
        <v>0</v>
      </c>
      <c r="J329" s="453">
        <v>0</v>
      </c>
      <c r="K329" s="453">
        <v>0</v>
      </c>
      <c r="L329" s="453">
        <v>0</v>
      </c>
      <c r="M329" s="453">
        <v>0</v>
      </c>
      <c r="N329" s="453">
        <v>0</v>
      </c>
      <c r="O329" s="453">
        <v>0</v>
      </c>
      <c r="P329" s="14">
        <v>0</v>
      </c>
      <c r="Q329" s="14">
        <v>0</v>
      </c>
      <c r="R329" s="453">
        <v>0</v>
      </c>
      <c r="S329" s="453">
        <v>0</v>
      </c>
      <c r="T329" s="453">
        <v>0</v>
      </c>
      <c r="U329" s="453">
        <v>0</v>
      </c>
      <c r="V329" s="453">
        <v>0</v>
      </c>
      <c r="W329" s="453">
        <v>0</v>
      </c>
      <c r="X329" s="453">
        <v>0</v>
      </c>
      <c r="Y329" s="453">
        <v>0</v>
      </c>
      <c r="Z329" s="453">
        <v>0</v>
      </c>
      <c r="AA329" s="14">
        <v>0</v>
      </c>
      <c r="AB329" s="14">
        <v>0</v>
      </c>
      <c r="AC329" s="453">
        <v>0</v>
      </c>
      <c r="AD329" s="14">
        <v>0</v>
      </c>
      <c r="AE329" s="14">
        <v>0</v>
      </c>
      <c r="AF329" s="14">
        <v>0</v>
      </c>
      <c r="AG329" s="14">
        <v>0</v>
      </c>
      <c r="AH329" s="14">
        <v>0</v>
      </c>
      <c r="AI329" s="14">
        <v>0</v>
      </c>
      <c r="AJ329" s="14">
        <v>0</v>
      </c>
      <c r="AK329" s="14">
        <v>0</v>
      </c>
      <c r="AL329" s="14">
        <v>0</v>
      </c>
      <c r="AM329" s="453">
        <v>0</v>
      </c>
      <c r="AN329" s="453">
        <v>0</v>
      </c>
      <c r="AO329" s="453">
        <v>0</v>
      </c>
      <c r="AP329" s="453">
        <v>0</v>
      </c>
      <c r="AQ329" s="453">
        <v>0</v>
      </c>
      <c r="AR329" s="453">
        <v>0</v>
      </c>
      <c r="AS329" s="453">
        <v>0</v>
      </c>
      <c r="AT329" s="453">
        <v>0</v>
      </c>
      <c r="AU329" s="453">
        <v>0</v>
      </c>
      <c r="AV329" s="453">
        <v>0</v>
      </c>
      <c r="AW329" s="453">
        <v>0</v>
      </c>
      <c r="AX329" s="453">
        <v>0</v>
      </c>
      <c r="AY329" s="453">
        <v>0</v>
      </c>
      <c r="AZ329" s="453">
        <v>0</v>
      </c>
      <c r="BA329" s="453">
        <v>0</v>
      </c>
      <c r="BB329" s="453">
        <v>0</v>
      </c>
      <c r="BC329" s="453">
        <v>0</v>
      </c>
      <c r="BD329" s="453">
        <v>0</v>
      </c>
      <c r="BE329" s="105">
        <v>0</v>
      </c>
      <c r="BF329" s="453">
        <v>0</v>
      </c>
      <c r="BG329" s="453">
        <v>0</v>
      </c>
      <c r="BH329" s="105">
        <v>0</v>
      </c>
      <c r="BI329" s="453">
        <v>0</v>
      </c>
      <c r="BJ329" s="453">
        <v>0</v>
      </c>
      <c r="BK329" s="105">
        <v>0</v>
      </c>
      <c r="BL329" s="453">
        <v>0</v>
      </c>
      <c r="BM329" s="453">
        <v>0</v>
      </c>
      <c r="BN329" s="453">
        <v>0</v>
      </c>
      <c r="BO329" s="453">
        <v>0</v>
      </c>
      <c r="BP329" s="453">
        <v>0</v>
      </c>
      <c r="BQ329" s="453">
        <v>0</v>
      </c>
      <c r="BR329" s="14">
        <v>0</v>
      </c>
      <c r="BS329" s="14">
        <v>0</v>
      </c>
      <c r="BT329" s="377" t="str">
        <v/>
      </c>
      <c r="BU329" s="105" t="str">
        <v/>
      </c>
      <c r="BV329" s="453" t="str">
        <v/>
      </c>
      <c r="BW329" s="105" t="str">
        <f ca="1"/>
        <v/>
      </c>
    </row>
    <row r="330" spans="1:75" x14ac:dyDescent="0.3">
      <c r="A330" s="1">
        <v>0</v>
      </c>
      <c r="B330" s="106">
        <v>0</v>
      </c>
      <c r="C330" s="14">
        <v>0</v>
      </c>
      <c r="D330" s="14">
        <v>0</v>
      </c>
      <c r="E330" s="14">
        <v>0</v>
      </c>
      <c r="F330" s="453">
        <v>0</v>
      </c>
      <c r="G330" s="377">
        <v>0</v>
      </c>
      <c r="H330" s="453">
        <v>0</v>
      </c>
      <c r="I330" s="453">
        <v>0</v>
      </c>
      <c r="J330" s="453">
        <v>0</v>
      </c>
      <c r="K330" s="453">
        <v>0</v>
      </c>
      <c r="L330" s="453">
        <v>0</v>
      </c>
      <c r="M330" s="453">
        <v>0</v>
      </c>
      <c r="N330" s="453">
        <v>0</v>
      </c>
      <c r="O330" s="453">
        <v>0</v>
      </c>
      <c r="P330" s="14">
        <v>0</v>
      </c>
      <c r="Q330" s="14">
        <v>0</v>
      </c>
      <c r="R330" s="453">
        <v>0</v>
      </c>
      <c r="S330" s="453">
        <v>0</v>
      </c>
      <c r="T330" s="453">
        <v>0</v>
      </c>
      <c r="U330" s="453">
        <v>0</v>
      </c>
      <c r="V330" s="453">
        <v>0</v>
      </c>
      <c r="W330" s="453">
        <v>0</v>
      </c>
      <c r="X330" s="453">
        <v>0</v>
      </c>
      <c r="Y330" s="453">
        <v>0</v>
      </c>
      <c r="Z330" s="453">
        <v>0</v>
      </c>
      <c r="AA330" s="14">
        <v>0</v>
      </c>
      <c r="AB330" s="14">
        <v>0</v>
      </c>
      <c r="AC330" s="453">
        <v>0</v>
      </c>
      <c r="AD330" s="14">
        <v>0</v>
      </c>
      <c r="AE330" s="14">
        <v>0</v>
      </c>
      <c r="AF330" s="14">
        <v>0</v>
      </c>
      <c r="AG330" s="14">
        <v>0</v>
      </c>
      <c r="AH330" s="14">
        <v>0</v>
      </c>
      <c r="AI330" s="14">
        <v>0</v>
      </c>
      <c r="AJ330" s="14">
        <v>0</v>
      </c>
      <c r="AK330" s="14">
        <v>0</v>
      </c>
      <c r="AL330" s="14">
        <v>0</v>
      </c>
      <c r="AM330" s="453">
        <v>0</v>
      </c>
      <c r="AN330" s="453">
        <v>0</v>
      </c>
      <c r="AO330" s="453">
        <v>0</v>
      </c>
      <c r="AP330" s="453">
        <v>0</v>
      </c>
      <c r="AQ330" s="453">
        <v>0</v>
      </c>
      <c r="AR330" s="453">
        <v>0</v>
      </c>
      <c r="AS330" s="453">
        <v>0</v>
      </c>
      <c r="AT330" s="453">
        <v>0</v>
      </c>
      <c r="AU330" s="453">
        <v>0</v>
      </c>
      <c r="AV330" s="453">
        <v>0</v>
      </c>
      <c r="AW330" s="453">
        <v>0</v>
      </c>
      <c r="AX330" s="453">
        <v>0</v>
      </c>
      <c r="AY330" s="453">
        <v>0</v>
      </c>
      <c r="AZ330" s="453">
        <v>0</v>
      </c>
      <c r="BA330" s="453">
        <v>0</v>
      </c>
      <c r="BB330" s="453">
        <v>0</v>
      </c>
      <c r="BC330" s="453">
        <v>0</v>
      </c>
      <c r="BD330" s="453">
        <v>0</v>
      </c>
      <c r="BE330" s="105">
        <v>0</v>
      </c>
      <c r="BF330" s="453">
        <v>0</v>
      </c>
      <c r="BG330" s="453">
        <v>0</v>
      </c>
      <c r="BH330" s="105">
        <v>0</v>
      </c>
      <c r="BI330" s="453">
        <v>0</v>
      </c>
      <c r="BJ330" s="453">
        <v>0</v>
      </c>
      <c r="BK330" s="105">
        <v>0</v>
      </c>
      <c r="BL330" s="453">
        <v>0</v>
      </c>
      <c r="BM330" s="453">
        <v>0</v>
      </c>
      <c r="BN330" s="453">
        <v>0</v>
      </c>
      <c r="BO330" s="453">
        <v>0</v>
      </c>
      <c r="BP330" s="453">
        <v>0</v>
      </c>
      <c r="BQ330" s="453">
        <v>0</v>
      </c>
      <c r="BR330" s="14">
        <v>0</v>
      </c>
      <c r="BS330" s="14">
        <v>0</v>
      </c>
      <c r="BT330" s="377" t="str">
        <v/>
      </c>
      <c r="BU330" s="105" t="str">
        <v/>
      </c>
      <c r="BV330" s="453" t="str">
        <v/>
      </c>
      <c r="BW330" s="105" t="str">
        <f ca="1"/>
        <v/>
      </c>
    </row>
    <row r="331" spans="1:75" x14ac:dyDescent="0.3">
      <c r="A331" s="1">
        <v>0</v>
      </c>
      <c r="B331" s="106">
        <v>0</v>
      </c>
      <c r="C331" s="14">
        <v>0</v>
      </c>
      <c r="D331" s="14">
        <v>0</v>
      </c>
      <c r="E331" s="14">
        <v>0</v>
      </c>
      <c r="F331" s="453">
        <v>0</v>
      </c>
      <c r="G331" s="377">
        <v>0</v>
      </c>
      <c r="H331" s="453">
        <v>0</v>
      </c>
      <c r="I331" s="453">
        <v>0</v>
      </c>
      <c r="J331" s="453">
        <v>0</v>
      </c>
      <c r="K331" s="453">
        <v>0</v>
      </c>
      <c r="L331" s="453">
        <v>0</v>
      </c>
      <c r="M331" s="453">
        <v>0</v>
      </c>
      <c r="N331" s="453">
        <v>0</v>
      </c>
      <c r="O331" s="453">
        <v>0</v>
      </c>
      <c r="P331" s="14">
        <v>0</v>
      </c>
      <c r="Q331" s="14">
        <v>0</v>
      </c>
      <c r="R331" s="453">
        <v>0</v>
      </c>
      <c r="S331" s="453">
        <v>0</v>
      </c>
      <c r="T331" s="453">
        <v>0</v>
      </c>
      <c r="U331" s="453">
        <v>0</v>
      </c>
      <c r="V331" s="453">
        <v>0</v>
      </c>
      <c r="W331" s="453">
        <v>0</v>
      </c>
      <c r="X331" s="453">
        <v>0</v>
      </c>
      <c r="Y331" s="453">
        <v>0</v>
      </c>
      <c r="Z331" s="453">
        <v>0</v>
      </c>
      <c r="AA331" s="14">
        <v>0</v>
      </c>
      <c r="AB331" s="14">
        <v>0</v>
      </c>
      <c r="AC331" s="453">
        <v>0</v>
      </c>
      <c r="AD331" s="14">
        <v>0</v>
      </c>
      <c r="AE331" s="14">
        <v>0</v>
      </c>
      <c r="AF331" s="14">
        <v>0</v>
      </c>
      <c r="AG331" s="14">
        <v>0</v>
      </c>
      <c r="AH331" s="14">
        <v>0</v>
      </c>
      <c r="AI331" s="14">
        <v>0</v>
      </c>
      <c r="AJ331" s="14">
        <v>0</v>
      </c>
      <c r="AK331" s="14">
        <v>0</v>
      </c>
      <c r="AL331" s="14">
        <v>0</v>
      </c>
      <c r="AM331" s="453">
        <v>0</v>
      </c>
      <c r="AN331" s="453">
        <v>0</v>
      </c>
      <c r="AO331" s="453">
        <v>0</v>
      </c>
      <c r="AP331" s="453">
        <v>0</v>
      </c>
      <c r="AQ331" s="453">
        <v>0</v>
      </c>
      <c r="AR331" s="453">
        <v>0</v>
      </c>
      <c r="AS331" s="453">
        <v>0</v>
      </c>
      <c r="AT331" s="453">
        <v>0</v>
      </c>
      <c r="AU331" s="453">
        <v>0</v>
      </c>
      <c r="AV331" s="453">
        <v>0</v>
      </c>
      <c r="AW331" s="453">
        <v>0</v>
      </c>
      <c r="AX331" s="453">
        <v>0</v>
      </c>
      <c r="AY331" s="453">
        <v>0</v>
      </c>
      <c r="AZ331" s="453">
        <v>0</v>
      </c>
      <c r="BA331" s="453">
        <v>0</v>
      </c>
      <c r="BB331" s="453">
        <v>0</v>
      </c>
      <c r="BC331" s="453">
        <v>0</v>
      </c>
      <c r="BD331" s="453">
        <v>0</v>
      </c>
      <c r="BE331" s="105">
        <v>0</v>
      </c>
      <c r="BF331" s="453">
        <v>0</v>
      </c>
      <c r="BG331" s="453">
        <v>0</v>
      </c>
      <c r="BH331" s="105">
        <v>0</v>
      </c>
      <c r="BI331" s="453">
        <v>0</v>
      </c>
      <c r="BJ331" s="453">
        <v>0</v>
      </c>
      <c r="BK331" s="105">
        <v>0</v>
      </c>
      <c r="BL331" s="453">
        <v>0</v>
      </c>
      <c r="BM331" s="453">
        <v>0</v>
      </c>
      <c r="BN331" s="453">
        <v>0</v>
      </c>
      <c r="BO331" s="453">
        <v>0</v>
      </c>
      <c r="BP331" s="453">
        <v>0</v>
      </c>
      <c r="BQ331" s="453">
        <v>0</v>
      </c>
      <c r="BR331" s="14">
        <v>0</v>
      </c>
      <c r="BS331" s="14">
        <v>0</v>
      </c>
      <c r="BT331" s="377" t="str">
        <v/>
      </c>
      <c r="BU331" s="105" t="str">
        <v/>
      </c>
      <c r="BV331" s="453" t="str">
        <v/>
      </c>
      <c r="BW331" s="105" t="str">
        <f ca="1"/>
        <v/>
      </c>
    </row>
    <row r="332" spans="1:75" x14ac:dyDescent="0.3">
      <c r="A332" s="1">
        <v>0</v>
      </c>
      <c r="B332" s="106">
        <v>0</v>
      </c>
      <c r="C332" s="14">
        <v>0</v>
      </c>
      <c r="D332" s="14">
        <v>0</v>
      </c>
      <c r="E332" s="14">
        <v>0</v>
      </c>
      <c r="F332" s="453">
        <v>0</v>
      </c>
      <c r="G332" s="377">
        <v>0</v>
      </c>
      <c r="H332" s="453">
        <v>0</v>
      </c>
      <c r="I332" s="453">
        <v>0</v>
      </c>
      <c r="J332" s="453">
        <v>0</v>
      </c>
      <c r="K332" s="453">
        <v>0</v>
      </c>
      <c r="L332" s="453">
        <v>0</v>
      </c>
      <c r="M332" s="453">
        <v>0</v>
      </c>
      <c r="N332" s="453">
        <v>0</v>
      </c>
      <c r="O332" s="453">
        <v>0</v>
      </c>
      <c r="P332" s="14">
        <v>0</v>
      </c>
      <c r="Q332" s="14">
        <v>0</v>
      </c>
      <c r="R332" s="453">
        <v>0</v>
      </c>
      <c r="S332" s="453">
        <v>0</v>
      </c>
      <c r="T332" s="453">
        <v>0</v>
      </c>
      <c r="U332" s="453">
        <v>0</v>
      </c>
      <c r="V332" s="453">
        <v>0</v>
      </c>
      <c r="W332" s="453">
        <v>0</v>
      </c>
      <c r="X332" s="453">
        <v>0</v>
      </c>
      <c r="Y332" s="453">
        <v>0</v>
      </c>
      <c r="Z332" s="453">
        <v>0</v>
      </c>
      <c r="AA332" s="14">
        <v>0</v>
      </c>
      <c r="AB332" s="14">
        <v>0</v>
      </c>
      <c r="AC332" s="453">
        <v>0</v>
      </c>
      <c r="AD332" s="14">
        <v>0</v>
      </c>
      <c r="AE332" s="14">
        <v>0</v>
      </c>
      <c r="AF332" s="14">
        <v>0</v>
      </c>
      <c r="AG332" s="14">
        <v>0</v>
      </c>
      <c r="AH332" s="14">
        <v>0</v>
      </c>
      <c r="AI332" s="14">
        <v>0</v>
      </c>
      <c r="AJ332" s="14">
        <v>0</v>
      </c>
      <c r="AK332" s="14">
        <v>0</v>
      </c>
      <c r="AL332" s="14">
        <v>0</v>
      </c>
      <c r="AM332" s="453">
        <v>0</v>
      </c>
      <c r="AN332" s="453">
        <v>0</v>
      </c>
      <c r="AO332" s="453">
        <v>0</v>
      </c>
      <c r="AP332" s="453">
        <v>0</v>
      </c>
      <c r="AQ332" s="453">
        <v>0</v>
      </c>
      <c r="AR332" s="453">
        <v>0</v>
      </c>
      <c r="AS332" s="453">
        <v>0</v>
      </c>
      <c r="AT332" s="453">
        <v>0</v>
      </c>
      <c r="AU332" s="453">
        <v>0</v>
      </c>
      <c r="AV332" s="453">
        <v>0</v>
      </c>
      <c r="AW332" s="453">
        <v>0</v>
      </c>
      <c r="AX332" s="453">
        <v>0</v>
      </c>
      <c r="AY332" s="453">
        <v>0</v>
      </c>
      <c r="AZ332" s="453">
        <v>0</v>
      </c>
      <c r="BA332" s="453">
        <v>0</v>
      </c>
      <c r="BB332" s="453">
        <v>0</v>
      </c>
      <c r="BC332" s="453">
        <v>0</v>
      </c>
      <c r="BD332" s="453">
        <v>0</v>
      </c>
      <c r="BE332" s="105">
        <v>0</v>
      </c>
      <c r="BF332" s="453">
        <v>0</v>
      </c>
      <c r="BG332" s="453">
        <v>0</v>
      </c>
      <c r="BH332" s="105">
        <v>0</v>
      </c>
      <c r="BI332" s="453">
        <v>0</v>
      </c>
      <c r="BJ332" s="453">
        <v>0</v>
      </c>
      <c r="BK332" s="105">
        <v>0</v>
      </c>
      <c r="BL332" s="453">
        <v>0</v>
      </c>
      <c r="BM332" s="453">
        <v>0</v>
      </c>
      <c r="BN332" s="453">
        <v>0</v>
      </c>
      <c r="BO332" s="453">
        <v>0</v>
      </c>
      <c r="BP332" s="453">
        <v>0</v>
      </c>
      <c r="BQ332" s="453">
        <v>0</v>
      </c>
      <c r="BR332" s="14">
        <v>0</v>
      </c>
      <c r="BS332" s="14">
        <v>0</v>
      </c>
      <c r="BT332" s="377" t="str">
        <v/>
      </c>
      <c r="BU332" s="105" t="str">
        <v/>
      </c>
      <c r="BV332" s="453" t="str">
        <v/>
      </c>
      <c r="BW332" s="105" t="str">
        <f ca="1"/>
        <v/>
      </c>
    </row>
    <row r="333" spans="1:75" x14ac:dyDescent="0.3">
      <c r="A333" s="1">
        <v>0</v>
      </c>
      <c r="B333" s="106">
        <v>0</v>
      </c>
      <c r="C333" s="14">
        <v>0</v>
      </c>
      <c r="D333" s="14">
        <v>0</v>
      </c>
      <c r="E333" s="14">
        <v>0</v>
      </c>
      <c r="F333" s="453">
        <v>0</v>
      </c>
      <c r="G333" s="377">
        <v>0</v>
      </c>
      <c r="H333" s="453">
        <v>0</v>
      </c>
      <c r="I333" s="453">
        <v>0</v>
      </c>
      <c r="J333" s="453">
        <v>0</v>
      </c>
      <c r="K333" s="453">
        <v>0</v>
      </c>
      <c r="L333" s="453">
        <v>0</v>
      </c>
      <c r="M333" s="453">
        <v>0</v>
      </c>
      <c r="N333" s="453">
        <v>0</v>
      </c>
      <c r="O333" s="453">
        <v>0</v>
      </c>
      <c r="P333" s="14">
        <v>0</v>
      </c>
      <c r="Q333" s="14">
        <v>0</v>
      </c>
      <c r="R333" s="453">
        <v>0</v>
      </c>
      <c r="S333" s="453">
        <v>0</v>
      </c>
      <c r="T333" s="453">
        <v>0</v>
      </c>
      <c r="U333" s="453">
        <v>0</v>
      </c>
      <c r="V333" s="453">
        <v>0</v>
      </c>
      <c r="W333" s="453">
        <v>0</v>
      </c>
      <c r="X333" s="453">
        <v>0</v>
      </c>
      <c r="Y333" s="453">
        <v>0</v>
      </c>
      <c r="Z333" s="453">
        <v>0</v>
      </c>
      <c r="AA333" s="14">
        <v>0</v>
      </c>
      <c r="AB333" s="14">
        <v>0</v>
      </c>
      <c r="AC333" s="453">
        <v>0</v>
      </c>
      <c r="AD333" s="14">
        <v>0</v>
      </c>
      <c r="AE333" s="14">
        <v>0</v>
      </c>
      <c r="AF333" s="14">
        <v>0</v>
      </c>
      <c r="AG333" s="14">
        <v>0</v>
      </c>
      <c r="AH333" s="14">
        <v>0</v>
      </c>
      <c r="AI333" s="14">
        <v>0</v>
      </c>
      <c r="AJ333" s="14">
        <v>0</v>
      </c>
      <c r="AK333" s="14">
        <v>0</v>
      </c>
      <c r="AL333" s="14">
        <v>0</v>
      </c>
      <c r="AM333" s="453">
        <v>0</v>
      </c>
      <c r="AN333" s="453">
        <v>0</v>
      </c>
      <c r="AO333" s="453">
        <v>0</v>
      </c>
      <c r="AP333" s="453">
        <v>0</v>
      </c>
      <c r="AQ333" s="453">
        <v>0</v>
      </c>
      <c r="AR333" s="453">
        <v>0</v>
      </c>
      <c r="AS333" s="453">
        <v>0</v>
      </c>
      <c r="AT333" s="453">
        <v>0</v>
      </c>
      <c r="AU333" s="453">
        <v>0</v>
      </c>
      <c r="AV333" s="453">
        <v>0</v>
      </c>
      <c r="AW333" s="453">
        <v>0</v>
      </c>
      <c r="AX333" s="453">
        <v>0</v>
      </c>
      <c r="AY333" s="453">
        <v>0</v>
      </c>
      <c r="AZ333" s="453">
        <v>0</v>
      </c>
      <c r="BA333" s="453">
        <v>0</v>
      </c>
      <c r="BB333" s="453">
        <v>0</v>
      </c>
      <c r="BC333" s="453">
        <v>0</v>
      </c>
      <c r="BD333" s="453">
        <v>0</v>
      </c>
      <c r="BE333" s="105">
        <v>0</v>
      </c>
      <c r="BF333" s="453">
        <v>0</v>
      </c>
      <c r="BG333" s="453">
        <v>0</v>
      </c>
      <c r="BH333" s="105">
        <v>0</v>
      </c>
      <c r="BI333" s="453">
        <v>0</v>
      </c>
      <c r="BJ333" s="453">
        <v>0</v>
      </c>
      <c r="BK333" s="105">
        <v>0</v>
      </c>
      <c r="BL333" s="453">
        <v>0</v>
      </c>
      <c r="BM333" s="453">
        <v>0</v>
      </c>
      <c r="BN333" s="453">
        <v>0</v>
      </c>
      <c r="BO333" s="453">
        <v>0</v>
      </c>
      <c r="BP333" s="453">
        <v>0</v>
      </c>
      <c r="BQ333" s="453">
        <v>0</v>
      </c>
      <c r="BR333" s="14">
        <v>0</v>
      </c>
      <c r="BS333" s="14">
        <v>0</v>
      </c>
      <c r="BT333" s="377" t="str">
        <v/>
      </c>
      <c r="BU333" s="105" t="str">
        <v/>
      </c>
      <c r="BV333" s="453" t="str">
        <v/>
      </c>
      <c r="BW333" s="105" t="str">
        <f ca="1"/>
        <v/>
      </c>
    </row>
    <row r="334" spans="1:75" x14ac:dyDescent="0.3">
      <c r="A334" s="1">
        <v>0</v>
      </c>
      <c r="B334" s="106">
        <v>0</v>
      </c>
      <c r="C334" s="14">
        <v>0</v>
      </c>
      <c r="D334" s="14">
        <v>0</v>
      </c>
      <c r="E334" s="14">
        <v>0</v>
      </c>
      <c r="F334" s="453">
        <v>0</v>
      </c>
      <c r="G334" s="377">
        <v>0</v>
      </c>
      <c r="H334" s="453">
        <v>0</v>
      </c>
      <c r="I334" s="453">
        <v>0</v>
      </c>
      <c r="J334" s="453">
        <v>0</v>
      </c>
      <c r="K334" s="453">
        <v>0</v>
      </c>
      <c r="L334" s="453">
        <v>0</v>
      </c>
      <c r="M334" s="453">
        <v>0</v>
      </c>
      <c r="N334" s="453">
        <v>0</v>
      </c>
      <c r="O334" s="453">
        <v>0</v>
      </c>
      <c r="P334" s="14">
        <v>0</v>
      </c>
      <c r="Q334" s="14">
        <v>0</v>
      </c>
      <c r="R334" s="453">
        <v>0</v>
      </c>
      <c r="S334" s="453">
        <v>0</v>
      </c>
      <c r="T334" s="453">
        <v>0</v>
      </c>
      <c r="U334" s="453">
        <v>0</v>
      </c>
      <c r="V334" s="453">
        <v>0</v>
      </c>
      <c r="W334" s="453">
        <v>0</v>
      </c>
      <c r="X334" s="453">
        <v>0</v>
      </c>
      <c r="Y334" s="453">
        <v>0</v>
      </c>
      <c r="Z334" s="453">
        <v>0</v>
      </c>
      <c r="AA334" s="14">
        <v>0</v>
      </c>
      <c r="AB334" s="14">
        <v>0</v>
      </c>
      <c r="AC334" s="453">
        <v>0</v>
      </c>
      <c r="AD334" s="14">
        <v>0</v>
      </c>
      <c r="AE334" s="14">
        <v>0</v>
      </c>
      <c r="AF334" s="14">
        <v>0</v>
      </c>
      <c r="AG334" s="14">
        <v>0</v>
      </c>
      <c r="AH334" s="14">
        <v>0</v>
      </c>
      <c r="AI334" s="14">
        <v>0</v>
      </c>
      <c r="AJ334" s="14">
        <v>0</v>
      </c>
      <c r="AK334" s="14">
        <v>0</v>
      </c>
      <c r="AL334" s="14">
        <v>0</v>
      </c>
      <c r="AM334" s="453">
        <v>0</v>
      </c>
      <c r="AN334" s="453">
        <v>0</v>
      </c>
      <c r="AO334" s="453">
        <v>0</v>
      </c>
      <c r="AP334" s="453">
        <v>0</v>
      </c>
      <c r="AQ334" s="453">
        <v>0</v>
      </c>
      <c r="AR334" s="453">
        <v>0</v>
      </c>
      <c r="AS334" s="453">
        <v>0</v>
      </c>
      <c r="AT334" s="453">
        <v>0</v>
      </c>
      <c r="AU334" s="453">
        <v>0</v>
      </c>
      <c r="AV334" s="453">
        <v>0</v>
      </c>
      <c r="AW334" s="453">
        <v>0</v>
      </c>
      <c r="AX334" s="453">
        <v>0</v>
      </c>
      <c r="AY334" s="453">
        <v>0</v>
      </c>
      <c r="AZ334" s="453">
        <v>0</v>
      </c>
      <c r="BA334" s="453">
        <v>0</v>
      </c>
      <c r="BB334" s="453">
        <v>0</v>
      </c>
      <c r="BC334" s="453">
        <v>0</v>
      </c>
      <c r="BD334" s="453">
        <v>0</v>
      </c>
      <c r="BE334" s="105">
        <v>0</v>
      </c>
      <c r="BF334" s="453">
        <v>0</v>
      </c>
      <c r="BG334" s="453">
        <v>0</v>
      </c>
      <c r="BH334" s="105">
        <v>0</v>
      </c>
      <c r="BI334" s="453">
        <v>0</v>
      </c>
      <c r="BJ334" s="453">
        <v>0</v>
      </c>
      <c r="BK334" s="105">
        <v>0</v>
      </c>
      <c r="BL334" s="453">
        <v>0</v>
      </c>
      <c r="BM334" s="453">
        <v>0</v>
      </c>
      <c r="BN334" s="453">
        <v>0</v>
      </c>
      <c r="BO334" s="453">
        <v>0</v>
      </c>
      <c r="BP334" s="453">
        <v>0</v>
      </c>
      <c r="BQ334" s="453">
        <v>0</v>
      </c>
      <c r="BR334" s="14">
        <v>0</v>
      </c>
      <c r="BS334" s="14">
        <v>0</v>
      </c>
      <c r="BT334" s="377" t="str">
        <v/>
      </c>
      <c r="BU334" s="105" t="str">
        <v/>
      </c>
      <c r="BV334" s="453" t="str">
        <v/>
      </c>
      <c r="BW334" s="105" t="str">
        <f ca="1"/>
        <v/>
      </c>
    </row>
    <row r="335" spans="1:75" x14ac:dyDescent="0.3">
      <c r="A335" s="1">
        <v>0</v>
      </c>
      <c r="B335" s="106">
        <v>0</v>
      </c>
      <c r="C335" s="14">
        <v>0</v>
      </c>
      <c r="D335" s="14">
        <v>0</v>
      </c>
      <c r="E335" s="14">
        <v>0</v>
      </c>
      <c r="F335" s="453">
        <v>0</v>
      </c>
      <c r="G335" s="377">
        <v>0</v>
      </c>
      <c r="H335" s="453">
        <v>0</v>
      </c>
      <c r="I335" s="453">
        <v>0</v>
      </c>
      <c r="J335" s="453">
        <v>0</v>
      </c>
      <c r="K335" s="453">
        <v>0</v>
      </c>
      <c r="L335" s="453">
        <v>0</v>
      </c>
      <c r="M335" s="453">
        <v>0</v>
      </c>
      <c r="N335" s="453">
        <v>0</v>
      </c>
      <c r="O335" s="453">
        <v>0</v>
      </c>
      <c r="P335" s="14">
        <v>0</v>
      </c>
      <c r="Q335" s="14">
        <v>0</v>
      </c>
      <c r="R335" s="453">
        <v>0</v>
      </c>
      <c r="S335" s="453">
        <v>0</v>
      </c>
      <c r="T335" s="453">
        <v>0</v>
      </c>
      <c r="U335" s="453">
        <v>0</v>
      </c>
      <c r="V335" s="453">
        <v>0</v>
      </c>
      <c r="W335" s="453">
        <v>0</v>
      </c>
      <c r="X335" s="453">
        <v>0</v>
      </c>
      <c r="Y335" s="453">
        <v>0</v>
      </c>
      <c r="Z335" s="453">
        <v>0</v>
      </c>
      <c r="AA335" s="14">
        <v>0</v>
      </c>
      <c r="AB335" s="14">
        <v>0</v>
      </c>
      <c r="AC335" s="453">
        <v>0</v>
      </c>
      <c r="AD335" s="14">
        <v>0</v>
      </c>
      <c r="AE335" s="14">
        <v>0</v>
      </c>
      <c r="AF335" s="14">
        <v>0</v>
      </c>
      <c r="AG335" s="14">
        <v>0</v>
      </c>
      <c r="AH335" s="14">
        <v>0</v>
      </c>
      <c r="AI335" s="14">
        <v>0</v>
      </c>
      <c r="AJ335" s="14">
        <v>0</v>
      </c>
      <c r="AK335" s="14">
        <v>0</v>
      </c>
      <c r="AL335" s="14">
        <v>0</v>
      </c>
      <c r="AM335" s="453">
        <v>0</v>
      </c>
      <c r="AN335" s="453">
        <v>0</v>
      </c>
      <c r="AO335" s="453">
        <v>0</v>
      </c>
      <c r="AP335" s="453">
        <v>0</v>
      </c>
      <c r="AQ335" s="453">
        <v>0</v>
      </c>
      <c r="AR335" s="453">
        <v>0</v>
      </c>
      <c r="AS335" s="453">
        <v>0</v>
      </c>
      <c r="AT335" s="453">
        <v>0</v>
      </c>
      <c r="AU335" s="453">
        <v>0</v>
      </c>
      <c r="AV335" s="453">
        <v>0</v>
      </c>
      <c r="AW335" s="453">
        <v>0</v>
      </c>
      <c r="AX335" s="453">
        <v>0</v>
      </c>
      <c r="AY335" s="453">
        <v>0</v>
      </c>
      <c r="AZ335" s="453">
        <v>0</v>
      </c>
      <c r="BA335" s="453">
        <v>0</v>
      </c>
      <c r="BB335" s="453">
        <v>0</v>
      </c>
      <c r="BC335" s="453">
        <v>0</v>
      </c>
      <c r="BD335" s="453">
        <v>0</v>
      </c>
      <c r="BE335" s="105">
        <v>0</v>
      </c>
      <c r="BF335" s="453">
        <v>0</v>
      </c>
      <c r="BG335" s="453">
        <v>0</v>
      </c>
      <c r="BH335" s="105">
        <v>0</v>
      </c>
      <c r="BI335" s="453">
        <v>0</v>
      </c>
      <c r="BJ335" s="453">
        <v>0</v>
      </c>
      <c r="BK335" s="105">
        <v>0</v>
      </c>
      <c r="BL335" s="453">
        <v>0</v>
      </c>
      <c r="BM335" s="453">
        <v>0</v>
      </c>
      <c r="BN335" s="453">
        <v>0</v>
      </c>
      <c r="BO335" s="453">
        <v>0</v>
      </c>
      <c r="BP335" s="453">
        <v>0</v>
      </c>
      <c r="BQ335" s="453">
        <v>0</v>
      </c>
      <c r="BR335" s="14">
        <v>0</v>
      </c>
      <c r="BS335" s="14">
        <v>0</v>
      </c>
      <c r="BT335" s="377" t="str">
        <v/>
      </c>
      <c r="BU335" s="105" t="str">
        <v/>
      </c>
      <c r="BV335" s="453" t="str">
        <v/>
      </c>
      <c r="BW335" s="105" t="str">
        <f ca="1"/>
        <v/>
      </c>
    </row>
    <row r="336" spans="1:75" x14ac:dyDescent="0.3">
      <c r="A336" s="1">
        <v>0</v>
      </c>
      <c r="B336" s="106">
        <v>0</v>
      </c>
      <c r="C336" s="14">
        <v>0</v>
      </c>
      <c r="D336" s="14">
        <v>0</v>
      </c>
      <c r="E336" s="14">
        <v>0</v>
      </c>
      <c r="F336" s="453">
        <v>0</v>
      </c>
      <c r="G336" s="377">
        <v>0</v>
      </c>
      <c r="H336" s="453">
        <v>0</v>
      </c>
      <c r="I336" s="453">
        <v>0</v>
      </c>
      <c r="J336" s="453">
        <v>0</v>
      </c>
      <c r="K336" s="453">
        <v>0</v>
      </c>
      <c r="L336" s="453">
        <v>0</v>
      </c>
      <c r="M336" s="453">
        <v>0</v>
      </c>
      <c r="N336" s="453">
        <v>0</v>
      </c>
      <c r="O336" s="453">
        <v>0</v>
      </c>
      <c r="P336" s="14">
        <v>0</v>
      </c>
      <c r="Q336" s="14">
        <v>0</v>
      </c>
      <c r="R336" s="453">
        <v>0</v>
      </c>
      <c r="S336" s="453">
        <v>0</v>
      </c>
      <c r="T336" s="453">
        <v>0</v>
      </c>
      <c r="U336" s="453">
        <v>0</v>
      </c>
      <c r="V336" s="453">
        <v>0</v>
      </c>
      <c r="W336" s="453">
        <v>0</v>
      </c>
      <c r="X336" s="453">
        <v>0</v>
      </c>
      <c r="Y336" s="453">
        <v>0</v>
      </c>
      <c r="Z336" s="453">
        <v>0</v>
      </c>
      <c r="AA336" s="14">
        <v>0</v>
      </c>
      <c r="AB336" s="14">
        <v>0</v>
      </c>
      <c r="AC336" s="453">
        <v>0</v>
      </c>
      <c r="AD336" s="14">
        <v>0</v>
      </c>
      <c r="AE336" s="14">
        <v>0</v>
      </c>
      <c r="AF336" s="14">
        <v>0</v>
      </c>
      <c r="AG336" s="14">
        <v>0</v>
      </c>
      <c r="AH336" s="14">
        <v>0</v>
      </c>
      <c r="AI336" s="14">
        <v>0</v>
      </c>
      <c r="AJ336" s="14">
        <v>0</v>
      </c>
      <c r="AK336" s="14">
        <v>0</v>
      </c>
      <c r="AL336" s="14">
        <v>0</v>
      </c>
      <c r="AM336" s="453">
        <v>0</v>
      </c>
      <c r="AN336" s="453">
        <v>0</v>
      </c>
      <c r="AO336" s="453">
        <v>0</v>
      </c>
      <c r="AP336" s="453">
        <v>0</v>
      </c>
      <c r="AQ336" s="453">
        <v>0</v>
      </c>
      <c r="AR336" s="453">
        <v>0</v>
      </c>
      <c r="AS336" s="453">
        <v>0</v>
      </c>
      <c r="AT336" s="453">
        <v>0</v>
      </c>
      <c r="AU336" s="453">
        <v>0</v>
      </c>
      <c r="AV336" s="453">
        <v>0</v>
      </c>
      <c r="AW336" s="453">
        <v>0</v>
      </c>
      <c r="AX336" s="453">
        <v>0</v>
      </c>
      <c r="AY336" s="453">
        <v>0</v>
      </c>
      <c r="AZ336" s="453">
        <v>0</v>
      </c>
      <c r="BA336" s="453">
        <v>0</v>
      </c>
      <c r="BB336" s="453">
        <v>0</v>
      </c>
      <c r="BC336" s="453">
        <v>0</v>
      </c>
      <c r="BD336" s="453">
        <v>0</v>
      </c>
      <c r="BE336" s="105">
        <v>0</v>
      </c>
      <c r="BF336" s="453">
        <v>0</v>
      </c>
      <c r="BG336" s="453">
        <v>0</v>
      </c>
      <c r="BH336" s="105">
        <v>0</v>
      </c>
      <c r="BI336" s="453">
        <v>0</v>
      </c>
      <c r="BJ336" s="453">
        <v>0</v>
      </c>
      <c r="BK336" s="105">
        <v>0</v>
      </c>
      <c r="BL336" s="453">
        <v>0</v>
      </c>
      <c r="BM336" s="453">
        <v>0</v>
      </c>
      <c r="BN336" s="453">
        <v>0</v>
      </c>
      <c r="BO336" s="453">
        <v>0</v>
      </c>
      <c r="BP336" s="453">
        <v>0</v>
      </c>
      <c r="BQ336" s="453">
        <v>0</v>
      </c>
      <c r="BR336" s="14">
        <v>0</v>
      </c>
      <c r="BS336" s="14">
        <v>0</v>
      </c>
      <c r="BT336" s="377" t="str">
        <v/>
      </c>
      <c r="BU336" s="105" t="str">
        <v/>
      </c>
      <c r="BV336" s="453" t="str">
        <v/>
      </c>
      <c r="BW336" s="105" t="str">
        <f ca="1"/>
        <v/>
      </c>
    </row>
    <row r="337" spans="1:75" x14ac:dyDescent="0.3">
      <c r="A337" s="1">
        <v>0</v>
      </c>
      <c r="B337" s="106">
        <v>0</v>
      </c>
      <c r="C337" s="14">
        <v>0</v>
      </c>
      <c r="D337" s="14">
        <v>0</v>
      </c>
      <c r="E337" s="14">
        <v>0</v>
      </c>
      <c r="F337" s="453">
        <v>0</v>
      </c>
      <c r="G337" s="377">
        <v>0</v>
      </c>
      <c r="H337" s="453">
        <v>0</v>
      </c>
      <c r="I337" s="453">
        <v>0</v>
      </c>
      <c r="J337" s="453">
        <v>0</v>
      </c>
      <c r="K337" s="453">
        <v>0</v>
      </c>
      <c r="L337" s="453">
        <v>0</v>
      </c>
      <c r="M337" s="453">
        <v>0</v>
      </c>
      <c r="N337" s="453">
        <v>0</v>
      </c>
      <c r="O337" s="453">
        <v>0</v>
      </c>
      <c r="P337" s="14">
        <v>0</v>
      </c>
      <c r="Q337" s="14">
        <v>0</v>
      </c>
      <c r="R337" s="453">
        <v>0</v>
      </c>
      <c r="S337" s="453">
        <v>0</v>
      </c>
      <c r="T337" s="453">
        <v>0</v>
      </c>
      <c r="U337" s="453">
        <v>0</v>
      </c>
      <c r="V337" s="453">
        <v>0</v>
      </c>
      <c r="W337" s="453">
        <v>0</v>
      </c>
      <c r="X337" s="453">
        <v>0</v>
      </c>
      <c r="Y337" s="453">
        <v>0</v>
      </c>
      <c r="Z337" s="453">
        <v>0</v>
      </c>
      <c r="AA337" s="14">
        <v>0</v>
      </c>
      <c r="AB337" s="14">
        <v>0</v>
      </c>
      <c r="AC337" s="453">
        <v>0</v>
      </c>
      <c r="AD337" s="14">
        <v>0</v>
      </c>
      <c r="AE337" s="14">
        <v>0</v>
      </c>
      <c r="AF337" s="14">
        <v>0</v>
      </c>
      <c r="AG337" s="14">
        <v>0</v>
      </c>
      <c r="AH337" s="14">
        <v>0</v>
      </c>
      <c r="AI337" s="14">
        <v>0</v>
      </c>
      <c r="AJ337" s="14">
        <v>0</v>
      </c>
      <c r="AK337" s="14">
        <v>0</v>
      </c>
      <c r="AL337" s="14">
        <v>0</v>
      </c>
      <c r="AM337" s="453">
        <v>0</v>
      </c>
      <c r="AN337" s="453">
        <v>0</v>
      </c>
      <c r="AO337" s="453">
        <v>0</v>
      </c>
      <c r="AP337" s="453">
        <v>0</v>
      </c>
      <c r="AQ337" s="453">
        <v>0</v>
      </c>
      <c r="AR337" s="453">
        <v>0</v>
      </c>
      <c r="AS337" s="453">
        <v>0</v>
      </c>
      <c r="AT337" s="453">
        <v>0</v>
      </c>
      <c r="AU337" s="453">
        <v>0</v>
      </c>
      <c r="AV337" s="453">
        <v>0</v>
      </c>
      <c r="AW337" s="453">
        <v>0</v>
      </c>
      <c r="AX337" s="453">
        <v>0</v>
      </c>
      <c r="AY337" s="453">
        <v>0</v>
      </c>
      <c r="AZ337" s="453">
        <v>0</v>
      </c>
      <c r="BA337" s="453">
        <v>0</v>
      </c>
      <c r="BB337" s="453">
        <v>0</v>
      </c>
      <c r="BC337" s="453">
        <v>0</v>
      </c>
      <c r="BD337" s="453">
        <v>0</v>
      </c>
      <c r="BE337" s="105">
        <v>0</v>
      </c>
      <c r="BF337" s="453">
        <v>0</v>
      </c>
      <c r="BG337" s="453">
        <v>0</v>
      </c>
      <c r="BH337" s="105">
        <v>0</v>
      </c>
      <c r="BI337" s="453">
        <v>0</v>
      </c>
      <c r="BJ337" s="453">
        <v>0</v>
      </c>
      <c r="BK337" s="105">
        <v>0</v>
      </c>
      <c r="BL337" s="453">
        <v>0</v>
      </c>
      <c r="BM337" s="453">
        <v>0</v>
      </c>
      <c r="BN337" s="453">
        <v>0</v>
      </c>
      <c r="BO337" s="453">
        <v>0</v>
      </c>
      <c r="BP337" s="453">
        <v>0</v>
      </c>
      <c r="BQ337" s="453">
        <v>0</v>
      </c>
      <c r="BR337" s="14">
        <v>0</v>
      </c>
      <c r="BS337" s="14">
        <v>0</v>
      </c>
      <c r="BT337" s="377" t="str">
        <v/>
      </c>
      <c r="BU337" s="105" t="str">
        <v/>
      </c>
      <c r="BV337" s="453" t="str">
        <v/>
      </c>
      <c r="BW337" s="105" t="str">
        <f ca="1"/>
        <v/>
      </c>
    </row>
    <row r="338" spans="1:75" x14ac:dyDescent="0.3">
      <c r="A338" s="1">
        <v>0</v>
      </c>
      <c r="B338" s="106">
        <v>0</v>
      </c>
      <c r="C338" s="14">
        <v>0</v>
      </c>
      <c r="D338" s="14">
        <v>0</v>
      </c>
      <c r="E338" s="14">
        <v>0</v>
      </c>
      <c r="F338" s="453">
        <v>0</v>
      </c>
      <c r="G338" s="377">
        <v>0</v>
      </c>
      <c r="H338" s="453">
        <v>0</v>
      </c>
      <c r="I338" s="453">
        <v>0</v>
      </c>
      <c r="J338" s="453">
        <v>0</v>
      </c>
      <c r="K338" s="453">
        <v>0</v>
      </c>
      <c r="L338" s="453">
        <v>0</v>
      </c>
      <c r="M338" s="453">
        <v>0</v>
      </c>
      <c r="N338" s="453">
        <v>0</v>
      </c>
      <c r="O338" s="453">
        <v>0</v>
      </c>
      <c r="P338" s="14">
        <v>0</v>
      </c>
      <c r="Q338" s="14">
        <v>0</v>
      </c>
      <c r="R338" s="453">
        <v>0</v>
      </c>
      <c r="S338" s="453">
        <v>0</v>
      </c>
      <c r="T338" s="453">
        <v>0</v>
      </c>
      <c r="U338" s="453">
        <v>0</v>
      </c>
      <c r="V338" s="453">
        <v>0</v>
      </c>
      <c r="W338" s="453">
        <v>0</v>
      </c>
      <c r="X338" s="453">
        <v>0</v>
      </c>
      <c r="Y338" s="453">
        <v>0</v>
      </c>
      <c r="Z338" s="453">
        <v>0</v>
      </c>
      <c r="AA338" s="14">
        <v>0</v>
      </c>
      <c r="AB338" s="14">
        <v>0</v>
      </c>
      <c r="AC338" s="453">
        <v>0</v>
      </c>
      <c r="AD338" s="14">
        <v>0</v>
      </c>
      <c r="AE338" s="14">
        <v>0</v>
      </c>
      <c r="AF338" s="14">
        <v>0</v>
      </c>
      <c r="AG338" s="14">
        <v>0</v>
      </c>
      <c r="AH338" s="14">
        <v>0</v>
      </c>
      <c r="AI338" s="14">
        <v>0</v>
      </c>
      <c r="AJ338" s="14">
        <v>0</v>
      </c>
      <c r="AK338" s="14">
        <v>0</v>
      </c>
      <c r="AL338" s="14">
        <v>0</v>
      </c>
      <c r="AM338" s="453">
        <v>0</v>
      </c>
      <c r="AN338" s="453">
        <v>0</v>
      </c>
      <c r="AO338" s="453">
        <v>0</v>
      </c>
      <c r="AP338" s="453">
        <v>0</v>
      </c>
      <c r="AQ338" s="453">
        <v>0</v>
      </c>
      <c r="AR338" s="453">
        <v>0</v>
      </c>
      <c r="AS338" s="453">
        <v>0</v>
      </c>
      <c r="AT338" s="453">
        <v>0</v>
      </c>
      <c r="AU338" s="453">
        <v>0</v>
      </c>
      <c r="AV338" s="453">
        <v>0</v>
      </c>
      <c r="AW338" s="453">
        <v>0</v>
      </c>
      <c r="AX338" s="453">
        <v>0</v>
      </c>
      <c r="AY338" s="453">
        <v>0</v>
      </c>
      <c r="AZ338" s="453">
        <v>0</v>
      </c>
      <c r="BA338" s="453">
        <v>0</v>
      </c>
      <c r="BB338" s="453">
        <v>0</v>
      </c>
      <c r="BC338" s="453">
        <v>0</v>
      </c>
      <c r="BD338" s="453">
        <v>0</v>
      </c>
      <c r="BE338" s="105">
        <v>0</v>
      </c>
      <c r="BF338" s="453">
        <v>0</v>
      </c>
      <c r="BG338" s="453">
        <v>0</v>
      </c>
      <c r="BH338" s="105">
        <v>0</v>
      </c>
      <c r="BI338" s="453">
        <v>0</v>
      </c>
      <c r="BJ338" s="453">
        <v>0</v>
      </c>
      <c r="BK338" s="105">
        <v>0</v>
      </c>
      <c r="BL338" s="453">
        <v>0</v>
      </c>
      <c r="BM338" s="453">
        <v>0</v>
      </c>
      <c r="BN338" s="453">
        <v>0</v>
      </c>
      <c r="BO338" s="453">
        <v>0</v>
      </c>
      <c r="BP338" s="453">
        <v>0</v>
      </c>
      <c r="BQ338" s="453">
        <v>0</v>
      </c>
      <c r="BR338" s="14">
        <v>0</v>
      </c>
      <c r="BS338" s="14">
        <v>0</v>
      </c>
      <c r="BT338" s="377" t="str">
        <v/>
      </c>
      <c r="BU338" s="105" t="str">
        <v/>
      </c>
      <c r="BV338" s="453" t="str">
        <v/>
      </c>
      <c r="BW338" s="105" t="str">
        <f ca="1"/>
        <v/>
      </c>
    </row>
    <row r="339" spans="1:75" x14ac:dyDescent="0.3">
      <c r="A339" s="1">
        <v>0</v>
      </c>
      <c r="B339" s="106">
        <v>0</v>
      </c>
      <c r="C339" s="14">
        <v>0</v>
      </c>
      <c r="D339" s="14">
        <v>0</v>
      </c>
      <c r="E339" s="14">
        <v>0</v>
      </c>
      <c r="F339" s="453">
        <v>0</v>
      </c>
      <c r="G339" s="377">
        <v>0</v>
      </c>
      <c r="H339" s="453">
        <v>0</v>
      </c>
      <c r="I339" s="453">
        <v>0</v>
      </c>
      <c r="J339" s="453">
        <v>0</v>
      </c>
      <c r="K339" s="453">
        <v>0</v>
      </c>
      <c r="L339" s="453">
        <v>0</v>
      </c>
      <c r="M339" s="453">
        <v>0</v>
      </c>
      <c r="N339" s="453">
        <v>0</v>
      </c>
      <c r="O339" s="453">
        <v>0</v>
      </c>
      <c r="P339" s="14">
        <v>0</v>
      </c>
      <c r="Q339" s="14">
        <v>0</v>
      </c>
      <c r="R339" s="453">
        <v>0</v>
      </c>
      <c r="S339" s="453">
        <v>0</v>
      </c>
      <c r="T339" s="453">
        <v>0</v>
      </c>
      <c r="U339" s="453">
        <v>0</v>
      </c>
      <c r="V339" s="453">
        <v>0</v>
      </c>
      <c r="W339" s="453">
        <v>0</v>
      </c>
      <c r="X339" s="453">
        <v>0</v>
      </c>
      <c r="Y339" s="453">
        <v>0</v>
      </c>
      <c r="Z339" s="453">
        <v>0</v>
      </c>
      <c r="AA339" s="14">
        <v>0</v>
      </c>
      <c r="AB339" s="14">
        <v>0</v>
      </c>
      <c r="AC339" s="453">
        <v>0</v>
      </c>
      <c r="AD339" s="14">
        <v>0</v>
      </c>
      <c r="AE339" s="14">
        <v>0</v>
      </c>
      <c r="AF339" s="14">
        <v>0</v>
      </c>
      <c r="AG339" s="14">
        <v>0</v>
      </c>
      <c r="AH339" s="14">
        <v>0</v>
      </c>
      <c r="AI339" s="14">
        <v>0</v>
      </c>
      <c r="AJ339" s="14">
        <v>0</v>
      </c>
      <c r="AK339" s="14">
        <v>0</v>
      </c>
      <c r="AL339" s="14">
        <v>0</v>
      </c>
      <c r="AM339" s="453">
        <v>0</v>
      </c>
      <c r="AN339" s="453">
        <v>0</v>
      </c>
      <c r="AO339" s="453">
        <v>0</v>
      </c>
      <c r="AP339" s="453">
        <v>0</v>
      </c>
      <c r="AQ339" s="453">
        <v>0</v>
      </c>
      <c r="AR339" s="453">
        <v>0</v>
      </c>
      <c r="AS339" s="453">
        <v>0</v>
      </c>
      <c r="AT339" s="453">
        <v>0</v>
      </c>
      <c r="AU339" s="453">
        <v>0</v>
      </c>
      <c r="AV339" s="453">
        <v>0</v>
      </c>
      <c r="AW339" s="453">
        <v>0</v>
      </c>
      <c r="AX339" s="453">
        <v>0</v>
      </c>
      <c r="AY339" s="453">
        <v>0</v>
      </c>
      <c r="AZ339" s="453">
        <v>0</v>
      </c>
      <c r="BA339" s="453">
        <v>0</v>
      </c>
      <c r="BB339" s="453">
        <v>0</v>
      </c>
      <c r="BC339" s="453">
        <v>0</v>
      </c>
      <c r="BD339" s="453">
        <v>0</v>
      </c>
      <c r="BE339" s="105">
        <v>0</v>
      </c>
      <c r="BF339" s="453">
        <v>0</v>
      </c>
      <c r="BG339" s="453">
        <v>0</v>
      </c>
      <c r="BH339" s="105">
        <v>0</v>
      </c>
      <c r="BI339" s="453">
        <v>0</v>
      </c>
      <c r="BJ339" s="453">
        <v>0</v>
      </c>
      <c r="BK339" s="105">
        <v>0</v>
      </c>
      <c r="BL339" s="453">
        <v>0</v>
      </c>
      <c r="BM339" s="453">
        <v>0</v>
      </c>
      <c r="BN339" s="453">
        <v>0</v>
      </c>
      <c r="BO339" s="453">
        <v>0</v>
      </c>
      <c r="BP339" s="453">
        <v>0</v>
      </c>
      <c r="BQ339" s="453">
        <v>0</v>
      </c>
      <c r="BR339" s="14">
        <v>0</v>
      </c>
      <c r="BS339" s="14">
        <v>0</v>
      </c>
      <c r="BT339" s="377" t="str">
        <v/>
      </c>
      <c r="BU339" s="105" t="str">
        <v/>
      </c>
      <c r="BV339" s="453" t="str">
        <v/>
      </c>
      <c r="BW339" s="105" t="str">
        <f ca="1"/>
        <v/>
      </c>
    </row>
    <row r="340" spans="1:75" x14ac:dyDescent="0.3">
      <c r="A340" s="1">
        <v>0</v>
      </c>
      <c r="B340" s="106">
        <v>0</v>
      </c>
      <c r="C340" s="14">
        <v>0</v>
      </c>
      <c r="D340" s="14">
        <v>0</v>
      </c>
      <c r="E340" s="14">
        <v>0</v>
      </c>
      <c r="F340" s="453">
        <v>0</v>
      </c>
      <c r="G340" s="377">
        <v>0</v>
      </c>
      <c r="H340" s="453">
        <v>0</v>
      </c>
      <c r="I340" s="453">
        <v>0</v>
      </c>
      <c r="J340" s="453">
        <v>0</v>
      </c>
      <c r="K340" s="453">
        <v>0</v>
      </c>
      <c r="L340" s="453">
        <v>0</v>
      </c>
      <c r="M340" s="453">
        <v>0</v>
      </c>
      <c r="N340" s="453">
        <v>0</v>
      </c>
      <c r="O340" s="453">
        <v>0</v>
      </c>
      <c r="P340" s="14">
        <v>0</v>
      </c>
      <c r="Q340" s="14">
        <v>0</v>
      </c>
      <c r="R340" s="453">
        <v>0</v>
      </c>
      <c r="S340" s="453">
        <v>0</v>
      </c>
      <c r="T340" s="453">
        <v>0</v>
      </c>
      <c r="U340" s="453">
        <v>0</v>
      </c>
      <c r="V340" s="453">
        <v>0</v>
      </c>
      <c r="W340" s="453">
        <v>0</v>
      </c>
      <c r="X340" s="453">
        <v>0</v>
      </c>
      <c r="Y340" s="453">
        <v>0</v>
      </c>
      <c r="Z340" s="453">
        <v>0</v>
      </c>
      <c r="AA340" s="14">
        <v>0</v>
      </c>
      <c r="AB340" s="14">
        <v>0</v>
      </c>
      <c r="AC340" s="453">
        <v>0</v>
      </c>
      <c r="AD340" s="14">
        <v>0</v>
      </c>
      <c r="AE340" s="14">
        <v>0</v>
      </c>
      <c r="AF340" s="14">
        <v>0</v>
      </c>
      <c r="AG340" s="14">
        <v>0</v>
      </c>
      <c r="AH340" s="14">
        <v>0</v>
      </c>
      <c r="AI340" s="14">
        <v>0</v>
      </c>
      <c r="AJ340" s="14">
        <v>0</v>
      </c>
      <c r="AK340" s="14">
        <v>0</v>
      </c>
      <c r="AL340" s="14">
        <v>0</v>
      </c>
      <c r="AM340" s="453">
        <v>0</v>
      </c>
      <c r="AN340" s="453">
        <v>0</v>
      </c>
      <c r="AO340" s="453">
        <v>0</v>
      </c>
      <c r="AP340" s="453">
        <v>0</v>
      </c>
      <c r="AQ340" s="453">
        <v>0</v>
      </c>
      <c r="AR340" s="453">
        <v>0</v>
      </c>
      <c r="AS340" s="453">
        <v>0</v>
      </c>
      <c r="AT340" s="453">
        <v>0</v>
      </c>
      <c r="AU340" s="453">
        <v>0</v>
      </c>
      <c r="AV340" s="453">
        <v>0</v>
      </c>
      <c r="AW340" s="453">
        <v>0</v>
      </c>
      <c r="AX340" s="453">
        <v>0</v>
      </c>
      <c r="AY340" s="453">
        <v>0</v>
      </c>
      <c r="AZ340" s="453">
        <v>0</v>
      </c>
      <c r="BA340" s="453">
        <v>0</v>
      </c>
      <c r="BB340" s="453">
        <v>0</v>
      </c>
      <c r="BC340" s="453">
        <v>0</v>
      </c>
      <c r="BD340" s="453">
        <v>0</v>
      </c>
      <c r="BE340" s="105">
        <v>0</v>
      </c>
      <c r="BF340" s="453">
        <v>0</v>
      </c>
      <c r="BG340" s="453">
        <v>0</v>
      </c>
      <c r="BH340" s="105">
        <v>0</v>
      </c>
      <c r="BI340" s="453">
        <v>0</v>
      </c>
      <c r="BJ340" s="453">
        <v>0</v>
      </c>
      <c r="BK340" s="105">
        <v>0</v>
      </c>
      <c r="BL340" s="453">
        <v>0</v>
      </c>
      <c r="BM340" s="453">
        <v>0</v>
      </c>
      <c r="BN340" s="453">
        <v>0</v>
      </c>
      <c r="BO340" s="453">
        <v>0</v>
      </c>
      <c r="BP340" s="453">
        <v>0</v>
      </c>
      <c r="BQ340" s="453">
        <v>0</v>
      </c>
      <c r="BR340" s="14">
        <v>0</v>
      </c>
      <c r="BS340" s="14">
        <v>0</v>
      </c>
      <c r="BT340" s="377" t="str">
        <v/>
      </c>
      <c r="BU340" s="105" t="str">
        <v/>
      </c>
      <c r="BV340" s="453" t="str">
        <v/>
      </c>
      <c r="BW340" s="105" t="str">
        <f ca="1"/>
        <v/>
      </c>
    </row>
    <row r="341" spans="1:75" x14ac:dyDescent="0.3">
      <c r="A341" s="1">
        <v>0</v>
      </c>
      <c r="B341" s="106">
        <v>0</v>
      </c>
      <c r="C341" s="14">
        <v>0</v>
      </c>
      <c r="D341" s="14">
        <v>0</v>
      </c>
      <c r="E341" s="14">
        <v>0</v>
      </c>
      <c r="F341" s="453">
        <v>0</v>
      </c>
      <c r="G341" s="377">
        <v>0</v>
      </c>
      <c r="H341" s="453">
        <v>0</v>
      </c>
      <c r="I341" s="453">
        <v>0</v>
      </c>
      <c r="J341" s="453">
        <v>0</v>
      </c>
      <c r="K341" s="453">
        <v>0</v>
      </c>
      <c r="L341" s="453">
        <v>0</v>
      </c>
      <c r="M341" s="453">
        <v>0</v>
      </c>
      <c r="N341" s="453">
        <v>0</v>
      </c>
      <c r="O341" s="453">
        <v>0</v>
      </c>
      <c r="P341" s="14">
        <v>0</v>
      </c>
      <c r="Q341" s="14">
        <v>0</v>
      </c>
      <c r="R341" s="453">
        <v>0</v>
      </c>
      <c r="S341" s="453">
        <v>0</v>
      </c>
      <c r="T341" s="453">
        <v>0</v>
      </c>
      <c r="U341" s="453">
        <v>0</v>
      </c>
      <c r="V341" s="453">
        <v>0</v>
      </c>
      <c r="W341" s="453">
        <v>0</v>
      </c>
      <c r="X341" s="453">
        <v>0</v>
      </c>
      <c r="Y341" s="453">
        <v>0</v>
      </c>
      <c r="Z341" s="453">
        <v>0</v>
      </c>
      <c r="AA341" s="14">
        <v>0</v>
      </c>
      <c r="AB341" s="14">
        <v>0</v>
      </c>
      <c r="AC341" s="453">
        <v>0</v>
      </c>
      <c r="AD341" s="14">
        <v>0</v>
      </c>
      <c r="AE341" s="14">
        <v>0</v>
      </c>
      <c r="AF341" s="14">
        <v>0</v>
      </c>
      <c r="AG341" s="14">
        <v>0</v>
      </c>
      <c r="AH341" s="14">
        <v>0</v>
      </c>
      <c r="AI341" s="14">
        <v>0</v>
      </c>
      <c r="AJ341" s="14">
        <v>0</v>
      </c>
      <c r="AK341" s="14">
        <v>0</v>
      </c>
      <c r="AL341" s="14">
        <v>0</v>
      </c>
      <c r="AM341" s="453">
        <v>0</v>
      </c>
      <c r="AN341" s="453">
        <v>0</v>
      </c>
      <c r="AO341" s="453">
        <v>0</v>
      </c>
      <c r="AP341" s="453">
        <v>0</v>
      </c>
      <c r="AQ341" s="453">
        <v>0</v>
      </c>
      <c r="AR341" s="453">
        <v>0</v>
      </c>
      <c r="AS341" s="453">
        <v>0</v>
      </c>
      <c r="AT341" s="453">
        <v>0</v>
      </c>
      <c r="AU341" s="453">
        <v>0</v>
      </c>
      <c r="AV341" s="453">
        <v>0</v>
      </c>
      <c r="AW341" s="453">
        <v>0</v>
      </c>
      <c r="AX341" s="453">
        <v>0</v>
      </c>
      <c r="AY341" s="453">
        <v>0</v>
      </c>
      <c r="AZ341" s="453">
        <v>0</v>
      </c>
      <c r="BA341" s="453">
        <v>0</v>
      </c>
      <c r="BB341" s="453">
        <v>0</v>
      </c>
      <c r="BC341" s="453">
        <v>0</v>
      </c>
      <c r="BD341" s="453">
        <v>0</v>
      </c>
      <c r="BE341" s="105">
        <v>0</v>
      </c>
      <c r="BF341" s="453">
        <v>0</v>
      </c>
      <c r="BG341" s="453">
        <v>0</v>
      </c>
      <c r="BH341" s="105">
        <v>0</v>
      </c>
      <c r="BI341" s="453">
        <v>0</v>
      </c>
      <c r="BJ341" s="453">
        <v>0</v>
      </c>
      <c r="BK341" s="105">
        <v>0</v>
      </c>
      <c r="BL341" s="453">
        <v>0</v>
      </c>
      <c r="BM341" s="453">
        <v>0</v>
      </c>
      <c r="BN341" s="453">
        <v>0</v>
      </c>
      <c r="BO341" s="453">
        <v>0</v>
      </c>
      <c r="BP341" s="453">
        <v>0</v>
      </c>
      <c r="BQ341" s="453">
        <v>0</v>
      </c>
      <c r="BR341" s="14">
        <v>0</v>
      </c>
      <c r="BS341" s="14">
        <v>0</v>
      </c>
      <c r="BT341" s="377" t="str">
        <v/>
      </c>
      <c r="BU341" s="105" t="str">
        <v/>
      </c>
      <c r="BV341" s="453" t="str">
        <v/>
      </c>
      <c r="BW341" s="105" t="str">
        <f ca="1"/>
        <v/>
      </c>
    </row>
    <row r="342" spans="1:75" x14ac:dyDescent="0.3">
      <c r="A342" s="1">
        <v>0</v>
      </c>
      <c r="B342" s="106">
        <v>0</v>
      </c>
      <c r="C342" s="14">
        <v>0</v>
      </c>
      <c r="D342" s="14">
        <v>0</v>
      </c>
      <c r="E342" s="14">
        <v>0</v>
      </c>
      <c r="F342" s="453">
        <v>0</v>
      </c>
      <c r="G342" s="377">
        <v>0</v>
      </c>
      <c r="H342" s="453">
        <v>0</v>
      </c>
      <c r="I342" s="453">
        <v>0</v>
      </c>
      <c r="J342" s="453">
        <v>0</v>
      </c>
      <c r="K342" s="453">
        <v>0</v>
      </c>
      <c r="L342" s="453">
        <v>0</v>
      </c>
      <c r="M342" s="453">
        <v>0</v>
      </c>
      <c r="N342" s="453">
        <v>0</v>
      </c>
      <c r="O342" s="453">
        <v>0</v>
      </c>
      <c r="P342" s="14">
        <v>0</v>
      </c>
      <c r="Q342" s="14">
        <v>0</v>
      </c>
      <c r="R342" s="453">
        <v>0</v>
      </c>
      <c r="S342" s="453">
        <v>0</v>
      </c>
      <c r="T342" s="453">
        <v>0</v>
      </c>
      <c r="U342" s="453">
        <v>0</v>
      </c>
      <c r="V342" s="453">
        <v>0</v>
      </c>
      <c r="W342" s="453">
        <v>0</v>
      </c>
      <c r="X342" s="453">
        <v>0</v>
      </c>
      <c r="Y342" s="453">
        <v>0</v>
      </c>
      <c r="Z342" s="453">
        <v>0</v>
      </c>
      <c r="AA342" s="14">
        <v>0</v>
      </c>
      <c r="AB342" s="14">
        <v>0</v>
      </c>
      <c r="AC342" s="453">
        <v>0</v>
      </c>
      <c r="AD342" s="14">
        <v>0</v>
      </c>
      <c r="AE342" s="14">
        <v>0</v>
      </c>
      <c r="AF342" s="14">
        <v>0</v>
      </c>
      <c r="AG342" s="14">
        <v>0</v>
      </c>
      <c r="AH342" s="14">
        <v>0</v>
      </c>
      <c r="AI342" s="14">
        <v>0</v>
      </c>
      <c r="AJ342" s="14">
        <v>0</v>
      </c>
      <c r="AK342" s="14">
        <v>0</v>
      </c>
      <c r="AL342" s="14">
        <v>0</v>
      </c>
      <c r="AM342" s="453">
        <v>0</v>
      </c>
      <c r="AN342" s="453">
        <v>0</v>
      </c>
      <c r="AO342" s="453">
        <v>0</v>
      </c>
      <c r="AP342" s="453">
        <v>0</v>
      </c>
      <c r="AQ342" s="453">
        <v>0</v>
      </c>
      <c r="AR342" s="453">
        <v>0</v>
      </c>
      <c r="AS342" s="453">
        <v>0</v>
      </c>
      <c r="AT342" s="453">
        <v>0</v>
      </c>
      <c r="AU342" s="453">
        <v>0</v>
      </c>
      <c r="AV342" s="453">
        <v>0</v>
      </c>
      <c r="AW342" s="453">
        <v>0</v>
      </c>
      <c r="AX342" s="453">
        <v>0</v>
      </c>
      <c r="AY342" s="453">
        <v>0</v>
      </c>
      <c r="AZ342" s="453">
        <v>0</v>
      </c>
      <c r="BA342" s="453">
        <v>0</v>
      </c>
      <c r="BB342" s="453">
        <v>0</v>
      </c>
      <c r="BC342" s="453">
        <v>0</v>
      </c>
      <c r="BD342" s="453">
        <v>0</v>
      </c>
      <c r="BE342" s="105">
        <v>0</v>
      </c>
      <c r="BF342" s="453">
        <v>0</v>
      </c>
      <c r="BG342" s="453">
        <v>0</v>
      </c>
      <c r="BH342" s="105">
        <v>0</v>
      </c>
      <c r="BI342" s="453">
        <v>0</v>
      </c>
      <c r="BJ342" s="453">
        <v>0</v>
      </c>
      <c r="BK342" s="105">
        <v>0</v>
      </c>
      <c r="BL342" s="453">
        <v>0</v>
      </c>
      <c r="BM342" s="453">
        <v>0</v>
      </c>
      <c r="BN342" s="453">
        <v>0</v>
      </c>
      <c r="BO342" s="453">
        <v>0</v>
      </c>
      <c r="BP342" s="453">
        <v>0</v>
      </c>
      <c r="BQ342" s="453">
        <v>0</v>
      </c>
      <c r="BR342" s="14">
        <v>0</v>
      </c>
      <c r="BS342" s="14">
        <v>0</v>
      </c>
      <c r="BT342" s="377" t="str">
        <v/>
      </c>
      <c r="BU342" s="105" t="str">
        <v/>
      </c>
      <c r="BV342" s="453" t="str">
        <v/>
      </c>
      <c r="BW342" s="105" t="str">
        <f ca="1"/>
        <v/>
      </c>
    </row>
    <row r="343" spans="1:75" x14ac:dyDescent="0.3">
      <c r="A343" s="1">
        <v>0</v>
      </c>
      <c r="B343" s="106">
        <v>0</v>
      </c>
      <c r="C343" s="14">
        <v>0</v>
      </c>
      <c r="D343" s="14">
        <v>0</v>
      </c>
      <c r="E343" s="14">
        <v>0</v>
      </c>
      <c r="F343" s="453">
        <v>0</v>
      </c>
      <c r="G343" s="377">
        <v>0</v>
      </c>
      <c r="H343" s="453">
        <v>0</v>
      </c>
      <c r="I343" s="453">
        <v>0</v>
      </c>
      <c r="J343" s="453">
        <v>0</v>
      </c>
      <c r="K343" s="453">
        <v>0</v>
      </c>
      <c r="L343" s="453">
        <v>0</v>
      </c>
      <c r="M343" s="453">
        <v>0</v>
      </c>
      <c r="N343" s="453">
        <v>0</v>
      </c>
      <c r="O343" s="453">
        <v>0</v>
      </c>
      <c r="P343" s="14">
        <v>0</v>
      </c>
      <c r="Q343" s="14">
        <v>0</v>
      </c>
      <c r="R343" s="453">
        <v>0</v>
      </c>
      <c r="S343" s="453">
        <v>0</v>
      </c>
      <c r="T343" s="453">
        <v>0</v>
      </c>
      <c r="U343" s="453">
        <v>0</v>
      </c>
      <c r="V343" s="453">
        <v>0</v>
      </c>
      <c r="W343" s="453">
        <v>0</v>
      </c>
      <c r="X343" s="453">
        <v>0</v>
      </c>
      <c r="Y343" s="453">
        <v>0</v>
      </c>
      <c r="Z343" s="453">
        <v>0</v>
      </c>
      <c r="AA343" s="14">
        <v>0</v>
      </c>
      <c r="AB343" s="14">
        <v>0</v>
      </c>
      <c r="AC343" s="453">
        <v>0</v>
      </c>
      <c r="AD343" s="14">
        <v>0</v>
      </c>
      <c r="AE343" s="14">
        <v>0</v>
      </c>
      <c r="AF343" s="14">
        <v>0</v>
      </c>
      <c r="AG343" s="14">
        <v>0</v>
      </c>
      <c r="AH343" s="14">
        <v>0</v>
      </c>
      <c r="AI343" s="14">
        <v>0</v>
      </c>
      <c r="AJ343" s="14">
        <v>0</v>
      </c>
      <c r="AK343" s="14">
        <v>0</v>
      </c>
      <c r="AL343" s="14">
        <v>0</v>
      </c>
      <c r="AM343" s="453">
        <v>0</v>
      </c>
      <c r="AN343" s="453">
        <v>0</v>
      </c>
      <c r="AO343" s="453">
        <v>0</v>
      </c>
      <c r="AP343" s="453">
        <v>0</v>
      </c>
      <c r="AQ343" s="453">
        <v>0</v>
      </c>
      <c r="AR343" s="453">
        <v>0</v>
      </c>
      <c r="AS343" s="453">
        <v>0</v>
      </c>
      <c r="AT343" s="453">
        <v>0</v>
      </c>
      <c r="AU343" s="453">
        <v>0</v>
      </c>
      <c r="AV343" s="453">
        <v>0</v>
      </c>
      <c r="AW343" s="453">
        <v>0</v>
      </c>
      <c r="AX343" s="453">
        <v>0</v>
      </c>
      <c r="AY343" s="453">
        <v>0</v>
      </c>
      <c r="AZ343" s="453">
        <v>0</v>
      </c>
      <c r="BA343" s="453">
        <v>0</v>
      </c>
      <c r="BB343" s="453">
        <v>0</v>
      </c>
      <c r="BC343" s="453">
        <v>0</v>
      </c>
      <c r="BD343" s="453">
        <v>0</v>
      </c>
      <c r="BE343" s="105">
        <v>0</v>
      </c>
      <c r="BF343" s="453">
        <v>0</v>
      </c>
      <c r="BG343" s="453">
        <v>0</v>
      </c>
      <c r="BH343" s="105">
        <v>0</v>
      </c>
      <c r="BI343" s="453">
        <v>0</v>
      </c>
      <c r="BJ343" s="453">
        <v>0</v>
      </c>
      <c r="BK343" s="105">
        <v>0</v>
      </c>
      <c r="BL343" s="453">
        <v>0</v>
      </c>
      <c r="BM343" s="453">
        <v>0</v>
      </c>
      <c r="BN343" s="453">
        <v>0</v>
      </c>
      <c r="BO343" s="453">
        <v>0</v>
      </c>
      <c r="BP343" s="453">
        <v>0</v>
      </c>
      <c r="BQ343" s="453">
        <v>0</v>
      </c>
      <c r="BR343" s="14">
        <v>0</v>
      </c>
      <c r="BS343" s="14">
        <v>0</v>
      </c>
      <c r="BT343" s="377" t="str">
        <v/>
      </c>
      <c r="BU343" s="105" t="str">
        <v/>
      </c>
      <c r="BV343" s="453" t="str">
        <v/>
      </c>
      <c r="BW343" s="105" t="str">
        <f ca="1"/>
        <v/>
      </c>
    </row>
    <row r="344" spans="1:75" x14ac:dyDescent="0.3">
      <c r="A344" s="1">
        <v>0</v>
      </c>
      <c r="B344" s="106">
        <v>0</v>
      </c>
      <c r="C344" s="14">
        <v>0</v>
      </c>
      <c r="D344" s="14">
        <v>0</v>
      </c>
      <c r="E344" s="14">
        <v>0</v>
      </c>
      <c r="F344" s="453">
        <v>0</v>
      </c>
      <c r="G344" s="377">
        <v>0</v>
      </c>
      <c r="H344" s="453">
        <v>0</v>
      </c>
      <c r="I344" s="453">
        <v>0</v>
      </c>
      <c r="J344" s="453">
        <v>0</v>
      </c>
      <c r="K344" s="453">
        <v>0</v>
      </c>
      <c r="L344" s="453">
        <v>0</v>
      </c>
      <c r="M344" s="453">
        <v>0</v>
      </c>
      <c r="N344" s="453">
        <v>0</v>
      </c>
      <c r="O344" s="453">
        <v>0</v>
      </c>
      <c r="P344" s="14">
        <v>0</v>
      </c>
      <c r="Q344" s="14">
        <v>0</v>
      </c>
      <c r="R344" s="453">
        <v>0</v>
      </c>
      <c r="S344" s="453">
        <v>0</v>
      </c>
      <c r="T344" s="453">
        <v>0</v>
      </c>
      <c r="U344" s="453">
        <v>0</v>
      </c>
      <c r="V344" s="453">
        <v>0</v>
      </c>
      <c r="W344" s="453">
        <v>0</v>
      </c>
      <c r="X344" s="453">
        <v>0</v>
      </c>
      <c r="Y344" s="453">
        <v>0</v>
      </c>
      <c r="Z344" s="453">
        <v>0</v>
      </c>
      <c r="AA344" s="14">
        <v>0</v>
      </c>
      <c r="AB344" s="14">
        <v>0</v>
      </c>
      <c r="AC344" s="453">
        <v>0</v>
      </c>
      <c r="AD344" s="14">
        <v>0</v>
      </c>
      <c r="AE344" s="14">
        <v>0</v>
      </c>
      <c r="AF344" s="14">
        <v>0</v>
      </c>
      <c r="AG344" s="14">
        <v>0</v>
      </c>
      <c r="AH344" s="14">
        <v>0</v>
      </c>
      <c r="AI344" s="14">
        <v>0</v>
      </c>
      <c r="AJ344" s="14">
        <v>0</v>
      </c>
      <c r="AK344" s="14">
        <v>0</v>
      </c>
      <c r="AL344" s="14">
        <v>0</v>
      </c>
      <c r="AM344" s="453">
        <v>0</v>
      </c>
      <c r="AN344" s="453">
        <v>0</v>
      </c>
      <c r="AO344" s="453">
        <v>0</v>
      </c>
      <c r="AP344" s="453">
        <v>0</v>
      </c>
      <c r="AQ344" s="453">
        <v>0</v>
      </c>
      <c r="AR344" s="453">
        <v>0</v>
      </c>
      <c r="AS344" s="453">
        <v>0</v>
      </c>
      <c r="AT344" s="453">
        <v>0</v>
      </c>
      <c r="AU344" s="453">
        <v>0</v>
      </c>
      <c r="AV344" s="453">
        <v>0</v>
      </c>
      <c r="AW344" s="453">
        <v>0</v>
      </c>
      <c r="AX344" s="453">
        <v>0</v>
      </c>
      <c r="AY344" s="453">
        <v>0</v>
      </c>
      <c r="AZ344" s="453">
        <v>0</v>
      </c>
      <c r="BA344" s="453">
        <v>0</v>
      </c>
      <c r="BB344" s="453">
        <v>0</v>
      </c>
      <c r="BC344" s="453">
        <v>0</v>
      </c>
      <c r="BD344" s="453">
        <v>0</v>
      </c>
      <c r="BE344" s="105">
        <v>0</v>
      </c>
      <c r="BF344" s="453">
        <v>0</v>
      </c>
      <c r="BG344" s="453">
        <v>0</v>
      </c>
      <c r="BH344" s="105">
        <v>0</v>
      </c>
      <c r="BI344" s="453">
        <v>0</v>
      </c>
      <c r="BJ344" s="453">
        <v>0</v>
      </c>
      <c r="BK344" s="105">
        <v>0</v>
      </c>
      <c r="BL344" s="453">
        <v>0</v>
      </c>
      <c r="BM344" s="453">
        <v>0</v>
      </c>
      <c r="BN344" s="453">
        <v>0</v>
      </c>
      <c r="BO344" s="453">
        <v>0</v>
      </c>
      <c r="BP344" s="453">
        <v>0</v>
      </c>
      <c r="BQ344" s="453">
        <v>0</v>
      </c>
      <c r="BR344" s="14">
        <v>0</v>
      </c>
      <c r="BS344" s="14">
        <v>0</v>
      </c>
      <c r="BT344" s="377" t="str">
        <v/>
      </c>
      <c r="BU344" s="105" t="str">
        <v/>
      </c>
      <c r="BV344" s="453" t="str">
        <v/>
      </c>
      <c r="BW344" s="105" t="str">
        <f ca="1"/>
        <v/>
      </c>
    </row>
    <row r="345" spans="1:75" x14ac:dyDescent="0.3">
      <c r="A345" s="1">
        <v>0</v>
      </c>
      <c r="B345" s="106">
        <v>0</v>
      </c>
      <c r="C345" s="14">
        <v>0</v>
      </c>
      <c r="D345" s="14">
        <v>0</v>
      </c>
      <c r="E345" s="14">
        <v>0</v>
      </c>
      <c r="F345" s="453">
        <v>0</v>
      </c>
      <c r="G345" s="377">
        <v>0</v>
      </c>
      <c r="H345" s="453">
        <v>0</v>
      </c>
      <c r="I345" s="453">
        <v>0</v>
      </c>
      <c r="J345" s="453">
        <v>0</v>
      </c>
      <c r="K345" s="453">
        <v>0</v>
      </c>
      <c r="L345" s="453">
        <v>0</v>
      </c>
      <c r="M345" s="453">
        <v>0</v>
      </c>
      <c r="N345" s="453">
        <v>0</v>
      </c>
      <c r="O345" s="453">
        <v>0</v>
      </c>
      <c r="P345" s="14">
        <v>0</v>
      </c>
      <c r="Q345" s="14">
        <v>0</v>
      </c>
      <c r="R345" s="453">
        <v>0</v>
      </c>
      <c r="S345" s="453">
        <v>0</v>
      </c>
      <c r="T345" s="453">
        <v>0</v>
      </c>
      <c r="U345" s="453">
        <v>0</v>
      </c>
      <c r="V345" s="453">
        <v>0</v>
      </c>
      <c r="W345" s="453">
        <v>0</v>
      </c>
      <c r="X345" s="453">
        <v>0</v>
      </c>
      <c r="Y345" s="453">
        <v>0</v>
      </c>
      <c r="Z345" s="453">
        <v>0</v>
      </c>
      <c r="AA345" s="14">
        <v>0</v>
      </c>
      <c r="AB345" s="14">
        <v>0</v>
      </c>
      <c r="AC345" s="453">
        <v>0</v>
      </c>
      <c r="AD345" s="14">
        <v>0</v>
      </c>
      <c r="AE345" s="14">
        <v>0</v>
      </c>
      <c r="AF345" s="14">
        <v>0</v>
      </c>
      <c r="AG345" s="14">
        <v>0</v>
      </c>
      <c r="AH345" s="14">
        <v>0</v>
      </c>
      <c r="AI345" s="14">
        <v>0</v>
      </c>
      <c r="AJ345" s="14">
        <v>0</v>
      </c>
      <c r="AK345" s="14">
        <v>0</v>
      </c>
      <c r="AL345" s="14">
        <v>0</v>
      </c>
      <c r="AM345" s="453">
        <v>0</v>
      </c>
      <c r="AN345" s="453">
        <v>0</v>
      </c>
      <c r="AO345" s="453">
        <v>0</v>
      </c>
      <c r="AP345" s="453">
        <v>0</v>
      </c>
      <c r="AQ345" s="453">
        <v>0</v>
      </c>
      <c r="AR345" s="453">
        <v>0</v>
      </c>
      <c r="AS345" s="453">
        <v>0</v>
      </c>
      <c r="AT345" s="453">
        <v>0</v>
      </c>
      <c r="AU345" s="453">
        <v>0</v>
      </c>
      <c r="AV345" s="453">
        <v>0</v>
      </c>
      <c r="AW345" s="453">
        <v>0</v>
      </c>
      <c r="AX345" s="453">
        <v>0</v>
      </c>
      <c r="AY345" s="453">
        <v>0</v>
      </c>
      <c r="AZ345" s="453">
        <v>0</v>
      </c>
      <c r="BA345" s="453">
        <v>0</v>
      </c>
      <c r="BB345" s="453">
        <v>0</v>
      </c>
      <c r="BC345" s="453">
        <v>0</v>
      </c>
      <c r="BD345" s="453">
        <v>0</v>
      </c>
      <c r="BE345" s="105">
        <v>0</v>
      </c>
      <c r="BF345" s="453">
        <v>0</v>
      </c>
      <c r="BG345" s="453">
        <v>0</v>
      </c>
      <c r="BH345" s="105">
        <v>0</v>
      </c>
      <c r="BI345" s="453">
        <v>0</v>
      </c>
      <c r="BJ345" s="453">
        <v>0</v>
      </c>
      <c r="BK345" s="105">
        <v>0</v>
      </c>
      <c r="BL345" s="453">
        <v>0</v>
      </c>
      <c r="BM345" s="453">
        <v>0</v>
      </c>
      <c r="BN345" s="453">
        <v>0</v>
      </c>
      <c r="BO345" s="453">
        <v>0</v>
      </c>
      <c r="BP345" s="453">
        <v>0</v>
      </c>
      <c r="BQ345" s="453">
        <v>0</v>
      </c>
      <c r="BR345" s="14">
        <v>0</v>
      </c>
      <c r="BS345" s="14">
        <v>0</v>
      </c>
      <c r="BT345" s="377" t="str">
        <v/>
      </c>
      <c r="BU345" s="105" t="str">
        <v/>
      </c>
      <c r="BV345" s="453" t="str">
        <v/>
      </c>
      <c r="BW345" s="105" t="str">
        <f ca="1"/>
        <v/>
      </c>
    </row>
    <row r="346" spans="1:75" x14ac:dyDescent="0.3">
      <c r="A346" s="1">
        <v>0</v>
      </c>
      <c r="B346" s="106">
        <v>0</v>
      </c>
      <c r="C346" s="14">
        <v>0</v>
      </c>
      <c r="D346" s="14">
        <v>0</v>
      </c>
      <c r="E346" s="14">
        <v>0</v>
      </c>
      <c r="F346" s="453">
        <v>0</v>
      </c>
      <c r="G346" s="377">
        <v>0</v>
      </c>
      <c r="H346" s="453">
        <v>0</v>
      </c>
      <c r="I346" s="453">
        <v>0</v>
      </c>
      <c r="J346" s="453">
        <v>0</v>
      </c>
      <c r="K346" s="453">
        <v>0</v>
      </c>
      <c r="L346" s="453">
        <v>0</v>
      </c>
      <c r="M346" s="453">
        <v>0</v>
      </c>
      <c r="N346" s="453">
        <v>0</v>
      </c>
      <c r="O346" s="453">
        <v>0</v>
      </c>
      <c r="P346" s="14">
        <v>0</v>
      </c>
      <c r="Q346" s="14">
        <v>0</v>
      </c>
      <c r="R346" s="453">
        <v>0</v>
      </c>
      <c r="S346" s="453">
        <v>0</v>
      </c>
      <c r="T346" s="453">
        <v>0</v>
      </c>
      <c r="U346" s="453">
        <v>0</v>
      </c>
      <c r="V346" s="453">
        <v>0</v>
      </c>
      <c r="W346" s="453">
        <v>0</v>
      </c>
      <c r="X346" s="453">
        <v>0</v>
      </c>
      <c r="Y346" s="453">
        <v>0</v>
      </c>
      <c r="Z346" s="453">
        <v>0</v>
      </c>
      <c r="AA346" s="14">
        <v>0</v>
      </c>
      <c r="AB346" s="14">
        <v>0</v>
      </c>
      <c r="AC346" s="453">
        <v>0</v>
      </c>
      <c r="AD346" s="14">
        <v>0</v>
      </c>
      <c r="AE346" s="14">
        <v>0</v>
      </c>
      <c r="AF346" s="14">
        <v>0</v>
      </c>
      <c r="AG346" s="14">
        <v>0</v>
      </c>
      <c r="AH346" s="14">
        <v>0</v>
      </c>
      <c r="AI346" s="14">
        <v>0</v>
      </c>
      <c r="AJ346" s="14">
        <v>0</v>
      </c>
      <c r="AK346" s="14">
        <v>0</v>
      </c>
      <c r="AL346" s="14">
        <v>0</v>
      </c>
      <c r="AM346" s="453">
        <v>0</v>
      </c>
      <c r="AN346" s="453">
        <v>0</v>
      </c>
      <c r="AO346" s="453">
        <v>0</v>
      </c>
      <c r="AP346" s="453">
        <v>0</v>
      </c>
      <c r="AQ346" s="453">
        <v>0</v>
      </c>
      <c r="AR346" s="453">
        <v>0</v>
      </c>
      <c r="AS346" s="453">
        <v>0</v>
      </c>
      <c r="AT346" s="453">
        <v>0</v>
      </c>
      <c r="AU346" s="453">
        <v>0</v>
      </c>
      <c r="AV346" s="453">
        <v>0</v>
      </c>
      <c r="AW346" s="453">
        <v>0</v>
      </c>
      <c r="AX346" s="453">
        <v>0</v>
      </c>
      <c r="AY346" s="453">
        <v>0</v>
      </c>
      <c r="AZ346" s="453">
        <v>0</v>
      </c>
      <c r="BA346" s="453">
        <v>0</v>
      </c>
      <c r="BB346" s="453">
        <v>0</v>
      </c>
      <c r="BC346" s="453">
        <v>0</v>
      </c>
      <c r="BD346" s="453">
        <v>0</v>
      </c>
      <c r="BE346" s="105">
        <v>0</v>
      </c>
      <c r="BF346" s="453">
        <v>0</v>
      </c>
      <c r="BG346" s="453">
        <v>0</v>
      </c>
      <c r="BH346" s="105">
        <v>0</v>
      </c>
      <c r="BI346" s="453">
        <v>0</v>
      </c>
      <c r="BJ346" s="453">
        <v>0</v>
      </c>
      <c r="BK346" s="105">
        <v>0</v>
      </c>
      <c r="BL346" s="453">
        <v>0</v>
      </c>
      <c r="BM346" s="453">
        <v>0</v>
      </c>
      <c r="BN346" s="453">
        <v>0</v>
      </c>
      <c r="BO346" s="453">
        <v>0</v>
      </c>
      <c r="BP346" s="453">
        <v>0</v>
      </c>
      <c r="BQ346" s="453">
        <v>0</v>
      </c>
      <c r="BR346" s="14">
        <v>0</v>
      </c>
      <c r="BS346" s="14">
        <v>0</v>
      </c>
      <c r="BT346" s="377" t="str">
        <v/>
      </c>
      <c r="BU346" s="105" t="str">
        <v/>
      </c>
      <c r="BV346" s="453" t="str">
        <v/>
      </c>
      <c r="BW346" s="105" t="str">
        <f ca="1"/>
        <v/>
      </c>
    </row>
    <row r="347" spans="1:75" x14ac:dyDescent="0.3">
      <c r="A347" s="1">
        <v>0</v>
      </c>
      <c r="B347" s="106">
        <v>0</v>
      </c>
      <c r="C347" s="14">
        <v>0</v>
      </c>
      <c r="D347" s="14">
        <v>0</v>
      </c>
      <c r="E347" s="14">
        <v>0</v>
      </c>
      <c r="F347" s="453">
        <v>0</v>
      </c>
      <c r="G347" s="377">
        <v>0</v>
      </c>
      <c r="H347" s="453">
        <v>0</v>
      </c>
      <c r="I347" s="453">
        <v>0</v>
      </c>
      <c r="J347" s="453">
        <v>0</v>
      </c>
      <c r="K347" s="453">
        <v>0</v>
      </c>
      <c r="L347" s="453">
        <v>0</v>
      </c>
      <c r="M347" s="453">
        <v>0</v>
      </c>
      <c r="N347" s="453">
        <v>0</v>
      </c>
      <c r="O347" s="453">
        <v>0</v>
      </c>
      <c r="P347" s="14">
        <v>0</v>
      </c>
      <c r="Q347" s="14">
        <v>0</v>
      </c>
      <c r="R347" s="453">
        <v>0</v>
      </c>
      <c r="S347" s="453">
        <v>0</v>
      </c>
      <c r="T347" s="453">
        <v>0</v>
      </c>
      <c r="U347" s="453">
        <v>0</v>
      </c>
      <c r="V347" s="453">
        <v>0</v>
      </c>
      <c r="W347" s="453">
        <v>0</v>
      </c>
      <c r="X347" s="453">
        <v>0</v>
      </c>
      <c r="Y347" s="453">
        <v>0</v>
      </c>
      <c r="Z347" s="453">
        <v>0</v>
      </c>
      <c r="AA347" s="14">
        <v>0</v>
      </c>
      <c r="AB347" s="14">
        <v>0</v>
      </c>
      <c r="AC347" s="453">
        <v>0</v>
      </c>
      <c r="AD347" s="14">
        <v>0</v>
      </c>
      <c r="AE347" s="14">
        <v>0</v>
      </c>
      <c r="AF347" s="14">
        <v>0</v>
      </c>
      <c r="AG347" s="14">
        <v>0</v>
      </c>
      <c r="AH347" s="14">
        <v>0</v>
      </c>
      <c r="AI347" s="14">
        <v>0</v>
      </c>
      <c r="AJ347" s="14">
        <v>0</v>
      </c>
      <c r="AK347" s="14">
        <v>0</v>
      </c>
      <c r="AL347" s="14">
        <v>0</v>
      </c>
      <c r="AM347" s="453">
        <v>0</v>
      </c>
      <c r="AN347" s="453">
        <v>0</v>
      </c>
      <c r="AO347" s="453">
        <v>0</v>
      </c>
      <c r="AP347" s="453">
        <v>0</v>
      </c>
      <c r="AQ347" s="453">
        <v>0</v>
      </c>
      <c r="AR347" s="453">
        <v>0</v>
      </c>
      <c r="AS347" s="453">
        <v>0</v>
      </c>
      <c r="AT347" s="453">
        <v>0</v>
      </c>
      <c r="AU347" s="453">
        <v>0</v>
      </c>
      <c r="AV347" s="453">
        <v>0</v>
      </c>
      <c r="AW347" s="453">
        <v>0</v>
      </c>
      <c r="AX347" s="453">
        <v>0</v>
      </c>
      <c r="AY347" s="453">
        <v>0</v>
      </c>
      <c r="AZ347" s="453">
        <v>0</v>
      </c>
      <c r="BA347" s="453">
        <v>0</v>
      </c>
      <c r="BB347" s="453">
        <v>0</v>
      </c>
      <c r="BC347" s="453">
        <v>0</v>
      </c>
      <c r="BD347" s="453">
        <v>0</v>
      </c>
      <c r="BE347" s="105">
        <v>0</v>
      </c>
      <c r="BF347" s="453">
        <v>0</v>
      </c>
      <c r="BG347" s="453">
        <v>0</v>
      </c>
      <c r="BH347" s="105">
        <v>0</v>
      </c>
      <c r="BI347" s="453">
        <v>0</v>
      </c>
      <c r="BJ347" s="453">
        <v>0</v>
      </c>
      <c r="BK347" s="105">
        <v>0</v>
      </c>
      <c r="BL347" s="453">
        <v>0</v>
      </c>
      <c r="BM347" s="453">
        <v>0</v>
      </c>
      <c r="BN347" s="453">
        <v>0</v>
      </c>
      <c r="BO347" s="453">
        <v>0</v>
      </c>
      <c r="BP347" s="453">
        <v>0</v>
      </c>
      <c r="BQ347" s="453">
        <v>0</v>
      </c>
      <c r="BR347" s="14">
        <v>0</v>
      </c>
      <c r="BS347" s="14">
        <v>0</v>
      </c>
      <c r="BT347" s="377" t="str">
        <v/>
      </c>
      <c r="BU347" s="105" t="str">
        <v/>
      </c>
      <c r="BV347" s="453" t="str">
        <v/>
      </c>
      <c r="BW347" s="105" t="str">
        <f ca="1"/>
        <v/>
      </c>
    </row>
    <row r="348" spans="1:75" x14ac:dyDescent="0.3">
      <c r="A348" s="1">
        <v>0</v>
      </c>
      <c r="B348" s="106">
        <v>0</v>
      </c>
      <c r="C348" s="14">
        <v>0</v>
      </c>
      <c r="D348" s="14">
        <v>0</v>
      </c>
      <c r="E348" s="14">
        <v>0</v>
      </c>
      <c r="F348" s="453">
        <v>0</v>
      </c>
      <c r="G348" s="377">
        <v>0</v>
      </c>
      <c r="H348" s="453">
        <v>0</v>
      </c>
      <c r="I348" s="453">
        <v>0</v>
      </c>
      <c r="J348" s="453">
        <v>0</v>
      </c>
      <c r="K348" s="453">
        <v>0</v>
      </c>
      <c r="L348" s="453">
        <v>0</v>
      </c>
      <c r="M348" s="453">
        <v>0</v>
      </c>
      <c r="N348" s="453">
        <v>0</v>
      </c>
      <c r="O348" s="453">
        <v>0</v>
      </c>
      <c r="P348" s="14">
        <v>0</v>
      </c>
      <c r="Q348" s="14">
        <v>0</v>
      </c>
      <c r="R348" s="453">
        <v>0</v>
      </c>
      <c r="S348" s="453">
        <v>0</v>
      </c>
      <c r="T348" s="453">
        <v>0</v>
      </c>
      <c r="U348" s="453">
        <v>0</v>
      </c>
      <c r="V348" s="453">
        <v>0</v>
      </c>
      <c r="W348" s="453">
        <v>0</v>
      </c>
      <c r="X348" s="453">
        <v>0</v>
      </c>
      <c r="Y348" s="453">
        <v>0</v>
      </c>
      <c r="Z348" s="453">
        <v>0</v>
      </c>
      <c r="AA348" s="14">
        <v>0</v>
      </c>
      <c r="AB348" s="14">
        <v>0</v>
      </c>
      <c r="AC348" s="453">
        <v>0</v>
      </c>
      <c r="AD348" s="14">
        <v>0</v>
      </c>
      <c r="AE348" s="14">
        <v>0</v>
      </c>
      <c r="AF348" s="14">
        <v>0</v>
      </c>
      <c r="AG348" s="14">
        <v>0</v>
      </c>
      <c r="AH348" s="14">
        <v>0</v>
      </c>
      <c r="AI348" s="14">
        <v>0</v>
      </c>
      <c r="AJ348" s="14">
        <v>0</v>
      </c>
      <c r="AK348" s="14">
        <v>0</v>
      </c>
      <c r="AL348" s="14">
        <v>0</v>
      </c>
      <c r="AM348" s="453">
        <v>0</v>
      </c>
      <c r="AN348" s="453">
        <v>0</v>
      </c>
      <c r="AO348" s="453">
        <v>0</v>
      </c>
      <c r="AP348" s="453">
        <v>0</v>
      </c>
      <c r="AQ348" s="453">
        <v>0</v>
      </c>
      <c r="AR348" s="453">
        <v>0</v>
      </c>
      <c r="AS348" s="453">
        <v>0</v>
      </c>
      <c r="AT348" s="453">
        <v>0</v>
      </c>
      <c r="AU348" s="453">
        <v>0</v>
      </c>
      <c r="AV348" s="453">
        <v>0</v>
      </c>
      <c r="AW348" s="453">
        <v>0</v>
      </c>
      <c r="AX348" s="453">
        <v>0</v>
      </c>
      <c r="AY348" s="453">
        <v>0</v>
      </c>
      <c r="AZ348" s="453">
        <v>0</v>
      </c>
      <c r="BA348" s="453">
        <v>0</v>
      </c>
      <c r="BB348" s="453">
        <v>0</v>
      </c>
      <c r="BC348" s="453">
        <v>0</v>
      </c>
      <c r="BD348" s="453">
        <v>0</v>
      </c>
      <c r="BE348" s="105">
        <v>0</v>
      </c>
      <c r="BF348" s="453">
        <v>0</v>
      </c>
      <c r="BG348" s="453">
        <v>0</v>
      </c>
      <c r="BH348" s="105">
        <v>0</v>
      </c>
      <c r="BI348" s="453">
        <v>0</v>
      </c>
      <c r="BJ348" s="453">
        <v>0</v>
      </c>
      <c r="BK348" s="105">
        <v>0</v>
      </c>
      <c r="BL348" s="453">
        <v>0</v>
      </c>
      <c r="BM348" s="453">
        <v>0</v>
      </c>
      <c r="BN348" s="453">
        <v>0</v>
      </c>
      <c r="BO348" s="453">
        <v>0</v>
      </c>
      <c r="BP348" s="453">
        <v>0</v>
      </c>
      <c r="BQ348" s="453">
        <v>0</v>
      </c>
      <c r="BR348" s="14">
        <v>0</v>
      </c>
      <c r="BS348" s="14">
        <v>0</v>
      </c>
      <c r="BT348" s="377" t="str">
        <v/>
      </c>
      <c r="BU348" s="105" t="str">
        <v/>
      </c>
      <c r="BV348" s="453" t="str">
        <v/>
      </c>
      <c r="BW348" s="105" t="str">
        <f ca="1"/>
        <v/>
      </c>
    </row>
    <row r="349" spans="1:75" x14ac:dyDescent="0.3">
      <c r="A349" s="1">
        <v>0</v>
      </c>
      <c r="B349" s="106">
        <v>0</v>
      </c>
      <c r="C349" s="14">
        <v>0</v>
      </c>
      <c r="D349" s="14">
        <v>0</v>
      </c>
      <c r="E349" s="14">
        <v>0</v>
      </c>
      <c r="F349" s="453">
        <v>0</v>
      </c>
      <c r="G349" s="377">
        <v>0</v>
      </c>
      <c r="H349" s="453">
        <v>0</v>
      </c>
      <c r="I349" s="453">
        <v>0</v>
      </c>
      <c r="J349" s="453">
        <v>0</v>
      </c>
      <c r="K349" s="453">
        <v>0</v>
      </c>
      <c r="L349" s="453">
        <v>0</v>
      </c>
      <c r="M349" s="453">
        <v>0</v>
      </c>
      <c r="N349" s="453">
        <v>0</v>
      </c>
      <c r="O349" s="453">
        <v>0</v>
      </c>
      <c r="P349" s="14">
        <v>0</v>
      </c>
      <c r="Q349" s="14">
        <v>0</v>
      </c>
      <c r="R349" s="453">
        <v>0</v>
      </c>
      <c r="S349" s="453">
        <v>0</v>
      </c>
      <c r="T349" s="453">
        <v>0</v>
      </c>
      <c r="U349" s="453">
        <v>0</v>
      </c>
      <c r="V349" s="453">
        <v>0</v>
      </c>
      <c r="W349" s="453">
        <v>0</v>
      </c>
      <c r="X349" s="453">
        <v>0</v>
      </c>
      <c r="Y349" s="453">
        <v>0</v>
      </c>
      <c r="Z349" s="453">
        <v>0</v>
      </c>
      <c r="AA349" s="14">
        <v>0</v>
      </c>
      <c r="AB349" s="14">
        <v>0</v>
      </c>
      <c r="AC349" s="453">
        <v>0</v>
      </c>
      <c r="AD349" s="14">
        <v>0</v>
      </c>
      <c r="AE349" s="14">
        <v>0</v>
      </c>
      <c r="AF349" s="14">
        <v>0</v>
      </c>
      <c r="AG349" s="14">
        <v>0</v>
      </c>
      <c r="AH349" s="14">
        <v>0</v>
      </c>
      <c r="AI349" s="14">
        <v>0</v>
      </c>
      <c r="AJ349" s="14">
        <v>0</v>
      </c>
      <c r="AK349" s="14">
        <v>0</v>
      </c>
      <c r="AL349" s="14">
        <v>0</v>
      </c>
      <c r="AM349" s="453">
        <v>0</v>
      </c>
      <c r="AN349" s="453">
        <v>0</v>
      </c>
      <c r="AO349" s="453">
        <v>0</v>
      </c>
      <c r="AP349" s="453">
        <v>0</v>
      </c>
      <c r="AQ349" s="453">
        <v>0</v>
      </c>
      <c r="AR349" s="453">
        <v>0</v>
      </c>
      <c r="AS349" s="453">
        <v>0</v>
      </c>
      <c r="AT349" s="453">
        <v>0</v>
      </c>
      <c r="AU349" s="453">
        <v>0</v>
      </c>
      <c r="AV349" s="453">
        <v>0</v>
      </c>
      <c r="AW349" s="453">
        <v>0</v>
      </c>
      <c r="AX349" s="453">
        <v>0</v>
      </c>
      <c r="AY349" s="453">
        <v>0</v>
      </c>
      <c r="AZ349" s="453">
        <v>0</v>
      </c>
      <c r="BA349" s="453">
        <v>0</v>
      </c>
      <c r="BB349" s="453">
        <v>0</v>
      </c>
      <c r="BC349" s="453">
        <v>0</v>
      </c>
      <c r="BD349" s="453">
        <v>0</v>
      </c>
      <c r="BE349" s="105">
        <v>0</v>
      </c>
      <c r="BF349" s="453">
        <v>0</v>
      </c>
      <c r="BG349" s="453">
        <v>0</v>
      </c>
      <c r="BH349" s="105">
        <v>0</v>
      </c>
      <c r="BI349" s="453">
        <v>0</v>
      </c>
      <c r="BJ349" s="453">
        <v>0</v>
      </c>
      <c r="BK349" s="105">
        <v>0</v>
      </c>
      <c r="BL349" s="453">
        <v>0</v>
      </c>
      <c r="BM349" s="453">
        <v>0</v>
      </c>
      <c r="BN349" s="453">
        <v>0</v>
      </c>
      <c r="BO349" s="453">
        <v>0</v>
      </c>
      <c r="BP349" s="453">
        <v>0</v>
      </c>
      <c r="BQ349" s="453">
        <v>0</v>
      </c>
      <c r="BR349" s="14">
        <v>0</v>
      </c>
      <c r="BS349" s="14">
        <v>0</v>
      </c>
      <c r="BT349" s="377" t="str">
        <v/>
      </c>
      <c r="BU349" s="105" t="str">
        <v/>
      </c>
      <c r="BV349" s="453" t="str">
        <v/>
      </c>
      <c r="BW349" s="105" t="str">
        <f ca="1"/>
        <v/>
      </c>
    </row>
    <row r="350" spans="1:75" x14ac:dyDescent="0.3">
      <c r="A350" s="1">
        <v>0</v>
      </c>
      <c r="B350" s="106">
        <v>0</v>
      </c>
      <c r="C350" s="14">
        <v>0</v>
      </c>
      <c r="D350" s="14">
        <v>0</v>
      </c>
      <c r="E350" s="14">
        <v>0</v>
      </c>
      <c r="F350" s="453">
        <v>0</v>
      </c>
      <c r="G350" s="377">
        <v>0</v>
      </c>
      <c r="H350" s="453">
        <v>0</v>
      </c>
      <c r="I350" s="453">
        <v>0</v>
      </c>
      <c r="J350" s="453">
        <v>0</v>
      </c>
      <c r="K350" s="453">
        <v>0</v>
      </c>
      <c r="L350" s="453">
        <v>0</v>
      </c>
      <c r="M350" s="453">
        <v>0</v>
      </c>
      <c r="N350" s="453">
        <v>0</v>
      </c>
      <c r="O350" s="453">
        <v>0</v>
      </c>
      <c r="P350" s="14">
        <v>0</v>
      </c>
      <c r="Q350" s="14">
        <v>0</v>
      </c>
      <c r="R350" s="453">
        <v>0</v>
      </c>
      <c r="S350" s="453">
        <v>0</v>
      </c>
      <c r="T350" s="453">
        <v>0</v>
      </c>
      <c r="U350" s="453">
        <v>0</v>
      </c>
      <c r="V350" s="453">
        <v>0</v>
      </c>
      <c r="W350" s="453">
        <v>0</v>
      </c>
      <c r="X350" s="453">
        <v>0</v>
      </c>
      <c r="Y350" s="453">
        <v>0</v>
      </c>
      <c r="Z350" s="453">
        <v>0</v>
      </c>
      <c r="AA350" s="14">
        <v>0</v>
      </c>
      <c r="AB350" s="14">
        <v>0</v>
      </c>
      <c r="AC350" s="453">
        <v>0</v>
      </c>
      <c r="AD350" s="14">
        <v>0</v>
      </c>
      <c r="AE350" s="14">
        <v>0</v>
      </c>
      <c r="AF350" s="14">
        <v>0</v>
      </c>
      <c r="AG350" s="14">
        <v>0</v>
      </c>
      <c r="AH350" s="14">
        <v>0</v>
      </c>
      <c r="AI350" s="14">
        <v>0</v>
      </c>
      <c r="AJ350" s="14">
        <v>0</v>
      </c>
      <c r="AK350" s="14">
        <v>0</v>
      </c>
      <c r="AL350" s="14">
        <v>0</v>
      </c>
      <c r="AM350" s="453">
        <v>0</v>
      </c>
      <c r="AN350" s="453">
        <v>0</v>
      </c>
      <c r="AO350" s="453">
        <v>0</v>
      </c>
      <c r="AP350" s="453">
        <v>0</v>
      </c>
      <c r="AQ350" s="453">
        <v>0</v>
      </c>
      <c r="AR350" s="453">
        <v>0</v>
      </c>
      <c r="AS350" s="453">
        <v>0</v>
      </c>
      <c r="AT350" s="453">
        <v>0</v>
      </c>
      <c r="AU350" s="453">
        <v>0</v>
      </c>
      <c r="AV350" s="453">
        <v>0</v>
      </c>
      <c r="AW350" s="453">
        <v>0</v>
      </c>
      <c r="AX350" s="453">
        <v>0</v>
      </c>
      <c r="AY350" s="453">
        <v>0</v>
      </c>
      <c r="AZ350" s="453">
        <v>0</v>
      </c>
      <c r="BA350" s="453">
        <v>0</v>
      </c>
      <c r="BB350" s="453">
        <v>0</v>
      </c>
      <c r="BC350" s="453">
        <v>0</v>
      </c>
      <c r="BD350" s="453">
        <v>0</v>
      </c>
      <c r="BE350" s="105">
        <v>0</v>
      </c>
      <c r="BF350" s="453">
        <v>0</v>
      </c>
      <c r="BG350" s="453">
        <v>0</v>
      </c>
      <c r="BH350" s="105">
        <v>0</v>
      </c>
      <c r="BI350" s="453">
        <v>0</v>
      </c>
      <c r="BJ350" s="453">
        <v>0</v>
      </c>
      <c r="BK350" s="105">
        <v>0</v>
      </c>
      <c r="BL350" s="453">
        <v>0</v>
      </c>
      <c r="BM350" s="453">
        <v>0</v>
      </c>
      <c r="BN350" s="453">
        <v>0</v>
      </c>
      <c r="BO350" s="453">
        <v>0</v>
      </c>
      <c r="BP350" s="453">
        <v>0</v>
      </c>
      <c r="BQ350" s="453">
        <v>0</v>
      </c>
      <c r="BR350" s="14">
        <v>0</v>
      </c>
      <c r="BS350" s="14">
        <v>0</v>
      </c>
      <c r="BT350" s="377" t="str">
        <v/>
      </c>
      <c r="BU350" s="105" t="str">
        <v/>
      </c>
      <c r="BV350" s="453" t="str">
        <v/>
      </c>
      <c r="BW350" s="105" t="str">
        <f ca="1"/>
        <v/>
      </c>
    </row>
    <row r="351" spans="1:75" x14ac:dyDescent="0.3">
      <c r="A351" s="1">
        <v>0</v>
      </c>
      <c r="B351" s="106">
        <v>0</v>
      </c>
      <c r="C351" s="14">
        <v>0</v>
      </c>
      <c r="D351" s="14">
        <v>0</v>
      </c>
      <c r="E351" s="14">
        <v>0</v>
      </c>
      <c r="F351" s="453">
        <v>0</v>
      </c>
      <c r="G351" s="377">
        <v>0</v>
      </c>
      <c r="H351" s="453">
        <v>0</v>
      </c>
      <c r="I351" s="453">
        <v>0</v>
      </c>
      <c r="J351" s="453">
        <v>0</v>
      </c>
      <c r="K351" s="453">
        <v>0</v>
      </c>
      <c r="L351" s="453">
        <v>0</v>
      </c>
      <c r="M351" s="453">
        <v>0</v>
      </c>
      <c r="N351" s="453">
        <v>0</v>
      </c>
      <c r="O351" s="453">
        <v>0</v>
      </c>
      <c r="P351" s="14">
        <v>0</v>
      </c>
      <c r="Q351" s="14">
        <v>0</v>
      </c>
      <c r="R351" s="453">
        <v>0</v>
      </c>
      <c r="S351" s="453">
        <v>0</v>
      </c>
      <c r="T351" s="453">
        <v>0</v>
      </c>
      <c r="U351" s="453">
        <v>0</v>
      </c>
      <c r="V351" s="453">
        <v>0</v>
      </c>
      <c r="W351" s="453">
        <v>0</v>
      </c>
      <c r="X351" s="453">
        <v>0</v>
      </c>
      <c r="Y351" s="453">
        <v>0</v>
      </c>
      <c r="Z351" s="453">
        <v>0</v>
      </c>
      <c r="AA351" s="14">
        <v>0</v>
      </c>
      <c r="AB351" s="14">
        <v>0</v>
      </c>
      <c r="AC351" s="453">
        <v>0</v>
      </c>
      <c r="AD351" s="14">
        <v>0</v>
      </c>
      <c r="AE351" s="14">
        <v>0</v>
      </c>
      <c r="AF351" s="14">
        <v>0</v>
      </c>
      <c r="AG351" s="14">
        <v>0</v>
      </c>
      <c r="AH351" s="14">
        <v>0</v>
      </c>
      <c r="AI351" s="14">
        <v>0</v>
      </c>
      <c r="AJ351" s="14">
        <v>0</v>
      </c>
      <c r="AK351" s="14">
        <v>0</v>
      </c>
      <c r="AL351" s="14">
        <v>0</v>
      </c>
      <c r="AM351" s="453">
        <v>0</v>
      </c>
      <c r="AN351" s="453">
        <v>0</v>
      </c>
      <c r="AO351" s="453">
        <v>0</v>
      </c>
      <c r="AP351" s="453">
        <v>0</v>
      </c>
      <c r="AQ351" s="453">
        <v>0</v>
      </c>
      <c r="AR351" s="453">
        <v>0</v>
      </c>
      <c r="AS351" s="453">
        <v>0</v>
      </c>
      <c r="AT351" s="453">
        <v>0</v>
      </c>
      <c r="AU351" s="453">
        <v>0</v>
      </c>
      <c r="AV351" s="453">
        <v>0</v>
      </c>
      <c r="AW351" s="453">
        <v>0</v>
      </c>
      <c r="AX351" s="453">
        <v>0</v>
      </c>
      <c r="AY351" s="453">
        <v>0</v>
      </c>
      <c r="AZ351" s="453">
        <v>0</v>
      </c>
      <c r="BA351" s="453">
        <v>0</v>
      </c>
      <c r="BB351" s="453">
        <v>0</v>
      </c>
      <c r="BC351" s="453">
        <v>0</v>
      </c>
      <c r="BD351" s="453">
        <v>0</v>
      </c>
      <c r="BE351" s="105">
        <v>0</v>
      </c>
      <c r="BF351" s="453">
        <v>0</v>
      </c>
      <c r="BG351" s="453">
        <v>0</v>
      </c>
      <c r="BH351" s="105">
        <v>0</v>
      </c>
      <c r="BI351" s="453">
        <v>0</v>
      </c>
      <c r="BJ351" s="453">
        <v>0</v>
      </c>
      <c r="BK351" s="105">
        <v>0</v>
      </c>
      <c r="BL351" s="453">
        <v>0</v>
      </c>
      <c r="BM351" s="453">
        <v>0</v>
      </c>
      <c r="BN351" s="453">
        <v>0</v>
      </c>
      <c r="BO351" s="453">
        <v>0</v>
      </c>
      <c r="BP351" s="453">
        <v>0</v>
      </c>
      <c r="BQ351" s="453">
        <v>0</v>
      </c>
      <c r="BR351" s="14">
        <v>0</v>
      </c>
      <c r="BS351" s="14">
        <v>0</v>
      </c>
      <c r="BT351" s="377" t="str">
        <v/>
      </c>
      <c r="BU351" s="105" t="str">
        <v/>
      </c>
      <c r="BV351" s="453" t="str">
        <v/>
      </c>
      <c r="BW351" s="105" t="str">
        <f ca="1"/>
        <v/>
      </c>
    </row>
    <row r="352" spans="1:75" x14ac:dyDescent="0.3">
      <c r="A352" s="1">
        <v>0</v>
      </c>
      <c r="B352" s="106">
        <v>0</v>
      </c>
      <c r="C352" s="14">
        <v>0</v>
      </c>
      <c r="D352" s="14">
        <v>0</v>
      </c>
      <c r="E352" s="14">
        <v>0</v>
      </c>
      <c r="F352" s="453">
        <v>0</v>
      </c>
      <c r="G352" s="377">
        <v>0</v>
      </c>
      <c r="H352" s="453">
        <v>0</v>
      </c>
      <c r="I352" s="453">
        <v>0</v>
      </c>
      <c r="J352" s="453">
        <v>0</v>
      </c>
      <c r="K352" s="453">
        <v>0</v>
      </c>
      <c r="L352" s="453">
        <v>0</v>
      </c>
      <c r="M352" s="453">
        <v>0</v>
      </c>
      <c r="N352" s="453">
        <v>0</v>
      </c>
      <c r="O352" s="453">
        <v>0</v>
      </c>
      <c r="P352" s="14">
        <v>0</v>
      </c>
      <c r="Q352" s="14">
        <v>0</v>
      </c>
      <c r="R352" s="453">
        <v>0</v>
      </c>
      <c r="S352" s="453">
        <v>0</v>
      </c>
      <c r="T352" s="453">
        <v>0</v>
      </c>
      <c r="U352" s="453">
        <v>0</v>
      </c>
      <c r="V352" s="453">
        <v>0</v>
      </c>
      <c r="W352" s="453">
        <v>0</v>
      </c>
      <c r="X352" s="453">
        <v>0</v>
      </c>
      <c r="Y352" s="453">
        <v>0</v>
      </c>
      <c r="Z352" s="453">
        <v>0</v>
      </c>
      <c r="AA352" s="14">
        <v>0</v>
      </c>
      <c r="AB352" s="14">
        <v>0</v>
      </c>
      <c r="AC352" s="453">
        <v>0</v>
      </c>
      <c r="AD352" s="14">
        <v>0</v>
      </c>
      <c r="AE352" s="14">
        <v>0</v>
      </c>
      <c r="AF352" s="14">
        <v>0</v>
      </c>
      <c r="AG352" s="14">
        <v>0</v>
      </c>
      <c r="AH352" s="14">
        <v>0</v>
      </c>
      <c r="AI352" s="14">
        <v>0</v>
      </c>
      <c r="AJ352" s="14">
        <v>0</v>
      </c>
      <c r="AK352" s="14">
        <v>0</v>
      </c>
      <c r="AL352" s="14">
        <v>0</v>
      </c>
      <c r="AM352" s="453">
        <v>0</v>
      </c>
      <c r="AN352" s="453">
        <v>0</v>
      </c>
      <c r="AO352" s="453">
        <v>0</v>
      </c>
      <c r="AP352" s="453">
        <v>0</v>
      </c>
      <c r="AQ352" s="453">
        <v>0</v>
      </c>
      <c r="AR352" s="453">
        <v>0</v>
      </c>
      <c r="AS352" s="453">
        <v>0</v>
      </c>
      <c r="AT352" s="453">
        <v>0</v>
      </c>
      <c r="AU352" s="453">
        <v>0</v>
      </c>
      <c r="AV352" s="453">
        <v>0</v>
      </c>
      <c r="AW352" s="453">
        <v>0</v>
      </c>
      <c r="AX352" s="453">
        <v>0</v>
      </c>
      <c r="AY352" s="453">
        <v>0</v>
      </c>
      <c r="AZ352" s="453">
        <v>0</v>
      </c>
      <c r="BA352" s="453">
        <v>0</v>
      </c>
      <c r="BB352" s="453">
        <v>0</v>
      </c>
      <c r="BC352" s="453">
        <v>0</v>
      </c>
      <c r="BD352" s="453">
        <v>0</v>
      </c>
      <c r="BE352" s="105">
        <v>0</v>
      </c>
      <c r="BF352" s="453">
        <v>0</v>
      </c>
      <c r="BG352" s="453">
        <v>0</v>
      </c>
      <c r="BH352" s="105">
        <v>0</v>
      </c>
      <c r="BI352" s="453">
        <v>0</v>
      </c>
      <c r="BJ352" s="453">
        <v>0</v>
      </c>
      <c r="BK352" s="105">
        <v>0</v>
      </c>
      <c r="BL352" s="453">
        <v>0</v>
      </c>
      <c r="BM352" s="453">
        <v>0</v>
      </c>
      <c r="BN352" s="453">
        <v>0</v>
      </c>
      <c r="BO352" s="453">
        <v>0</v>
      </c>
      <c r="BP352" s="453">
        <v>0</v>
      </c>
      <c r="BQ352" s="453">
        <v>0</v>
      </c>
      <c r="BR352" s="14">
        <v>0</v>
      </c>
      <c r="BS352" s="14">
        <v>0</v>
      </c>
      <c r="BT352" s="377" t="str">
        <v/>
      </c>
      <c r="BU352" s="105" t="str">
        <v/>
      </c>
      <c r="BV352" s="453" t="str">
        <v/>
      </c>
      <c r="BW352" s="105" t="str">
        <f ca="1"/>
        <v/>
      </c>
    </row>
    <row r="353" spans="1:75" x14ac:dyDescent="0.3">
      <c r="A353" s="1">
        <v>0</v>
      </c>
      <c r="B353" s="106">
        <v>0</v>
      </c>
      <c r="C353" s="14">
        <v>0</v>
      </c>
      <c r="D353" s="14">
        <v>0</v>
      </c>
      <c r="E353" s="14">
        <v>0</v>
      </c>
      <c r="F353" s="453">
        <v>0</v>
      </c>
      <c r="G353" s="377">
        <v>0</v>
      </c>
      <c r="H353" s="453">
        <v>0</v>
      </c>
      <c r="I353" s="453">
        <v>0</v>
      </c>
      <c r="J353" s="453">
        <v>0</v>
      </c>
      <c r="K353" s="453">
        <v>0</v>
      </c>
      <c r="L353" s="453">
        <v>0</v>
      </c>
      <c r="M353" s="453">
        <v>0</v>
      </c>
      <c r="N353" s="453">
        <v>0</v>
      </c>
      <c r="O353" s="453">
        <v>0</v>
      </c>
      <c r="P353" s="14">
        <v>0</v>
      </c>
      <c r="Q353" s="14">
        <v>0</v>
      </c>
      <c r="R353" s="453">
        <v>0</v>
      </c>
      <c r="S353" s="453">
        <v>0</v>
      </c>
      <c r="T353" s="453">
        <v>0</v>
      </c>
      <c r="U353" s="453">
        <v>0</v>
      </c>
      <c r="V353" s="453">
        <v>0</v>
      </c>
      <c r="W353" s="453">
        <v>0</v>
      </c>
      <c r="X353" s="453">
        <v>0</v>
      </c>
      <c r="Y353" s="453">
        <v>0</v>
      </c>
      <c r="Z353" s="453">
        <v>0</v>
      </c>
      <c r="AA353" s="14">
        <v>0</v>
      </c>
      <c r="AB353" s="14">
        <v>0</v>
      </c>
      <c r="AC353" s="453">
        <v>0</v>
      </c>
      <c r="AD353" s="14">
        <v>0</v>
      </c>
      <c r="AE353" s="14">
        <v>0</v>
      </c>
      <c r="AF353" s="14">
        <v>0</v>
      </c>
      <c r="AG353" s="14">
        <v>0</v>
      </c>
      <c r="AH353" s="14">
        <v>0</v>
      </c>
      <c r="AI353" s="14">
        <v>0</v>
      </c>
      <c r="AJ353" s="14">
        <v>0</v>
      </c>
      <c r="AK353" s="14">
        <v>0</v>
      </c>
      <c r="AL353" s="14">
        <v>0</v>
      </c>
      <c r="AM353" s="453">
        <v>0</v>
      </c>
      <c r="AN353" s="453">
        <v>0</v>
      </c>
      <c r="AO353" s="453">
        <v>0</v>
      </c>
      <c r="AP353" s="453">
        <v>0</v>
      </c>
      <c r="AQ353" s="453">
        <v>0</v>
      </c>
      <c r="AR353" s="453">
        <v>0</v>
      </c>
      <c r="AS353" s="453">
        <v>0</v>
      </c>
      <c r="AT353" s="453">
        <v>0</v>
      </c>
      <c r="AU353" s="453">
        <v>0</v>
      </c>
      <c r="AV353" s="453">
        <v>0</v>
      </c>
      <c r="AW353" s="453">
        <v>0</v>
      </c>
      <c r="AX353" s="453">
        <v>0</v>
      </c>
      <c r="AY353" s="453">
        <v>0</v>
      </c>
      <c r="AZ353" s="453">
        <v>0</v>
      </c>
      <c r="BA353" s="453">
        <v>0</v>
      </c>
      <c r="BB353" s="453">
        <v>0</v>
      </c>
      <c r="BC353" s="453">
        <v>0</v>
      </c>
      <c r="BD353" s="453">
        <v>0</v>
      </c>
      <c r="BE353" s="105">
        <v>0</v>
      </c>
      <c r="BF353" s="453">
        <v>0</v>
      </c>
      <c r="BG353" s="453">
        <v>0</v>
      </c>
      <c r="BH353" s="105">
        <v>0</v>
      </c>
      <c r="BI353" s="453">
        <v>0</v>
      </c>
      <c r="BJ353" s="453">
        <v>0</v>
      </c>
      <c r="BK353" s="105">
        <v>0</v>
      </c>
      <c r="BL353" s="453">
        <v>0</v>
      </c>
      <c r="BM353" s="453">
        <v>0</v>
      </c>
      <c r="BN353" s="453">
        <v>0</v>
      </c>
      <c r="BO353" s="453">
        <v>0</v>
      </c>
      <c r="BP353" s="453">
        <v>0</v>
      </c>
      <c r="BQ353" s="453">
        <v>0</v>
      </c>
      <c r="BR353" s="14">
        <v>0</v>
      </c>
      <c r="BS353" s="14">
        <v>0</v>
      </c>
      <c r="BT353" s="377" t="str">
        <v/>
      </c>
      <c r="BU353" s="105" t="str">
        <v/>
      </c>
      <c r="BV353" s="453" t="str">
        <v/>
      </c>
      <c r="BW353" s="105" t="str">
        <f ca="1"/>
        <v/>
      </c>
    </row>
    <row r="354" spans="1:75" x14ac:dyDescent="0.3">
      <c r="A354" s="1">
        <v>0</v>
      </c>
      <c r="B354" s="106">
        <v>0</v>
      </c>
      <c r="C354" s="14">
        <v>0</v>
      </c>
      <c r="D354" s="14">
        <v>0</v>
      </c>
      <c r="E354" s="14">
        <v>0</v>
      </c>
      <c r="F354" s="453">
        <v>0</v>
      </c>
      <c r="G354" s="377">
        <v>0</v>
      </c>
      <c r="H354" s="453">
        <v>0</v>
      </c>
      <c r="I354" s="453">
        <v>0</v>
      </c>
      <c r="J354" s="453">
        <v>0</v>
      </c>
      <c r="K354" s="453">
        <v>0</v>
      </c>
      <c r="L354" s="453">
        <v>0</v>
      </c>
      <c r="M354" s="453">
        <v>0</v>
      </c>
      <c r="N354" s="453">
        <v>0</v>
      </c>
      <c r="O354" s="453">
        <v>0</v>
      </c>
      <c r="P354" s="14">
        <v>0</v>
      </c>
      <c r="Q354" s="14">
        <v>0</v>
      </c>
      <c r="R354" s="453">
        <v>0</v>
      </c>
      <c r="S354" s="453">
        <v>0</v>
      </c>
      <c r="T354" s="453">
        <v>0</v>
      </c>
      <c r="U354" s="453">
        <v>0</v>
      </c>
      <c r="V354" s="453">
        <v>0</v>
      </c>
      <c r="W354" s="453">
        <v>0</v>
      </c>
      <c r="X354" s="453">
        <v>0</v>
      </c>
      <c r="Y354" s="453">
        <v>0</v>
      </c>
      <c r="Z354" s="453">
        <v>0</v>
      </c>
      <c r="AA354" s="14">
        <v>0</v>
      </c>
      <c r="AB354" s="14">
        <v>0</v>
      </c>
      <c r="AC354" s="453">
        <v>0</v>
      </c>
      <c r="AD354" s="14">
        <v>0</v>
      </c>
      <c r="AE354" s="14">
        <v>0</v>
      </c>
      <c r="AF354" s="14">
        <v>0</v>
      </c>
      <c r="AG354" s="14">
        <v>0</v>
      </c>
      <c r="AH354" s="14">
        <v>0</v>
      </c>
      <c r="AI354" s="14">
        <v>0</v>
      </c>
      <c r="AJ354" s="14">
        <v>0</v>
      </c>
      <c r="AK354" s="14">
        <v>0</v>
      </c>
      <c r="AL354" s="14">
        <v>0</v>
      </c>
      <c r="AM354" s="453">
        <v>0</v>
      </c>
      <c r="AN354" s="453">
        <v>0</v>
      </c>
      <c r="AO354" s="453">
        <v>0</v>
      </c>
      <c r="AP354" s="453">
        <v>0</v>
      </c>
      <c r="AQ354" s="453">
        <v>0</v>
      </c>
      <c r="AR354" s="453">
        <v>0</v>
      </c>
      <c r="AS354" s="453">
        <v>0</v>
      </c>
      <c r="AT354" s="453">
        <v>0</v>
      </c>
      <c r="AU354" s="453">
        <v>0</v>
      </c>
      <c r="AV354" s="453">
        <v>0</v>
      </c>
      <c r="AW354" s="453">
        <v>0</v>
      </c>
      <c r="AX354" s="453">
        <v>0</v>
      </c>
      <c r="AY354" s="453">
        <v>0</v>
      </c>
      <c r="AZ354" s="453">
        <v>0</v>
      </c>
      <c r="BA354" s="453">
        <v>0</v>
      </c>
      <c r="BB354" s="453">
        <v>0</v>
      </c>
      <c r="BC354" s="453">
        <v>0</v>
      </c>
      <c r="BD354" s="453">
        <v>0</v>
      </c>
      <c r="BE354" s="105">
        <v>0</v>
      </c>
      <c r="BF354" s="453">
        <v>0</v>
      </c>
      <c r="BG354" s="453">
        <v>0</v>
      </c>
      <c r="BH354" s="105">
        <v>0</v>
      </c>
      <c r="BI354" s="453">
        <v>0</v>
      </c>
      <c r="BJ354" s="453">
        <v>0</v>
      </c>
      <c r="BK354" s="105">
        <v>0</v>
      </c>
      <c r="BL354" s="453">
        <v>0</v>
      </c>
      <c r="BM354" s="453">
        <v>0</v>
      </c>
      <c r="BN354" s="453">
        <v>0</v>
      </c>
      <c r="BO354" s="453">
        <v>0</v>
      </c>
      <c r="BP354" s="453">
        <v>0</v>
      </c>
      <c r="BQ354" s="453">
        <v>0</v>
      </c>
      <c r="BR354" s="14">
        <v>0</v>
      </c>
      <c r="BS354" s="14">
        <v>0</v>
      </c>
      <c r="BT354" s="377" t="str">
        <v/>
      </c>
      <c r="BU354" s="105" t="str">
        <v/>
      </c>
      <c r="BV354" s="453" t="str">
        <v/>
      </c>
      <c r="BW354" s="105" t="str">
        <f ca="1"/>
        <v/>
      </c>
    </row>
    <row r="355" spans="1:75" x14ac:dyDescent="0.3">
      <c r="A355" s="1">
        <v>0</v>
      </c>
      <c r="B355" s="106">
        <v>0</v>
      </c>
      <c r="C355" s="14">
        <v>0</v>
      </c>
      <c r="D355" s="14">
        <v>0</v>
      </c>
      <c r="E355" s="14">
        <v>0</v>
      </c>
      <c r="F355" s="453">
        <v>0</v>
      </c>
      <c r="G355" s="377">
        <v>0</v>
      </c>
      <c r="H355" s="453">
        <v>0</v>
      </c>
      <c r="I355" s="453">
        <v>0</v>
      </c>
      <c r="J355" s="453">
        <v>0</v>
      </c>
      <c r="K355" s="453">
        <v>0</v>
      </c>
      <c r="L355" s="453">
        <v>0</v>
      </c>
      <c r="M355" s="453">
        <v>0</v>
      </c>
      <c r="N355" s="453">
        <v>0</v>
      </c>
      <c r="O355" s="453">
        <v>0</v>
      </c>
      <c r="P355" s="14">
        <v>0</v>
      </c>
      <c r="Q355" s="14">
        <v>0</v>
      </c>
      <c r="R355" s="453">
        <v>0</v>
      </c>
      <c r="S355" s="453">
        <v>0</v>
      </c>
      <c r="T355" s="453">
        <v>0</v>
      </c>
      <c r="U355" s="453">
        <v>0</v>
      </c>
      <c r="V355" s="453">
        <v>0</v>
      </c>
      <c r="W355" s="453">
        <v>0</v>
      </c>
      <c r="X355" s="453">
        <v>0</v>
      </c>
      <c r="Y355" s="453">
        <v>0</v>
      </c>
      <c r="Z355" s="453">
        <v>0</v>
      </c>
      <c r="AA355" s="14">
        <v>0</v>
      </c>
      <c r="AB355" s="14">
        <v>0</v>
      </c>
      <c r="AC355" s="453">
        <v>0</v>
      </c>
      <c r="AD355" s="14">
        <v>0</v>
      </c>
      <c r="AE355" s="14">
        <v>0</v>
      </c>
      <c r="AF355" s="14">
        <v>0</v>
      </c>
      <c r="AG355" s="14">
        <v>0</v>
      </c>
      <c r="AH355" s="14">
        <v>0</v>
      </c>
      <c r="AI355" s="14">
        <v>0</v>
      </c>
      <c r="AJ355" s="14">
        <v>0</v>
      </c>
      <c r="AK355" s="14">
        <v>0</v>
      </c>
      <c r="AL355" s="14">
        <v>0</v>
      </c>
      <c r="AM355" s="453">
        <v>0</v>
      </c>
      <c r="AN355" s="453">
        <v>0</v>
      </c>
      <c r="AO355" s="453">
        <v>0</v>
      </c>
      <c r="AP355" s="453">
        <v>0</v>
      </c>
      <c r="AQ355" s="453">
        <v>0</v>
      </c>
      <c r="AR355" s="453">
        <v>0</v>
      </c>
      <c r="AS355" s="453">
        <v>0</v>
      </c>
      <c r="AT355" s="453">
        <v>0</v>
      </c>
      <c r="AU355" s="453">
        <v>0</v>
      </c>
      <c r="AV355" s="453">
        <v>0</v>
      </c>
      <c r="AW355" s="453">
        <v>0</v>
      </c>
      <c r="AX355" s="453">
        <v>0</v>
      </c>
      <c r="AY355" s="453">
        <v>0</v>
      </c>
      <c r="AZ355" s="453">
        <v>0</v>
      </c>
      <c r="BA355" s="453">
        <v>0</v>
      </c>
      <c r="BB355" s="453">
        <v>0</v>
      </c>
      <c r="BC355" s="453">
        <v>0</v>
      </c>
      <c r="BD355" s="453">
        <v>0</v>
      </c>
      <c r="BE355" s="105">
        <v>0</v>
      </c>
      <c r="BF355" s="453">
        <v>0</v>
      </c>
      <c r="BG355" s="453">
        <v>0</v>
      </c>
      <c r="BH355" s="105">
        <v>0</v>
      </c>
      <c r="BI355" s="453">
        <v>0</v>
      </c>
      <c r="BJ355" s="453">
        <v>0</v>
      </c>
      <c r="BK355" s="105">
        <v>0</v>
      </c>
      <c r="BL355" s="453">
        <v>0</v>
      </c>
      <c r="BM355" s="453">
        <v>0</v>
      </c>
      <c r="BN355" s="453">
        <v>0</v>
      </c>
      <c r="BO355" s="453">
        <v>0</v>
      </c>
      <c r="BP355" s="453">
        <v>0</v>
      </c>
      <c r="BQ355" s="453">
        <v>0</v>
      </c>
      <c r="BR355" s="14">
        <v>0</v>
      </c>
      <c r="BS355" s="14">
        <v>0</v>
      </c>
      <c r="BT355" s="377" t="str">
        <v/>
      </c>
      <c r="BU355" s="105" t="str">
        <v/>
      </c>
      <c r="BV355" s="453" t="str">
        <v/>
      </c>
      <c r="BW355" s="105" t="str">
        <f ca="1"/>
        <v/>
      </c>
    </row>
    <row r="356" spans="1:75" x14ac:dyDescent="0.3">
      <c r="A356" s="1">
        <v>0</v>
      </c>
      <c r="B356" s="106">
        <v>0</v>
      </c>
      <c r="C356" s="14">
        <v>0</v>
      </c>
      <c r="D356" s="14">
        <v>0</v>
      </c>
      <c r="E356" s="14">
        <v>0</v>
      </c>
      <c r="F356" s="453">
        <v>0</v>
      </c>
      <c r="G356" s="377">
        <v>0</v>
      </c>
      <c r="H356" s="453">
        <v>0</v>
      </c>
      <c r="I356" s="453">
        <v>0</v>
      </c>
      <c r="J356" s="453">
        <v>0</v>
      </c>
      <c r="K356" s="453">
        <v>0</v>
      </c>
      <c r="L356" s="453">
        <v>0</v>
      </c>
      <c r="M356" s="453">
        <v>0</v>
      </c>
      <c r="N356" s="453">
        <v>0</v>
      </c>
      <c r="O356" s="453">
        <v>0</v>
      </c>
      <c r="P356" s="14">
        <v>0</v>
      </c>
      <c r="Q356" s="14">
        <v>0</v>
      </c>
      <c r="R356" s="453">
        <v>0</v>
      </c>
      <c r="S356" s="453">
        <v>0</v>
      </c>
      <c r="T356" s="453">
        <v>0</v>
      </c>
      <c r="U356" s="453">
        <v>0</v>
      </c>
      <c r="V356" s="453">
        <v>0</v>
      </c>
      <c r="W356" s="453">
        <v>0</v>
      </c>
      <c r="X356" s="453">
        <v>0</v>
      </c>
      <c r="Y356" s="453">
        <v>0</v>
      </c>
      <c r="Z356" s="453">
        <v>0</v>
      </c>
      <c r="AA356" s="14">
        <v>0</v>
      </c>
      <c r="AB356" s="14">
        <v>0</v>
      </c>
      <c r="AC356" s="453">
        <v>0</v>
      </c>
      <c r="AD356" s="14">
        <v>0</v>
      </c>
      <c r="AE356" s="14">
        <v>0</v>
      </c>
      <c r="AF356" s="14">
        <v>0</v>
      </c>
      <c r="AG356" s="14">
        <v>0</v>
      </c>
      <c r="AH356" s="14">
        <v>0</v>
      </c>
      <c r="AI356" s="14">
        <v>0</v>
      </c>
      <c r="AJ356" s="14">
        <v>0</v>
      </c>
      <c r="AK356" s="14">
        <v>0</v>
      </c>
      <c r="AL356" s="14">
        <v>0</v>
      </c>
      <c r="AM356" s="453">
        <v>0</v>
      </c>
      <c r="AN356" s="453">
        <v>0</v>
      </c>
      <c r="AO356" s="453">
        <v>0</v>
      </c>
      <c r="AP356" s="453">
        <v>0</v>
      </c>
      <c r="AQ356" s="453">
        <v>0</v>
      </c>
      <c r="AR356" s="453">
        <v>0</v>
      </c>
      <c r="AS356" s="453">
        <v>0</v>
      </c>
      <c r="AT356" s="453">
        <v>0</v>
      </c>
      <c r="AU356" s="453">
        <v>0</v>
      </c>
      <c r="AV356" s="453">
        <v>0</v>
      </c>
      <c r="AW356" s="453">
        <v>0</v>
      </c>
      <c r="AX356" s="453">
        <v>0</v>
      </c>
      <c r="AY356" s="453">
        <v>0</v>
      </c>
      <c r="AZ356" s="453">
        <v>0</v>
      </c>
      <c r="BA356" s="453">
        <v>0</v>
      </c>
      <c r="BB356" s="453">
        <v>0</v>
      </c>
      <c r="BC356" s="453">
        <v>0</v>
      </c>
      <c r="BD356" s="453">
        <v>0</v>
      </c>
      <c r="BE356" s="105">
        <v>0</v>
      </c>
      <c r="BF356" s="453">
        <v>0</v>
      </c>
      <c r="BG356" s="453">
        <v>0</v>
      </c>
      <c r="BH356" s="105">
        <v>0</v>
      </c>
      <c r="BI356" s="453">
        <v>0</v>
      </c>
      <c r="BJ356" s="453">
        <v>0</v>
      </c>
      <c r="BK356" s="105">
        <v>0</v>
      </c>
      <c r="BL356" s="453">
        <v>0</v>
      </c>
      <c r="BM356" s="453">
        <v>0</v>
      </c>
      <c r="BN356" s="453">
        <v>0</v>
      </c>
      <c r="BO356" s="453">
        <v>0</v>
      </c>
      <c r="BP356" s="453">
        <v>0</v>
      </c>
      <c r="BQ356" s="453">
        <v>0</v>
      </c>
      <c r="BR356" s="14">
        <v>0</v>
      </c>
      <c r="BS356" s="14">
        <v>0</v>
      </c>
      <c r="BT356" s="377" t="str">
        <v/>
      </c>
      <c r="BU356" s="105" t="str">
        <v/>
      </c>
      <c r="BV356" s="453" t="str">
        <v/>
      </c>
      <c r="BW356" s="105" t="str">
        <f ca="1"/>
        <v/>
      </c>
    </row>
    <row r="357" spans="1:75" x14ac:dyDescent="0.3">
      <c r="A357" s="1">
        <v>0</v>
      </c>
      <c r="B357" s="106">
        <v>0</v>
      </c>
      <c r="C357" s="14">
        <v>0</v>
      </c>
      <c r="D357" s="14">
        <v>0</v>
      </c>
      <c r="E357" s="14">
        <v>0</v>
      </c>
      <c r="F357" s="453">
        <v>0</v>
      </c>
      <c r="G357" s="377">
        <v>0</v>
      </c>
      <c r="H357" s="453">
        <v>0</v>
      </c>
      <c r="I357" s="453">
        <v>0</v>
      </c>
      <c r="J357" s="453">
        <v>0</v>
      </c>
      <c r="K357" s="453">
        <v>0</v>
      </c>
      <c r="L357" s="453">
        <v>0</v>
      </c>
      <c r="M357" s="453">
        <v>0</v>
      </c>
      <c r="N357" s="453">
        <v>0</v>
      </c>
      <c r="O357" s="453">
        <v>0</v>
      </c>
      <c r="P357" s="14">
        <v>0</v>
      </c>
      <c r="Q357" s="14">
        <v>0</v>
      </c>
      <c r="R357" s="453">
        <v>0</v>
      </c>
      <c r="S357" s="453">
        <v>0</v>
      </c>
      <c r="T357" s="453">
        <v>0</v>
      </c>
      <c r="U357" s="453">
        <v>0</v>
      </c>
      <c r="V357" s="453">
        <v>0</v>
      </c>
      <c r="W357" s="453">
        <v>0</v>
      </c>
      <c r="X357" s="453">
        <v>0</v>
      </c>
      <c r="Y357" s="453">
        <v>0</v>
      </c>
      <c r="Z357" s="453">
        <v>0</v>
      </c>
      <c r="AA357" s="14">
        <v>0</v>
      </c>
      <c r="AB357" s="14">
        <v>0</v>
      </c>
      <c r="AC357" s="453">
        <v>0</v>
      </c>
      <c r="AD357" s="14">
        <v>0</v>
      </c>
      <c r="AE357" s="14">
        <v>0</v>
      </c>
      <c r="AF357" s="14">
        <v>0</v>
      </c>
      <c r="AG357" s="14">
        <v>0</v>
      </c>
      <c r="AH357" s="14">
        <v>0</v>
      </c>
      <c r="AI357" s="14">
        <v>0</v>
      </c>
      <c r="AJ357" s="14">
        <v>0</v>
      </c>
      <c r="AK357" s="14">
        <v>0</v>
      </c>
      <c r="AL357" s="14">
        <v>0</v>
      </c>
      <c r="AM357" s="453">
        <v>0</v>
      </c>
      <c r="AN357" s="453">
        <v>0</v>
      </c>
      <c r="AO357" s="453">
        <v>0</v>
      </c>
      <c r="AP357" s="453">
        <v>0</v>
      </c>
      <c r="AQ357" s="453">
        <v>0</v>
      </c>
      <c r="AR357" s="453">
        <v>0</v>
      </c>
      <c r="AS357" s="453">
        <v>0</v>
      </c>
      <c r="AT357" s="453">
        <v>0</v>
      </c>
      <c r="AU357" s="453">
        <v>0</v>
      </c>
      <c r="AV357" s="453">
        <v>0</v>
      </c>
      <c r="AW357" s="453">
        <v>0</v>
      </c>
      <c r="AX357" s="453">
        <v>0</v>
      </c>
      <c r="AY357" s="453">
        <v>0</v>
      </c>
      <c r="AZ357" s="453">
        <v>0</v>
      </c>
      <c r="BA357" s="453">
        <v>0</v>
      </c>
      <c r="BB357" s="453">
        <v>0</v>
      </c>
      <c r="BC357" s="453">
        <v>0</v>
      </c>
      <c r="BD357" s="453">
        <v>0</v>
      </c>
      <c r="BE357" s="105">
        <v>0</v>
      </c>
      <c r="BF357" s="453">
        <v>0</v>
      </c>
      <c r="BG357" s="453">
        <v>0</v>
      </c>
      <c r="BH357" s="105">
        <v>0</v>
      </c>
      <c r="BI357" s="453">
        <v>0</v>
      </c>
      <c r="BJ357" s="453">
        <v>0</v>
      </c>
      <c r="BK357" s="105">
        <v>0</v>
      </c>
      <c r="BL357" s="453">
        <v>0</v>
      </c>
      <c r="BM357" s="453">
        <v>0</v>
      </c>
      <c r="BN357" s="453">
        <v>0</v>
      </c>
      <c r="BO357" s="453">
        <v>0</v>
      </c>
      <c r="BP357" s="453">
        <v>0</v>
      </c>
      <c r="BQ357" s="453">
        <v>0</v>
      </c>
      <c r="BR357" s="14">
        <v>0</v>
      </c>
      <c r="BS357" s="14">
        <v>0</v>
      </c>
      <c r="BT357" s="377" t="str">
        <v/>
      </c>
      <c r="BU357" s="105" t="str">
        <v/>
      </c>
      <c r="BV357" s="453" t="str">
        <v/>
      </c>
      <c r="BW357" s="105" t="str">
        <f ca="1"/>
        <v/>
      </c>
    </row>
    <row r="358" spans="1:75" x14ac:dyDescent="0.3">
      <c r="A358" s="1">
        <v>0</v>
      </c>
      <c r="B358" s="106">
        <v>0</v>
      </c>
      <c r="C358" s="14">
        <v>0</v>
      </c>
      <c r="D358" s="14">
        <v>0</v>
      </c>
      <c r="E358" s="14">
        <v>0</v>
      </c>
      <c r="F358" s="453">
        <v>0</v>
      </c>
      <c r="G358" s="377">
        <v>0</v>
      </c>
      <c r="H358" s="453">
        <v>0</v>
      </c>
      <c r="I358" s="453">
        <v>0</v>
      </c>
      <c r="J358" s="453">
        <v>0</v>
      </c>
      <c r="K358" s="453">
        <v>0</v>
      </c>
      <c r="L358" s="453">
        <v>0</v>
      </c>
      <c r="M358" s="453">
        <v>0</v>
      </c>
      <c r="N358" s="453">
        <v>0</v>
      </c>
      <c r="O358" s="453">
        <v>0</v>
      </c>
      <c r="P358" s="14">
        <v>0</v>
      </c>
      <c r="Q358" s="14">
        <v>0</v>
      </c>
      <c r="R358" s="453">
        <v>0</v>
      </c>
      <c r="S358" s="453">
        <v>0</v>
      </c>
      <c r="T358" s="453">
        <v>0</v>
      </c>
      <c r="U358" s="453">
        <v>0</v>
      </c>
      <c r="V358" s="453">
        <v>0</v>
      </c>
      <c r="W358" s="453">
        <v>0</v>
      </c>
      <c r="X358" s="453">
        <v>0</v>
      </c>
      <c r="Y358" s="453">
        <v>0</v>
      </c>
      <c r="Z358" s="453">
        <v>0</v>
      </c>
      <c r="AA358" s="14">
        <v>0</v>
      </c>
      <c r="AB358" s="14">
        <v>0</v>
      </c>
      <c r="AC358" s="453">
        <v>0</v>
      </c>
      <c r="AD358" s="14">
        <v>0</v>
      </c>
      <c r="AE358" s="14">
        <v>0</v>
      </c>
      <c r="AF358" s="14">
        <v>0</v>
      </c>
      <c r="AG358" s="14">
        <v>0</v>
      </c>
      <c r="AH358" s="14">
        <v>0</v>
      </c>
      <c r="AI358" s="14">
        <v>0</v>
      </c>
      <c r="AJ358" s="14">
        <v>0</v>
      </c>
      <c r="AK358" s="14">
        <v>0</v>
      </c>
      <c r="AL358" s="14">
        <v>0</v>
      </c>
      <c r="AM358" s="453">
        <v>0</v>
      </c>
      <c r="AN358" s="453">
        <v>0</v>
      </c>
      <c r="AO358" s="453">
        <v>0</v>
      </c>
      <c r="AP358" s="453">
        <v>0</v>
      </c>
      <c r="AQ358" s="453">
        <v>0</v>
      </c>
      <c r="AR358" s="453">
        <v>0</v>
      </c>
      <c r="AS358" s="453">
        <v>0</v>
      </c>
      <c r="AT358" s="453">
        <v>0</v>
      </c>
      <c r="AU358" s="453">
        <v>0</v>
      </c>
      <c r="AV358" s="453">
        <v>0</v>
      </c>
      <c r="AW358" s="453">
        <v>0</v>
      </c>
      <c r="AX358" s="453">
        <v>0</v>
      </c>
      <c r="AY358" s="453">
        <v>0</v>
      </c>
      <c r="AZ358" s="453">
        <v>0</v>
      </c>
      <c r="BA358" s="453">
        <v>0</v>
      </c>
      <c r="BB358" s="453">
        <v>0</v>
      </c>
      <c r="BC358" s="453">
        <v>0</v>
      </c>
      <c r="BD358" s="453">
        <v>0</v>
      </c>
      <c r="BE358" s="105">
        <v>0</v>
      </c>
      <c r="BF358" s="453">
        <v>0</v>
      </c>
      <c r="BG358" s="453">
        <v>0</v>
      </c>
      <c r="BH358" s="105">
        <v>0</v>
      </c>
      <c r="BI358" s="453">
        <v>0</v>
      </c>
      <c r="BJ358" s="453">
        <v>0</v>
      </c>
      <c r="BK358" s="105">
        <v>0</v>
      </c>
      <c r="BL358" s="453">
        <v>0</v>
      </c>
      <c r="BM358" s="453">
        <v>0</v>
      </c>
      <c r="BN358" s="453">
        <v>0</v>
      </c>
      <c r="BO358" s="453">
        <v>0</v>
      </c>
      <c r="BP358" s="453">
        <v>0</v>
      </c>
      <c r="BQ358" s="453">
        <v>0</v>
      </c>
      <c r="BR358" s="14">
        <v>0</v>
      </c>
      <c r="BS358" s="14">
        <v>0</v>
      </c>
      <c r="BT358" s="377" t="str">
        <v/>
      </c>
      <c r="BU358" s="105" t="str">
        <v/>
      </c>
      <c r="BV358" s="453" t="str">
        <v/>
      </c>
      <c r="BW358" s="105" t="str">
        <f ca="1"/>
        <v/>
      </c>
    </row>
    <row r="359" spans="1:75" x14ac:dyDescent="0.3">
      <c r="A359" s="1">
        <v>0</v>
      </c>
      <c r="B359" s="106">
        <v>0</v>
      </c>
      <c r="C359" s="14">
        <v>0</v>
      </c>
      <c r="D359" s="14">
        <v>0</v>
      </c>
      <c r="E359" s="14">
        <v>0</v>
      </c>
      <c r="F359" s="453">
        <v>0</v>
      </c>
      <c r="G359" s="377">
        <v>0</v>
      </c>
      <c r="H359" s="453">
        <v>0</v>
      </c>
      <c r="I359" s="453">
        <v>0</v>
      </c>
      <c r="J359" s="453">
        <v>0</v>
      </c>
      <c r="K359" s="453">
        <v>0</v>
      </c>
      <c r="L359" s="453">
        <v>0</v>
      </c>
      <c r="M359" s="453">
        <v>0</v>
      </c>
      <c r="N359" s="453">
        <v>0</v>
      </c>
      <c r="O359" s="453">
        <v>0</v>
      </c>
      <c r="P359" s="14">
        <v>0</v>
      </c>
      <c r="Q359" s="14">
        <v>0</v>
      </c>
      <c r="R359" s="453">
        <v>0</v>
      </c>
      <c r="S359" s="453">
        <v>0</v>
      </c>
      <c r="T359" s="453">
        <v>0</v>
      </c>
      <c r="U359" s="453">
        <v>0</v>
      </c>
      <c r="V359" s="453">
        <v>0</v>
      </c>
      <c r="W359" s="453">
        <v>0</v>
      </c>
      <c r="X359" s="453">
        <v>0</v>
      </c>
      <c r="Y359" s="453">
        <v>0</v>
      </c>
      <c r="Z359" s="453">
        <v>0</v>
      </c>
      <c r="AA359" s="14">
        <v>0</v>
      </c>
      <c r="AB359" s="14">
        <v>0</v>
      </c>
      <c r="AC359" s="453">
        <v>0</v>
      </c>
      <c r="AD359" s="14">
        <v>0</v>
      </c>
      <c r="AE359" s="14">
        <v>0</v>
      </c>
      <c r="AF359" s="14">
        <v>0</v>
      </c>
      <c r="AG359" s="14">
        <v>0</v>
      </c>
      <c r="AH359" s="14">
        <v>0</v>
      </c>
      <c r="AI359" s="14">
        <v>0</v>
      </c>
      <c r="AJ359" s="14">
        <v>0</v>
      </c>
      <c r="AK359" s="14">
        <v>0</v>
      </c>
      <c r="AL359" s="14">
        <v>0</v>
      </c>
      <c r="AM359" s="453">
        <v>0</v>
      </c>
      <c r="AN359" s="453">
        <v>0</v>
      </c>
      <c r="AO359" s="453">
        <v>0</v>
      </c>
      <c r="AP359" s="453">
        <v>0</v>
      </c>
      <c r="AQ359" s="453">
        <v>0</v>
      </c>
      <c r="AR359" s="453">
        <v>0</v>
      </c>
      <c r="AS359" s="453">
        <v>0</v>
      </c>
      <c r="AT359" s="453">
        <v>0</v>
      </c>
      <c r="AU359" s="453">
        <v>0</v>
      </c>
      <c r="AV359" s="453">
        <v>0</v>
      </c>
      <c r="AW359" s="453">
        <v>0</v>
      </c>
      <c r="AX359" s="453">
        <v>0</v>
      </c>
      <c r="AY359" s="453">
        <v>0</v>
      </c>
      <c r="AZ359" s="453">
        <v>0</v>
      </c>
      <c r="BA359" s="453">
        <v>0</v>
      </c>
      <c r="BB359" s="453">
        <v>0</v>
      </c>
      <c r="BC359" s="453">
        <v>0</v>
      </c>
      <c r="BD359" s="453">
        <v>0</v>
      </c>
      <c r="BE359" s="105">
        <v>0</v>
      </c>
      <c r="BF359" s="453">
        <v>0</v>
      </c>
      <c r="BG359" s="453">
        <v>0</v>
      </c>
      <c r="BH359" s="105">
        <v>0</v>
      </c>
      <c r="BI359" s="453">
        <v>0</v>
      </c>
      <c r="BJ359" s="453">
        <v>0</v>
      </c>
      <c r="BK359" s="105">
        <v>0</v>
      </c>
      <c r="BL359" s="453">
        <v>0</v>
      </c>
      <c r="BM359" s="453">
        <v>0</v>
      </c>
      <c r="BN359" s="453">
        <v>0</v>
      </c>
      <c r="BO359" s="453">
        <v>0</v>
      </c>
      <c r="BP359" s="453">
        <v>0</v>
      </c>
      <c r="BQ359" s="453">
        <v>0</v>
      </c>
      <c r="BR359" s="14">
        <v>0</v>
      </c>
      <c r="BS359" s="14">
        <v>0</v>
      </c>
      <c r="BT359" s="377" t="str">
        <v/>
      </c>
      <c r="BU359" s="105" t="str">
        <v/>
      </c>
      <c r="BV359" s="453" t="str">
        <v/>
      </c>
      <c r="BW359" s="105" t="str">
        <f ca="1"/>
        <v/>
      </c>
    </row>
    <row r="360" spans="1:75" x14ac:dyDescent="0.3">
      <c r="A360" s="1">
        <v>0</v>
      </c>
      <c r="B360" s="106">
        <v>0</v>
      </c>
      <c r="C360" s="14">
        <v>0</v>
      </c>
      <c r="D360" s="14">
        <v>0</v>
      </c>
      <c r="E360" s="14">
        <v>0</v>
      </c>
      <c r="F360" s="453">
        <v>0</v>
      </c>
      <c r="G360" s="377">
        <v>0</v>
      </c>
      <c r="H360" s="453">
        <v>0</v>
      </c>
      <c r="I360" s="453">
        <v>0</v>
      </c>
      <c r="J360" s="453">
        <v>0</v>
      </c>
      <c r="K360" s="453">
        <v>0</v>
      </c>
      <c r="L360" s="453">
        <v>0</v>
      </c>
      <c r="M360" s="453">
        <v>0</v>
      </c>
      <c r="N360" s="453">
        <v>0</v>
      </c>
      <c r="O360" s="453">
        <v>0</v>
      </c>
      <c r="P360" s="14">
        <v>0</v>
      </c>
      <c r="Q360" s="14">
        <v>0</v>
      </c>
      <c r="R360" s="453">
        <v>0</v>
      </c>
      <c r="S360" s="453">
        <v>0</v>
      </c>
      <c r="T360" s="453">
        <v>0</v>
      </c>
      <c r="U360" s="453">
        <v>0</v>
      </c>
      <c r="V360" s="453">
        <v>0</v>
      </c>
      <c r="W360" s="453">
        <v>0</v>
      </c>
      <c r="X360" s="453">
        <v>0</v>
      </c>
      <c r="Y360" s="453">
        <v>0</v>
      </c>
      <c r="Z360" s="453">
        <v>0</v>
      </c>
      <c r="AA360" s="14">
        <v>0</v>
      </c>
      <c r="AB360" s="14">
        <v>0</v>
      </c>
      <c r="AC360" s="453">
        <v>0</v>
      </c>
      <c r="AD360" s="14">
        <v>0</v>
      </c>
      <c r="AE360" s="14">
        <v>0</v>
      </c>
      <c r="AF360" s="14">
        <v>0</v>
      </c>
      <c r="AG360" s="14">
        <v>0</v>
      </c>
      <c r="AH360" s="14">
        <v>0</v>
      </c>
      <c r="AI360" s="14">
        <v>0</v>
      </c>
      <c r="AJ360" s="14">
        <v>0</v>
      </c>
      <c r="AK360" s="14">
        <v>0</v>
      </c>
      <c r="AL360" s="14">
        <v>0</v>
      </c>
      <c r="AM360" s="453">
        <v>0</v>
      </c>
      <c r="AN360" s="453">
        <v>0</v>
      </c>
      <c r="AO360" s="453">
        <v>0</v>
      </c>
      <c r="AP360" s="453">
        <v>0</v>
      </c>
      <c r="AQ360" s="453">
        <v>0</v>
      </c>
      <c r="AR360" s="453">
        <v>0</v>
      </c>
      <c r="AS360" s="453">
        <v>0</v>
      </c>
      <c r="AT360" s="453">
        <v>0</v>
      </c>
      <c r="AU360" s="453">
        <v>0</v>
      </c>
      <c r="AV360" s="453">
        <v>0</v>
      </c>
      <c r="AW360" s="453">
        <v>0</v>
      </c>
      <c r="AX360" s="453">
        <v>0</v>
      </c>
      <c r="AY360" s="453">
        <v>0</v>
      </c>
      <c r="AZ360" s="453">
        <v>0</v>
      </c>
      <c r="BA360" s="453">
        <v>0</v>
      </c>
      <c r="BB360" s="453">
        <v>0</v>
      </c>
      <c r="BC360" s="453">
        <v>0</v>
      </c>
      <c r="BD360" s="453">
        <v>0</v>
      </c>
      <c r="BE360" s="105">
        <v>0</v>
      </c>
      <c r="BF360" s="453">
        <v>0</v>
      </c>
      <c r="BG360" s="453">
        <v>0</v>
      </c>
      <c r="BH360" s="105">
        <v>0</v>
      </c>
      <c r="BI360" s="453">
        <v>0</v>
      </c>
      <c r="BJ360" s="453">
        <v>0</v>
      </c>
      <c r="BK360" s="105">
        <v>0</v>
      </c>
      <c r="BL360" s="453">
        <v>0</v>
      </c>
      <c r="BM360" s="453">
        <v>0</v>
      </c>
      <c r="BN360" s="453">
        <v>0</v>
      </c>
      <c r="BO360" s="453">
        <v>0</v>
      </c>
      <c r="BP360" s="453">
        <v>0</v>
      </c>
      <c r="BQ360" s="453">
        <v>0</v>
      </c>
      <c r="BR360" s="14">
        <v>0</v>
      </c>
      <c r="BS360" s="14">
        <v>0</v>
      </c>
      <c r="BT360" s="377" t="str">
        <v/>
      </c>
      <c r="BU360" s="105" t="str">
        <v/>
      </c>
      <c r="BV360" s="453" t="str">
        <v/>
      </c>
      <c r="BW360" s="105" t="str">
        <f ca="1"/>
        <v/>
      </c>
    </row>
    <row r="361" spans="1:75" x14ac:dyDescent="0.3">
      <c r="A361" s="1">
        <v>0</v>
      </c>
      <c r="B361" s="106">
        <v>0</v>
      </c>
      <c r="C361" s="14">
        <v>0</v>
      </c>
      <c r="D361" s="14">
        <v>0</v>
      </c>
      <c r="E361" s="14">
        <v>0</v>
      </c>
      <c r="F361" s="453">
        <v>0</v>
      </c>
      <c r="G361" s="377">
        <v>0</v>
      </c>
      <c r="H361" s="453">
        <v>0</v>
      </c>
      <c r="I361" s="453">
        <v>0</v>
      </c>
      <c r="J361" s="453">
        <v>0</v>
      </c>
      <c r="K361" s="453">
        <v>0</v>
      </c>
      <c r="L361" s="453">
        <v>0</v>
      </c>
      <c r="M361" s="453">
        <v>0</v>
      </c>
      <c r="N361" s="453">
        <v>0</v>
      </c>
      <c r="O361" s="453">
        <v>0</v>
      </c>
      <c r="P361" s="14">
        <v>0</v>
      </c>
      <c r="Q361" s="14">
        <v>0</v>
      </c>
      <c r="R361" s="453">
        <v>0</v>
      </c>
      <c r="S361" s="453">
        <v>0</v>
      </c>
      <c r="T361" s="453">
        <v>0</v>
      </c>
      <c r="U361" s="453">
        <v>0</v>
      </c>
      <c r="V361" s="453">
        <v>0</v>
      </c>
      <c r="W361" s="453">
        <v>0</v>
      </c>
      <c r="X361" s="453">
        <v>0</v>
      </c>
      <c r="Y361" s="453">
        <v>0</v>
      </c>
      <c r="Z361" s="453">
        <v>0</v>
      </c>
      <c r="AA361" s="14">
        <v>0</v>
      </c>
      <c r="AB361" s="14">
        <v>0</v>
      </c>
      <c r="AC361" s="453">
        <v>0</v>
      </c>
      <c r="AD361" s="14">
        <v>0</v>
      </c>
      <c r="AE361" s="14">
        <v>0</v>
      </c>
      <c r="AF361" s="14">
        <v>0</v>
      </c>
      <c r="AG361" s="14">
        <v>0</v>
      </c>
      <c r="AH361" s="14">
        <v>0</v>
      </c>
      <c r="AI361" s="14">
        <v>0</v>
      </c>
      <c r="AJ361" s="14">
        <v>0</v>
      </c>
      <c r="AK361" s="14">
        <v>0</v>
      </c>
      <c r="AL361" s="14">
        <v>0</v>
      </c>
      <c r="AM361" s="453">
        <v>0</v>
      </c>
      <c r="AN361" s="453">
        <v>0</v>
      </c>
      <c r="AO361" s="453">
        <v>0</v>
      </c>
      <c r="AP361" s="453">
        <v>0</v>
      </c>
      <c r="AQ361" s="453">
        <v>0</v>
      </c>
      <c r="AR361" s="453">
        <v>0</v>
      </c>
      <c r="AS361" s="453">
        <v>0</v>
      </c>
      <c r="AT361" s="453">
        <v>0</v>
      </c>
      <c r="AU361" s="453">
        <v>0</v>
      </c>
      <c r="AV361" s="453">
        <v>0</v>
      </c>
      <c r="AW361" s="453">
        <v>0</v>
      </c>
      <c r="AX361" s="453">
        <v>0</v>
      </c>
      <c r="AY361" s="453">
        <v>0</v>
      </c>
      <c r="AZ361" s="453">
        <v>0</v>
      </c>
      <c r="BA361" s="453">
        <v>0</v>
      </c>
      <c r="BB361" s="453">
        <v>0</v>
      </c>
      <c r="BC361" s="453">
        <v>0</v>
      </c>
      <c r="BD361" s="453">
        <v>0</v>
      </c>
      <c r="BE361" s="105">
        <v>0</v>
      </c>
      <c r="BF361" s="453">
        <v>0</v>
      </c>
      <c r="BG361" s="453">
        <v>0</v>
      </c>
      <c r="BH361" s="105">
        <v>0</v>
      </c>
      <c r="BI361" s="453">
        <v>0</v>
      </c>
      <c r="BJ361" s="453">
        <v>0</v>
      </c>
      <c r="BK361" s="105">
        <v>0</v>
      </c>
      <c r="BL361" s="453">
        <v>0</v>
      </c>
      <c r="BM361" s="453">
        <v>0</v>
      </c>
      <c r="BN361" s="453">
        <v>0</v>
      </c>
      <c r="BO361" s="453">
        <v>0</v>
      </c>
      <c r="BP361" s="453">
        <v>0</v>
      </c>
      <c r="BQ361" s="453">
        <v>0</v>
      </c>
      <c r="BR361" s="14">
        <v>0</v>
      </c>
      <c r="BS361" s="14">
        <v>0</v>
      </c>
      <c r="BT361" s="377" t="str">
        <v/>
      </c>
      <c r="BU361" s="105" t="str">
        <v/>
      </c>
      <c r="BV361" s="453" t="str">
        <v/>
      </c>
      <c r="BW361" s="105" t="str">
        <f ca="1"/>
        <v/>
      </c>
    </row>
    <row r="362" spans="1:75" x14ac:dyDescent="0.3">
      <c r="A362" s="1">
        <v>0</v>
      </c>
      <c r="B362" s="106">
        <v>0</v>
      </c>
      <c r="C362" s="14">
        <v>0</v>
      </c>
      <c r="D362" s="14">
        <v>0</v>
      </c>
      <c r="E362" s="14">
        <v>0</v>
      </c>
      <c r="F362" s="453">
        <v>0</v>
      </c>
      <c r="G362" s="377">
        <v>0</v>
      </c>
      <c r="H362" s="453">
        <v>0</v>
      </c>
      <c r="I362" s="453">
        <v>0</v>
      </c>
      <c r="J362" s="453">
        <v>0</v>
      </c>
      <c r="K362" s="453">
        <v>0</v>
      </c>
      <c r="L362" s="453">
        <v>0</v>
      </c>
      <c r="M362" s="453">
        <v>0</v>
      </c>
      <c r="N362" s="453">
        <v>0</v>
      </c>
      <c r="O362" s="453">
        <v>0</v>
      </c>
      <c r="P362" s="14">
        <v>0</v>
      </c>
      <c r="Q362" s="14">
        <v>0</v>
      </c>
      <c r="R362" s="453">
        <v>0</v>
      </c>
      <c r="S362" s="453">
        <v>0</v>
      </c>
      <c r="T362" s="453">
        <v>0</v>
      </c>
      <c r="U362" s="453">
        <v>0</v>
      </c>
      <c r="V362" s="453">
        <v>0</v>
      </c>
      <c r="W362" s="453">
        <v>0</v>
      </c>
      <c r="X362" s="453">
        <v>0</v>
      </c>
      <c r="Y362" s="453">
        <v>0</v>
      </c>
      <c r="Z362" s="453">
        <v>0</v>
      </c>
      <c r="AA362" s="14">
        <v>0</v>
      </c>
      <c r="AB362" s="14">
        <v>0</v>
      </c>
      <c r="AC362" s="453">
        <v>0</v>
      </c>
      <c r="AD362" s="14">
        <v>0</v>
      </c>
      <c r="AE362" s="14">
        <v>0</v>
      </c>
      <c r="AF362" s="14">
        <v>0</v>
      </c>
      <c r="AG362" s="14">
        <v>0</v>
      </c>
      <c r="AH362" s="14">
        <v>0</v>
      </c>
      <c r="AI362" s="14">
        <v>0</v>
      </c>
      <c r="AJ362" s="14">
        <v>0</v>
      </c>
      <c r="AK362" s="14">
        <v>0</v>
      </c>
      <c r="AL362" s="14">
        <v>0</v>
      </c>
      <c r="AM362" s="453">
        <v>0</v>
      </c>
      <c r="AN362" s="453">
        <v>0</v>
      </c>
      <c r="AO362" s="453">
        <v>0</v>
      </c>
      <c r="AP362" s="453">
        <v>0</v>
      </c>
      <c r="AQ362" s="453">
        <v>0</v>
      </c>
      <c r="AR362" s="453">
        <v>0</v>
      </c>
      <c r="AS362" s="453">
        <v>0</v>
      </c>
      <c r="AT362" s="453">
        <v>0</v>
      </c>
      <c r="AU362" s="453">
        <v>0</v>
      </c>
      <c r="AV362" s="453">
        <v>0</v>
      </c>
      <c r="AW362" s="453">
        <v>0</v>
      </c>
      <c r="AX362" s="453">
        <v>0</v>
      </c>
      <c r="AY362" s="453">
        <v>0</v>
      </c>
      <c r="AZ362" s="453">
        <v>0</v>
      </c>
      <c r="BA362" s="453">
        <v>0</v>
      </c>
      <c r="BB362" s="453">
        <v>0</v>
      </c>
      <c r="BC362" s="453">
        <v>0</v>
      </c>
      <c r="BD362" s="453">
        <v>0</v>
      </c>
      <c r="BE362" s="105">
        <v>0</v>
      </c>
      <c r="BF362" s="453">
        <v>0</v>
      </c>
      <c r="BG362" s="453">
        <v>0</v>
      </c>
      <c r="BH362" s="105">
        <v>0</v>
      </c>
      <c r="BI362" s="453">
        <v>0</v>
      </c>
      <c r="BJ362" s="453">
        <v>0</v>
      </c>
      <c r="BK362" s="105">
        <v>0</v>
      </c>
      <c r="BL362" s="453">
        <v>0</v>
      </c>
      <c r="BM362" s="453">
        <v>0</v>
      </c>
      <c r="BN362" s="453">
        <v>0</v>
      </c>
      <c r="BO362" s="453">
        <v>0</v>
      </c>
      <c r="BP362" s="453">
        <v>0</v>
      </c>
      <c r="BQ362" s="453">
        <v>0</v>
      </c>
      <c r="BR362" s="14">
        <v>0</v>
      </c>
      <c r="BS362" s="14">
        <v>0</v>
      </c>
      <c r="BT362" s="377" t="str">
        <v/>
      </c>
      <c r="BU362" s="105" t="str">
        <v/>
      </c>
      <c r="BV362" s="453" t="str">
        <v/>
      </c>
      <c r="BW362" s="105" t="str">
        <f ca="1"/>
        <v/>
      </c>
    </row>
    <row r="363" spans="1:75" x14ac:dyDescent="0.3">
      <c r="A363" s="1">
        <v>0</v>
      </c>
      <c r="B363" s="106">
        <v>0</v>
      </c>
      <c r="C363" s="14">
        <v>0</v>
      </c>
      <c r="D363" s="14">
        <v>0</v>
      </c>
      <c r="E363" s="14">
        <v>0</v>
      </c>
      <c r="F363" s="453">
        <v>0</v>
      </c>
      <c r="G363" s="377">
        <v>0</v>
      </c>
      <c r="H363" s="453">
        <v>0</v>
      </c>
      <c r="I363" s="453">
        <v>0</v>
      </c>
      <c r="J363" s="453">
        <v>0</v>
      </c>
      <c r="K363" s="453">
        <v>0</v>
      </c>
      <c r="L363" s="453">
        <v>0</v>
      </c>
      <c r="M363" s="453">
        <v>0</v>
      </c>
      <c r="N363" s="453">
        <v>0</v>
      </c>
      <c r="O363" s="453">
        <v>0</v>
      </c>
      <c r="P363" s="14">
        <v>0</v>
      </c>
      <c r="Q363" s="14">
        <v>0</v>
      </c>
      <c r="R363" s="453">
        <v>0</v>
      </c>
      <c r="S363" s="453">
        <v>0</v>
      </c>
      <c r="T363" s="453">
        <v>0</v>
      </c>
      <c r="U363" s="453">
        <v>0</v>
      </c>
      <c r="V363" s="453">
        <v>0</v>
      </c>
      <c r="W363" s="453">
        <v>0</v>
      </c>
      <c r="X363" s="453">
        <v>0</v>
      </c>
      <c r="Y363" s="453">
        <v>0</v>
      </c>
      <c r="Z363" s="453">
        <v>0</v>
      </c>
      <c r="AA363" s="14">
        <v>0</v>
      </c>
      <c r="AB363" s="14">
        <v>0</v>
      </c>
      <c r="AC363" s="453">
        <v>0</v>
      </c>
      <c r="AD363" s="14">
        <v>0</v>
      </c>
      <c r="AE363" s="14">
        <v>0</v>
      </c>
      <c r="AF363" s="14">
        <v>0</v>
      </c>
      <c r="AG363" s="14">
        <v>0</v>
      </c>
      <c r="AH363" s="14">
        <v>0</v>
      </c>
      <c r="AI363" s="14">
        <v>0</v>
      </c>
      <c r="AJ363" s="14">
        <v>0</v>
      </c>
      <c r="AK363" s="14">
        <v>0</v>
      </c>
      <c r="AL363" s="14">
        <v>0</v>
      </c>
      <c r="AM363" s="453">
        <v>0</v>
      </c>
      <c r="AN363" s="453">
        <v>0</v>
      </c>
      <c r="AO363" s="453">
        <v>0</v>
      </c>
      <c r="AP363" s="453">
        <v>0</v>
      </c>
      <c r="AQ363" s="453">
        <v>0</v>
      </c>
      <c r="AR363" s="453">
        <v>0</v>
      </c>
      <c r="AS363" s="453">
        <v>0</v>
      </c>
      <c r="AT363" s="453">
        <v>0</v>
      </c>
      <c r="AU363" s="453">
        <v>0</v>
      </c>
      <c r="AV363" s="453">
        <v>0</v>
      </c>
      <c r="AW363" s="453">
        <v>0</v>
      </c>
      <c r="AX363" s="453">
        <v>0</v>
      </c>
      <c r="AY363" s="453">
        <v>0</v>
      </c>
      <c r="AZ363" s="453">
        <v>0</v>
      </c>
      <c r="BA363" s="453">
        <v>0</v>
      </c>
      <c r="BB363" s="453">
        <v>0</v>
      </c>
      <c r="BC363" s="453">
        <v>0</v>
      </c>
      <c r="BD363" s="453">
        <v>0</v>
      </c>
      <c r="BE363" s="105">
        <v>0</v>
      </c>
      <c r="BF363" s="453">
        <v>0</v>
      </c>
      <c r="BG363" s="453">
        <v>0</v>
      </c>
      <c r="BH363" s="105">
        <v>0</v>
      </c>
      <c r="BI363" s="453">
        <v>0</v>
      </c>
      <c r="BJ363" s="453">
        <v>0</v>
      </c>
      <c r="BK363" s="105">
        <v>0</v>
      </c>
      <c r="BL363" s="453">
        <v>0</v>
      </c>
      <c r="BM363" s="453">
        <v>0</v>
      </c>
      <c r="BN363" s="453">
        <v>0</v>
      </c>
      <c r="BO363" s="453">
        <v>0</v>
      </c>
      <c r="BP363" s="453">
        <v>0</v>
      </c>
      <c r="BQ363" s="453">
        <v>0</v>
      </c>
      <c r="BR363" s="14">
        <v>0</v>
      </c>
      <c r="BS363" s="14">
        <v>0</v>
      </c>
      <c r="BT363" s="377" t="str">
        <v/>
      </c>
      <c r="BU363" s="105" t="str">
        <v/>
      </c>
      <c r="BV363" s="453" t="str">
        <v/>
      </c>
      <c r="BW363" s="105" t="str">
        <f ca="1"/>
        <v/>
      </c>
    </row>
    <row r="364" spans="1:75" x14ac:dyDescent="0.3">
      <c r="A364" s="1">
        <v>0</v>
      </c>
      <c r="B364" s="106">
        <v>0</v>
      </c>
      <c r="C364" s="14">
        <v>0</v>
      </c>
      <c r="D364" s="14">
        <v>0</v>
      </c>
      <c r="E364" s="14">
        <v>0</v>
      </c>
      <c r="F364" s="453">
        <v>0</v>
      </c>
      <c r="G364" s="377">
        <v>0</v>
      </c>
      <c r="H364" s="453">
        <v>0</v>
      </c>
      <c r="I364" s="453">
        <v>0</v>
      </c>
      <c r="J364" s="453">
        <v>0</v>
      </c>
      <c r="K364" s="453">
        <v>0</v>
      </c>
      <c r="L364" s="453">
        <v>0</v>
      </c>
      <c r="M364" s="453">
        <v>0</v>
      </c>
      <c r="N364" s="453">
        <v>0</v>
      </c>
      <c r="O364" s="453">
        <v>0</v>
      </c>
      <c r="P364" s="14">
        <v>0</v>
      </c>
      <c r="Q364" s="14">
        <v>0</v>
      </c>
      <c r="R364" s="453">
        <v>0</v>
      </c>
      <c r="S364" s="453">
        <v>0</v>
      </c>
      <c r="T364" s="453">
        <v>0</v>
      </c>
      <c r="U364" s="453">
        <v>0</v>
      </c>
      <c r="V364" s="453">
        <v>0</v>
      </c>
      <c r="W364" s="453">
        <v>0</v>
      </c>
      <c r="X364" s="453">
        <v>0</v>
      </c>
      <c r="Y364" s="453">
        <v>0</v>
      </c>
      <c r="Z364" s="453">
        <v>0</v>
      </c>
      <c r="AA364" s="14">
        <v>0</v>
      </c>
      <c r="AB364" s="14">
        <v>0</v>
      </c>
      <c r="AC364" s="453">
        <v>0</v>
      </c>
      <c r="AD364" s="14">
        <v>0</v>
      </c>
      <c r="AE364" s="14">
        <v>0</v>
      </c>
      <c r="AF364" s="14">
        <v>0</v>
      </c>
      <c r="AG364" s="14">
        <v>0</v>
      </c>
      <c r="AH364" s="14">
        <v>0</v>
      </c>
      <c r="AI364" s="14">
        <v>0</v>
      </c>
      <c r="AJ364" s="14">
        <v>0</v>
      </c>
      <c r="AK364" s="14">
        <v>0</v>
      </c>
      <c r="AL364" s="14">
        <v>0</v>
      </c>
      <c r="AM364" s="453">
        <v>0</v>
      </c>
      <c r="AN364" s="453">
        <v>0</v>
      </c>
      <c r="AO364" s="453">
        <v>0</v>
      </c>
      <c r="AP364" s="453">
        <v>0</v>
      </c>
      <c r="AQ364" s="453">
        <v>0</v>
      </c>
      <c r="AR364" s="453">
        <v>0</v>
      </c>
      <c r="AS364" s="453">
        <v>0</v>
      </c>
      <c r="AT364" s="453">
        <v>0</v>
      </c>
      <c r="AU364" s="453">
        <v>0</v>
      </c>
      <c r="AV364" s="453">
        <v>0</v>
      </c>
      <c r="AW364" s="453">
        <v>0</v>
      </c>
      <c r="AX364" s="453">
        <v>0</v>
      </c>
      <c r="AY364" s="453">
        <v>0</v>
      </c>
      <c r="AZ364" s="453">
        <v>0</v>
      </c>
      <c r="BA364" s="453">
        <v>0</v>
      </c>
      <c r="BB364" s="453">
        <v>0</v>
      </c>
      <c r="BC364" s="453">
        <v>0</v>
      </c>
      <c r="BD364" s="453">
        <v>0</v>
      </c>
      <c r="BE364" s="105">
        <v>0</v>
      </c>
      <c r="BF364" s="453">
        <v>0</v>
      </c>
      <c r="BG364" s="453">
        <v>0</v>
      </c>
      <c r="BH364" s="105">
        <v>0</v>
      </c>
      <c r="BI364" s="453">
        <v>0</v>
      </c>
      <c r="BJ364" s="453">
        <v>0</v>
      </c>
      <c r="BK364" s="105">
        <v>0</v>
      </c>
      <c r="BL364" s="453">
        <v>0</v>
      </c>
      <c r="BM364" s="453">
        <v>0</v>
      </c>
      <c r="BN364" s="453">
        <v>0</v>
      </c>
      <c r="BO364" s="453">
        <v>0</v>
      </c>
      <c r="BP364" s="453">
        <v>0</v>
      </c>
      <c r="BQ364" s="453">
        <v>0</v>
      </c>
      <c r="BR364" s="14">
        <v>0</v>
      </c>
      <c r="BS364" s="14">
        <v>0</v>
      </c>
      <c r="BT364" s="377" t="str">
        <v/>
      </c>
      <c r="BU364" s="105" t="str">
        <v/>
      </c>
      <c r="BV364" s="453" t="str">
        <v/>
      </c>
      <c r="BW364" s="105" t="str">
        <f ca="1"/>
        <v/>
      </c>
    </row>
    <row r="365" spans="1:75" x14ac:dyDescent="0.3">
      <c r="A365" s="1">
        <v>0</v>
      </c>
      <c r="B365" s="106">
        <v>0</v>
      </c>
      <c r="C365" s="14">
        <v>0</v>
      </c>
      <c r="D365" s="14">
        <v>0</v>
      </c>
      <c r="E365" s="14">
        <v>0</v>
      </c>
      <c r="F365" s="453">
        <v>0</v>
      </c>
      <c r="G365" s="377">
        <v>0</v>
      </c>
      <c r="H365" s="453">
        <v>0</v>
      </c>
      <c r="I365" s="453">
        <v>0</v>
      </c>
      <c r="J365" s="453">
        <v>0</v>
      </c>
      <c r="K365" s="453">
        <v>0</v>
      </c>
      <c r="L365" s="453">
        <v>0</v>
      </c>
      <c r="M365" s="453">
        <v>0</v>
      </c>
      <c r="N365" s="453">
        <v>0</v>
      </c>
      <c r="O365" s="453">
        <v>0</v>
      </c>
      <c r="P365" s="14">
        <v>0</v>
      </c>
      <c r="Q365" s="14">
        <v>0</v>
      </c>
      <c r="R365" s="453">
        <v>0</v>
      </c>
      <c r="S365" s="453">
        <v>0</v>
      </c>
      <c r="T365" s="453">
        <v>0</v>
      </c>
      <c r="U365" s="453">
        <v>0</v>
      </c>
      <c r="V365" s="453">
        <v>0</v>
      </c>
      <c r="W365" s="453">
        <v>0</v>
      </c>
      <c r="X365" s="453">
        <v>0</v>
      </c>
      <c r="Y365" s="453">
        <v>0</v>
      </c>
      <c r="Z365" s="453">
        <v>0</v>
      </c>
      <c r="AA365" s="14">
        <v>0</v>
      </c>
      <c r="AB365" s="14">
        <v>0</v>
      </c>
      <c r="AC365" s="453">
        <v>0</v>
      </c>
      <c r="AD365" s="14">
        <v>0</v>
      </c>
      <c r="AE365" s="14">
        <v>0</v>
      </c>
      <c r="AF365" s="14">
        <v>0</v>
      </c>
      <c r="AG365" s="14">
        <v>0</v>
      </c>
      <c r="AH365" s="14">
        <v>0</v>
      </c>
      <c r="AI365" s="14">
        <v>0</v>
      </c>
      <c r="AJ365" s="14">
        <v>0</v>
      </c>
      <c r="AK365" s="14">
        <v>0</v>
      </c>
      <c r="AL365" s="14">
        <v>0</v>
      </c>
      <c r="AM365" s="453">
        <v>0</v>
      </c>
      <c r="AN365" s="453">
        <v>0</v>
      </c>
      <c r="AO365" s="453">
        <v>0</v>
      </c>
      <c r="AP365" s="453">
        <v>0</v>
      </c>
      <c r="AQ365" s="453">
        <v>0</v>
      </c>
      <c r="AR365" s="453">
        <v>0</v>
      </c>
      <c r="AS365" s="453">
        <v>0</v>
      </c>
      <c r="AT365" s="453">
        <v>0</v>
      </c>
      <c r="AU365" s="453">
        <v>0</v>
      </c>
      <c r="AV365" s="453">
        <v>0</v>
      </c>
      <c r="AW365" s="453">
        <v>0</v>
      </c>
      <c r="AX365" s="453">
        <v>0</v>
      </c>
      <c r="AY365" s="453">
        <v>0</v>
      </c>
      <c r="AZ365" s="453">
        <v>0</v>
      </c>
      <c r="BA365" s="453">
        <v>0</v>
      </c>
      <c r="BB365" s="453">
        <v>0</v>
      </c>
      <c r="BC365" s="453">
        <v>0</v>
      </c>
      <c r="BD365" s="453">
        <v>0</v>
      </c>
      <c r="BE365" s="105">
        <v>0</v>
      </c>
      <c r="BF365" s="453">
        <v>0</v>
      </c>
      <c r="BG365" s="453">
        <v>0</v>
      </c>
      <c r="BH365" s="105">
        <v>0</v>
      </c>
      <c r="BI365" s="453">
        <v>0</v>
      </c>
      <c r="BJ365" s="453">
        <v>0</v>
      </c>
      <c r="BK365" s="105">
        <v>0</v>
      </c>
      <c r="BL365" s="453">
        <v>0</v>
      </c>
      <c r="BM365" s="453">
        <v>0</v>
      </c>
      <c r="BN365" s="453">
        <v>0</v>
      </c>
      <c r="BO365" s="453">
        <v>0</v>
      </c>
      <c r="BP365" s="453">
        <v>0</v>
      </c>
      <c r="BQ365" s="453">
        <v>0</v>
      </c>
      <c r="BR365" s="14">
        <v>0</v>
      </c>
      <c r="BS365" s="14">
        <v>0</v>
      </c>
      <c r="BT365" s="377" t="str">
        <v/>
      </c>
      <c r="BU365" s="105" t="str">
        <v/>
      </c>
      <c r="BV365" s="453" t="str">
        <v/>
      </c>
      <c r="BW365" s="105" t="str">
        <f ca="1"/>
        <v/>
      </c>
    </row>
    <row r="366" spans="1:75" x14ac:dyDescent="0.3">
      <c r="A366" s="1">
        <v>0</v>
      </c>
      <c r="B366" s="106">
        <v>0</v>
      </c>
      <c r="C366" s="14">
        <v>0</v>
      </c>
      <c r="D366" s="14">
        <v>0</v>
      </c>
      <c r="E366" s="14">
        <v>0</v>
      </c>
      <c r="F366" s="453">
        <v>0</v>
      </c>
      <c r="G366" s="377">
        <v>0</v>
      </c>
      <c r="H366" s="453">
        <v>0</v>
      </c>
      <c r="I366" s="453">
        <v>0</v>
      </c>
      <c r="J366" s="453">
        <v>0</v>
      </c>
      <c r="K366" s="453">
        <v>0</v>
      </c>
      <c r="L366" s="453">
        <v>0</v>
      </c>
      <c r="M366" s="453">
        <v>0</v>
      </c>
      <c r="N366" s="453">
        <v>0</v>
      </c>
      <c r="O366" s="453">
        <v>0</v>
      </c>
      <c r="P366" s="14">
        <v>0</v>
      </c>
      <c r="Q366" s="14">
        <v>0</v>
      </c>
      <c r="R366" s="453">
        <v>0</v>
      </c>
      <c r="S366" s="453">
        <v>0</v>
      </c>
      <c r="T366" s="453">
        <v>0</v>
      </c>
      <c r="U366" s="453">
        <v>0</v>
      </c>
      <c r="V366" s="453">
        <v>0</v>
      </c>
      <c r="W366" s="453">
        <v>0</v>
      </c>
      <c r="X366" s="453">
        <v>0</v>
      </c>
      <c r="Y366" s="453">
        <v>0</v>
      </c>
      <c r="Z366" s="453">
        <v>0</v>
      </c>
      <c r="AA366" s="14">
        <v>0</v>
      </c>
      <c r="AB366" s="14">
        <v>0</v>
      </c>
      <c r="AC366" s="453">
        <v>0</v>
      </c>
      <c r="AD366" s="14">
        <v>0</v>
      </c>
      <c r="AE366" s="14">
        <v>0</v>
      </c>
      <c r="AF366" s="14">
        <v>0</v>
      </c>
      <c r="AG366" s="14">
        <v>0</v>
      </c>
      <c r="AH366" s="14">
        <v>0</v>
      </c>
      <c r="AI366" s="14">
        <v>0</v>
      </c>
      <c r="AJ366" s="14">
        <v>0</v>
      </c>
      <c r="AK366" s="14">
        <v>0</v>
      </c>
      <c r="AL366" s="14">
        <v>0</v>
      </c>
      <c r="AM366" s="453">
        <v>0</v>
      </c>
      <c r="AN366" s="453">
        <v>0</v>
      </c>
      <c r="AO366" s="453">
        <v>0</v>
      </c>
      <c r="AP366" s="453">
        <v>0</v>
      </c>
      <c r="AQ366" s="453">
        <v>0</v>
      </c>
      <c r="AR366" s="453">
        <v>0</v>
      </c>
      <c r="AS366" s="453">
        <v>0</v>
      </c>
      <c r="AT366" s="453">
        <v>0</v>
      </c>
      <c r="AU366" s="453">
        <v>0</v>
      </c>
      <c r="AV366" s="453">
        <v>0</v>
      </c>
      <c r="AW366" s="453">
        <v>0</v>
      </c>
      <c r="AX366" s="453">
        <v>0</v>
      </c>
      <c r="AY366" s="453">
        <v>0</v>
      </c>
      <c r="AZ366" s="453">
        <v>0</v>
      </c>
      <c r="BA366" s="453">
        <v>0</v>
      </c>
      <c r="BB366" s="453">
        <v>0</v>
      </c>
      <c r="BC366" s="453">
        <v>0</v>
      </c>
      <c r="BD366" s="453">
        <v>0</v>
      </c>
      <c r="BE366" s="105">
        <v>0</v>
      </c>
      <c r="BF366" s="453">
        <v>0</v>
      </c>
      <c r="BG366" s="453">
        <v>0</v>
      </c>
      <c r="BH366" s="105">
        <v>0</v>
      </c>
      <c r="BI366" s="453">
        <v>0</v>
      </c>
      <c r="BJ366" s="453">
        <v>0</v>
      </c>
      <c r="BK366" s="105">
        <v>0</v>
      </c>
      <c r="BL366" s="453">
        <v>0</v>
      </c>
      <c r="BM366" s="453">
        <v>0</v>
      </c>
      <c r="BN366" s="453">
        <v>0</v>
      </c>
      <c r="BO366" s="453">
        <v>0</v>
      </c>
      <c r="BP366" s="453">
        <v>0</v>
      </c>
      <c r="BQ366" s="453">
        <v>0</v>
      </c>
      <c r="BR366" s="14">
        <v>0</v>
      </c>
      <c r="BS366" s="14">
        <v>0</v>
      </c>
      <c r="BT366" s="377" t="str">
        <v/>
      </c>
      <c r="BU366" s="105" t="str">
        <v/>
      </c>
      <c r="BV366" s="453" t="str">
        <v/>
      </c>
      <c r="BW366" s="105" t="str">
        <f ca="1"/>
        <v/>
      </c>
    </row>
    <row r="367" spans="1:75" x14ac:dyDescent="0.3">
      <c r="A367" s="1">
        <v>0</v>
      </c>
      <c r="B367" s="106">
        <v>0</v>
      </c>
      <c r="C367" s="14">
        <v>0</v>
      </c>
      <c r="D367" s="14">
        <v>0</v>
      </c>
      <c r="E367" s="14">
        <v>0</v>
      </c>
      <c r="F367" s="453">
        <v>0</v>
      </c>
      <c r="G367" s="377">
        <v>0</v>
      </c>
      <c r="H367" s="453">
        <v>0</v>
      </c>
      <c r="I367" s="453">
        <v>0</v>
      </c>
      <c r="J367" s="453">
        <v>0</v>
      </c>
      <c r="K367" s="453">
        <v>0</v>
      </c>
      <c r="L367" s="453">
        <v>0</v>
      </c>
      <c r="M367" s="453">
        <v>0</v>
      </c>
      <c r="N367" s="453">
        <v>0</v>
      </c>
      <c r="O367" s="453">
        <v>0</v>
      </c>
      <c r="P367" s="14">
        <v>0</v>
      </c>
      <c r="Q367" s="14">
        <v>0</v>
      </c>
      <c r="R367" s="453">
        <v>0</v>
      </c>
      <c r="S367" s="453">
        <v>0</v>
      </c>
      <c r="T367" s="453">
        <v>0</v>
      </c>
      <c r="U367" s="453">
        <v>0</v>
      </c>
      <c r="V367" s="453">
        <v>0</v>
      </c>
      <c r="W367" s="453">
        <v>0</v>
      </c>
      <c r="X367" s="453">
        <v>0</v>
      </c>
      <c r="Y367" s="453">
        <v>0</v>
      </c>
      <c r="Z367" s="453">
        <v>0</v>
      </c>
      <c r="AA367" s="14">
        <v>0</v>
      </c>
      <c r="AB367" s="14">
        <v>0</v>
      </c>
      <c r="AC367" s="453">
        <v>0</v>
      </c>
      <c r="AD367" s="14">
        <v>0</v>
      </c>
      <c r="AE367" s="14">
        <v>0</v>
      </c>
      <c r="AF367" s="14">
        <v>0</v>
      </c>
      <c r="AG367" s="14">
        <v>0</v>
      </c>
      <c r="AH367" s="14">
        <v>0</v>
      </c>
      <c r="AI367" s="14">
        <v>0</v>
      </c>
      <c r="AJ367" s="14">
        <v>0</v>
      </c>
      <c r="AK367" s="14">
        <v>0</v>
      </c>
      <c r="AL367" s="14">
        <v>0</v>
      </c>
      <c r="AM367" s="453">
        <v>0</v>
      </c>
      <c r="AN367" s="453">
        <v>0</v>
      </c>
      <c r="AO367" s="453">
        <v>0</v>
      </c>
      <c r="AP367" s="453">
        <v>0</v>
      </c>
      <c r="AQ367" s="453">
        <v>0</v>
      </c>
      <c r="AR367" s="453">
        <v>0</v>
      </c>
      <c r="AS367" s="453">
        <v>0</v>
      </c>
      <c r="AT367" s="453">
        <v>0</v>
      </c>
      <c r="AU367" s="453">
        <v>0</v>
      </c>
      <c r="AV367" s="453">
        <v>0</v>
      </c>
      <c r="AW367" s="453">
        <v>0</v>
      </c>
      <c r="AX367" s="453">
        <v>0</v>
      </c>
      <c r="AY367" s="453">
        <v>0</v>
      </c>
      <c r="AZ367" s="453">
        <v>0</v>
      </c>
      <c r="BA367" s="453">
        <v>0</v>
      </c>
      <c r="BB367" s="453">
        <v>0</v>
      </c>
      <c r="BC367" s="453">
        <v>0</v>
      </c>
      <c r="BD367" s="453">
        <v>0</v>
      </c>
      <c r="BE367" s="105">
        <v>0</v>
      </c>
      <c r="BF367" s="453">
        <v>0</v>
      </c>
      <c r="BG367" s="453">
        <v>0</v>
      </c>
      <c r="BH367" s="105">
        <v>0</v>
      </c>
      <c r="BI367" s="453">
        <v>0</v>
      </c>
      <c r="BJ367" s="453">
        <v>0</v>
      </c>
      <c r="BK367" s="105">
        <v>0</v>
      </c>
      <c r="BL367" s="453">
        <v>0</v>
      </c>
      <c r="BM367" s="453">
        <v>0</v>
      </c>
      <c r="BN367" s="453">
        <v>0</v>
      </c>
      <c r="BO367" s="453">
        <v>0</v>
      </c>
      <c r="BP367" s="453">
        <v>0</v>
      </c>
      <c r="BQ367" s="453">
        <v>0</v>
      </c>
      <c r="BR367" s="14">
        <v>0</v>
      </c>
      <c r="BS367" s="14">
        <v>0</v>
      </c>
      <c r="BT367" s="377" t="str">
        <v/>
      </c>
      <c r="BU367" s="105" t="str">
        <v/>
      </c>
      <c r="BV367" s="453" t="str">
        <v/>
      </c>
      <c r="BW367" s="105" t="str">
        <f ca="1"/>
        <v/>
      </c>
    </row>
    <row r="368" spans="1:75" x14ac:dyDescent="0.3">
      <c r="A368" s="1">
        <v>0</v>
      </c>
      <c r="B368" s="106">
        <v>0</v>
      </c>
      <c r="C368" s="14">
        <v>0</v>
      </c>
      <c r="D368" s="14">
        <v>0</v>
      </c>
      <c r="E368" s="14">
        <v>0</v>
      </c>
      <c r="F368" s="453">
        <v>0</v>
      </c>
      <c r="G368" s="377">
        <v>0</v>
      </c>
      <c r="H368" s="453">
        <v>0</v>
      </c>
      <c r="I368" s="453">
        <v>0</v>
      </c>
      <c r="J368" s="453">
        <v>0</v>
      </c>
      <c r="K368" s="453">
        <v>0</v>
      </c>
      <c r="L368" s="453">
        <v>0</v>
      </c>
      <c r="M368" s="453">
        <v>0</v>
      </c>
      <c r="N368" s="453">
        <v>0</v>
      </c>
      <c r="O368" s="453">
        <v>0</v>
      </c>
      <c r="P368" s="14">
        <v>0</v>
      </c>
      <c r="Q368" s="14">
        <v>0</v>
      </c>
      <c r="R368" s="453">
        <v>0</v>
      </c>
      <c r="S368" s="453">
        <v>0</v>
      </c>
      <c r="T368" s="453">
        <v>0</v>
      </c>
      <c r="U368" s="453">
        <v>0</v>
      </c>
      <c r="V368" s="453">
        <v>0</v>
      </c>
      <c r="W368" s="453">
        <v>0</v>
      </c>
      <c r="X368" s="453">
        <v>0</v>
      </c>
      <c r="Y368" s="453">
        <v>0</v>
      </c>
      <c r="Z368" s="453">
        <v>0</v>
      </c>
      <c r="AA368" s="14">
        <v>0</v>
      </c>
      <c r="AB368" s="14">
        <v>0</v>
      </c>
      <c r="AC368" s="453">
        <v>0</v>
      </c>
      <c r="AD368" s="14">
        <v>0</v>
      </c>
      <c r="AE368" s="14">
        <v>0</v>
      </c>
      <c r="AF368" s="14">
        <v>0</v>
      </c>
      <c r="AG368" s="14">
        <v>0</v>
      </c>
      <c r="AH368" s="14">
        <v>0</v>
      </c>
      <c r="AI368" s="14">
        <v>0</v>
      </c>
      <c r="AJ368" s="14">
        <v>0</v>
      </c>
      <c r="AK368" s="14">
        <v>0</v>
      </c>
      <c r="AL368" s="14">
        <v>0</v>
      </c>
      <c r="AM368" s="453">
        <v>0</v>
      </c>
      <c r="AN368" s="453">
        <v>0</v>
      </c>
      <c r="AO368" s="453">
        <v>0</v>
      </c>
      <c r="AP368" s="453">
        <v>0</v>
      </c>
      <c r="AQ368" s="453">
        <v>0</v>
      </c>
      <c r="AR368" s="453">
        <v>0</v>
      </c>
      <c r="AS368" s="453">
        <v>0</v>
      </c>
      <c r="AT368" s="453">
        <v>0</v>
      </c>
      <c r="AU368" s="453">
        <v>0</v>
      </c>
      <c r="AV368" s="453">
        <v>0</v>
      </c>
      <c r="AW368" s="453">
        <v>0</v>
      </c>
      <c r="AX368" s="453">
        <v>0</v>
      </c>
      <c r="AY368" s="453">
        <v>0</v>
      </c>
      <c r="AZ368" s="453">
        <v>0</v>
      </c>
      <c r="BA368" s="453">
        <v>0</v>
      </c>
      <c r="BB368" s="453">
        <v>0</v>
      </c>
      <c r="BC368" s="453">
        <v>0</v>
      </c>
      <c r="BD368" s="453">
        <v>0</v>
      </c>
      <c r="BE368" s="105">
        <v>0</v>
      </c>
      <c r="BF368" s="453">
        <v>0</v>
      </c>
      <c r="BG368" s="453">
        <v>0</v>
      </c>
      <c r="BH368" s="105">
        <v>0</v>
      </c>
      <c r="BI368" s="453">
        <v>0</v>
      </c>
      <c r="BJ368" s="453">
        <v>0</v>
      </c>
      <c r="BK368" s="105">
        <v>0</v>
      </c>
      <c r="BL368" s="453">
        <v>0</v>
      </c>
      <c r="BM368" s="453">
        <v>0</v>
      </c>
      <c r="BN368" s="453">
        <v>0</v>
      </c>
      <c r="BO368" s="453">
        <v>0</v>
      </c>
      <c r="BP368" s="453">
        <v>0</v>
      </c>
      <c r="BQ368" s="453">
        <v>0</v>
      </c>
      <c r="BR368" s="14">
        <v>0</v>
      </c>
      <c r="BS368" s="14">
        <v>0</v>
      </c>
      <c r="BT368" s="377" t="str">
        <v/>
      </c>
      <c r="BU368" s="105" t="str">
        <v/>
      </c>
      <c r="BV368" s="453" t="str">
        <v/>
      </c>
      <c r="BW368" s="105" t="str">
        <f ca="1"/>
        <v/>
      </c>
    </row>
    <row r="369" spans="1:75" x14ac:dyDescent="0.3">
      <c r="A369" s="1">
        <v>0</v>
      </c>
      <c r="B369" s="106">
        <v>0</v>
      </c>
      <c r="C369" s="14">
        <v>0</v>
      </c>
      <c r="D369" s="14">
        <v>0</v>
      </c>
      <c r="E369" s="14">
        <v>0</v>
      </c>
      <c r="F369" s="453">
        <v>0</v>
      </c>
      <c r="G369" s="377">
        <v>0</v>
      </c>
      <c r="H369" s="453">
        <v>0</v>
      </c>
      <c r="I369" s="453">
        <v>0</v>
      </c>
      <c r="J369" s="453">
        <v>0</v>
      </c>
      <c r="K369" s="453">
        <v>0</v>
      </c>
      <c r="L369" s="453">
        <v>0</v>
      </c>
      <c r="M369" s="453">
        <v>0</v>
      </c>
      <c r="N369" s="453">
        <v>0</v>
      </c>
      <c r="O369" s="453">
        <v>0</v>
      </c>
      <c r="P369" s="14">
        <v>0</v>
      </c>
      <c r="Q369" s="14">
        <v>0</v>
      </c>
      <c r="R369" s="453">
        <v>0</v>
      </c>
      <c r="S369" s="453">
        <v>0</v>
      </c>
      <c r="T369" s="453">
        <v>0</v>
      </c>
      <c r="U369" s="453">
        <v>0</v>
      </c>
      <c r="V369" s="453">
        <v>0</v>
      </c>
      <c r="W369" s="453">
        <v>0</v>
      </c>
      <c r="X369" s="453">
        <v>0</v>
      </c>
      <c r="Y369" s="453">
        <v>0</v>
      </c>
      <c r="Z369" s="453">
        <v>0</v>
      </c>
      <c r="AA369" s="14">
        <v>0</v>
      </c>
      <c r="AB369" s="14">
        <v>0</v>
      </c>
      <c r="AC369" s="453">
        <v>0</v>
      </c>
      <c r="AD369" s="14">
        <v>0</v>
      </c>
      <c r="AE369" s="14">
        <v>0</v>
      </c>
      <c r="AF369" s="14">
        <v>0</v>
      </c>
      <c r="AG369" s="14">
        <v>0</v>
      </c>
      <c r="AH369" s="14">
        <v>0</v>
      </c>
      <c r="AI369" s="14">
        <v>0</v>
      </c>
      <c r="AJ369" s="14">
        <v>0</v>
      </c>
      <c r="AK369" s="14">
        <v>0</v>
      </c>
      <c r="AL369" s="14">
        <v>0</v>
      </c>
      <c r="AM369" s="453">
        <v>0</v>
      </c>
      <c r="AN369" s="453">
        <v>0</v>
      </c>
      <c r="AO369" s="453">
        <v>0</v>
      </c>
      <c r="AP369" s="453">
        <v>0</v>
      </c>
      <c r="AQ369" s="453">
        <v>0</v>
      </c>
      <c r="AR369" s="453">
        <v>0</v>
      </c>
      <c r="AS369" s="453">
        <v>0</v>
      </c>
      <c r="AT369" s="453">
        <v>0</v>
      </c>
      <c r="AU369" s="453">
        <v>0</v>
      </c>
      <c r="AV369" s="453">
        <v>0</v>
      </c>
      <c r="AW369" s="453">
        <v>0</v>
      </c>
      <c r="AX369" s="453">
        <v>0</v>
      </c>
      <c r="AY369" s="453">
        <v>0</v>
      </c>
      <c r="AZ369" s="453">
        <v>0</v>
      </c>
      <c r="BA369" s="453">
        <v>0</v>
      </c>
      <c r="BB369" s="453">
        <v>0</v>
      </c>
      <c r="BC369" s="453">
        <v>0</v>
      </c>
      <c r="BD369" s="453">
        <v>0</v>
      </c>
      <c r="BE369" s="105">
        <v>0</v>
      </c>
      <c r="BF369" s="453">
        <v>0</v>
      </c>
      <c r="BG369" s="453">
        <v>0</v>
      </c>
      <c r="BH369" s="105">
        <v>0</v>
      </c>
      <c r="BI369" s="453">
        <v>0</v>
      </c>
      <c r="BJ369" s="453">
        <v>0</v>
      </c>
      <c r="BK369" s="105">
        <v>0</v>
      </c>
      <c r="BL369" s="453">
        <v>0</v>
      </c>
      <c r="BM369" s="453">
        <v>0</v>
      </c>
      <c r="BN369" s="453">
        <v>0</v>
      </c>
      <c r="BO369" s="453">
        <v>0</v>
      </c>
      <c r="BP369" s="453">
        <v>0</v>
      </c>
      <c r="BQ369" s="453">
        <v>0</v>
      </c>
      <c r="BR369" s="14">
        <v>0</v>
      </c>
      <c r="BS369" s="14">
        <v>0</v>
      </c>
      <c r="BT369" s="377" t="str">
        <v/>
      </c>
      <c r="BU369" s="105" t="str">
        <v/>
      </c>
      <c r="BV369" s="453" t="str">
        <v/>
      </c>
      <c r="BW369" s="105" t="str">
        <f ca="1"/>
        <v/>
      </c>
    </row>
    <row r="370" spans="1:75" x14ac:dyDescent="0.3">
      <c r="A370" s="1">
        <v>0</v>
      </c>
      <c r="B370" s="106">
        <v>0</v>
      </c>
      <c r="C370" s="14">
        <v>0</v>
      </c>
      <c r="D370" s="14">
        <v>0</v>
      </c>
      <c r="E370" s="14">
        <v>0</v>
      </c>
      <c r="F370" s="453">
        <v>0</v>
      </c>
      <c r="G370" s="377">
        <v>0</v>
      </c>
      <c r="H370" s="453">
        <v>0</v>
      </c>
      <c r="I370" s="453">
        <v>0</v>
      </c>
      <c r="J370" s="453">
        <v>0</v>
      </c>
      <c r="K370" s="453">
        <v>0</v>
      </c>
      <c r="L370" s="453">
        <v>0</v>
      </c>
      <c r="M370" s="453">
        <v>0</v>
      </c>
      <c r="N370" s="453">
        <v>0</v>
      </c>
      <c r="O370" s="453">
        <v>0</v>
      </c>
      <c r="P370" s="14">
        <v>0</v>
      </c>
      <c r="Q370" s="14">
        <v>0</v>
      </c>
      <c r="R370" s="453">
        <v>0</v>
      </c>
      <c r="S370" s="453">
        <v>0</v>
      </c>
      <c r="T370" s="453">
        <v>0</v>
      </c>
      <c r="U370" s="453">
        <v>0</v>
      </c>
      <c r="V370" s="453">
        <v>0</v>
      </c>
      <c r="W370" s="453">
        <v>0</v>
      </c>
      <c r="X370" s="453">
        <v>0</v>
      </c>
      <c r="Y370" s="453">
        <v>0</v>
      </c>
      <c r="Z370" s="453">
        <v>0</v>
      </c>
      <c r="AA370" s="14">
        <v>0</v>
      </c>
      <c r="AB370" s="14">
        <v>0</v>
      </c>
      <c r="AC370" s="453">
        <v>0</v>
      </c>
      <c r="AD370" s="14">
        <v>0</v>
      </c>
      <c r="AE370" s="14">
        <v>0</v>
      </c>
      <c r="AF370" s="14">
        <v>0</v>
      </c>
      <c r="AG370" s="14">
        <v>0</v>
      </c>
      <c r="AH370" s="14">
        <v>0</v>
      </c>
      <c r="AI370" s="14">
        <v>0</v>
      </c>
      <c r="AJ370" s="14">
        <v>0</v>
      </c>
      <c r="AK370" s="14">
        <v>0</v>
      </c>
      <c r="AL370" s="14">
        <v>0</v>
      </c>
      <c r="AM370" s="453">
        <v>0</v>
      </c>
      <c r="AN370" s="453">
        <v>0</v>
      </c>
      <c r="AO370" s="453">
        <v>0</v>
      </c>
      <c r="AP370" s="453">
        <v>0</v>
      </c>
      <c r="AQ370" s="453">
        <v>0</v>
      </c>
      <c r="AR370" s="453">
        <v>0</v>
      </c>
      <c r="AS370" s="453">
        <v>0</v>
      </c>
      <c r="AT370" s="453">
        <v>0</v>
      </c>
      <c r="AU370" s="453">
        <v>0</v>
      </c>
      <c r="AV370" s="453">
        <v>0</v>
      </c>
      <c r="AW370" s="453">
        <v>0</v>
      </c>
      <c r="AX370" s="453">
        <v>0</v>
      </c>
      <c r="AY370" s="453">
        <v>0</v>
      </c>
      <c r="AZ370" s="453">
        <v>0</v>
      </c>
      <c r="BA370" s="453">
        <v>0</v>
      </c>
      <c r="BB370" s="453">
        <v>0</v>
      </c>
      <c r="BC370" s="453">
        <v>0</v>
      </c>
      <c r="BD370" s="453">
        <v>0</v>
      </c>
      <c r="BE370" s="105">
        <v>0</v>
      </c>
      <c r="BF370" s="453">
        <v>0</v>
      </c>
      <c r="BG370" s="453">
        <v>0</v>
      </c>
      <c r="BH370" s="105">
        <v>0</v>
      </c>
      <c r="BI370" s="453">
        <v>0</v>
      </c>
      <c r="BJ370" s="453">
        <v>0</v>
      </c>
      <c r="BK370" s="105">
        <v>0</v>
      </c>
      <c r="BL370" s="453">
        <v>0</v>
      </c>
      <c r="BM370" s="453">
        <v>0</v>
      </c>
      <c r="BN370" s="453">
        <v>0</v>
      </c>
      <c r="BO370" s="453">
        <v>0</v>
      </c>
      <c r="BP370" s="453">
        <v>0</v>
      </c>
      <c r="BQ370" s="453">
        <v>0</v>
      </c>
      <c r="BR370" s="14">
        <v>0</v>
      </c>
      <c r="BS370" s="14">
        <v>0</v>
      </c>
      <c r="BT370" s="377" t="str">
        <v/>
      </c>
      <c r="BU370" s="105" t="str">
        <v/>
      </c>
      <c r="BV370" s="453" t="str">
        <v/>
      </c>
      <c r="BW370" s="105" t="str">
        <f ca="1"/>
        <v/>
      </c>
    </row>
    <row r="371" spans="1:75" x14ac:dyDescent="0.3">
      <c r="A371" s="1">
        <v>0</v>
      </c>
      <c r="B371" s="106">
        <v>0</v>
      </c>
      <c r="C371" s="14">
        <v>0</v>
      </c>
      <c r="D371" s="14">
        <v>0</v>
      </c>
      <c r="E371" s="14">
        <v>0</v>
      </c>
      <c r="F371" s="453">
        <v>0</v>
      </c>
      <c r="G371" s="377">
        <v>0</v>
      </c>
      <c r="H371" s="453">
        <v>0</v>
      </c>
      <c r="I371" s="453">
        <v>0</v>
      </c>
      <c r="J371" s="453">
        <v>0</v>
      </c>
      <c r="K371" s="453">
        <v>0</v>
      </c>
      <c r="L371" s="453">
        <v>0</v>
      </c>
      <c r="M371" s="453">
        <v>0</v>
      </c>
      <c r="N371" s="453">
        <v>0</v>
      </c>
      <c r="O371" s="453">
        <v>0</v>
      </c>
      <c r="P371" s="14">
        <v>0</v>
      </c>
      <c r="Q371" s="14">
        <v>0</v>
      </c>
      <c r="R371" s="453">
        <v>0</v>
      </c>
      <c r="S371" s="453">
        <v>0</v>
      </c>
      <c r="T371" s="453">
        <v>0</v>
      </c>
      <c r="U371" s="453">
        <v>0</v>
      </c>
      <c r="V371" s="453">
        <v>0</v>
      </c>
      <c r="W371" s="453">
        <v>0</v>
      </c>
      <c r="X371" s="453">
        <v>0</v>
      </c>
      <c r="Y371" s="453">
        <v>0</v>
      </c>
      <c r="Z371" s="453">
        <v>0</v>
      </c>
      <c r="AA371" s="14">
        <v>0</v>
      </c>
      <c r="AB371" s="14">
        <v>0</v>
      </c>
      <c r="AC371" s="453">
        <v>0</v>
      </c>
      <c r="AD371" s="14">
        <v>0</v>
      </c>
      <c r="AE371" s="14">
        <v>0</v>
      </c>
      <c r="AF371" s="14">
        <v>0</v>
      </c>
      <c r="AG371" s="14">
        <v>0</v>
      </c>
      <c r="AH371" s="14">
        <v>0</v>
      </c>
      <c r="AI371" s="14">
        <v>0</v>
      </c>
      <c r="AJ371" s="14">
        <v>0</v>
      </c>
      <c r="AK371" s="14">
        <v>0</v>
      </c>
      <c r="AL371" s="14">
        <v>0</v>
      </c>
      <c r="AM371" s="453">
        <v>0</v>
      </c>
      <c r="AN371" s="453">
        <v>0</v>
      </c>
      <c r="AO371" s="453">
        <v>0</v>
      </c>
      <c r="AP371" s="453">
        <v>0</v>
      </c>
      <c r="AQ371" s="453">
        <v>0</v>
      </c>
      <c r="AR371" s="453">
        <v>0</v>
      </c>
      <c r="AS371" s="453">
        <v>0</v>
      </c>
      <c r="AT371" s="453">
        <v>0</v>
      </c>
      <c r="AU371" s="453">
        <v>0</v>
      </c>
      <c r="AV371" s="453">
        <v>0</v>
      </c>
      <c r="AW371" s="453">
        <v>0</v>
      </c>
      <c r="AX371" s="453">
        <v>0</v>
      </c>
      <c r="AY371" s="453">
        <v>0</v>
      </c>
      <c r="AZ371" s="453">
        <v>0</v>
      </c>
      <c r="BA371" s="453">
        <v>0</v>
      </c>
      <c r="BB371" s="453">
        <v>0</v>
      </c>
      <c r="BC371" s="453">
        <v>0</v>
      </c>
      <c r="BD371" s="453">
        <v>0</v>
      </c>
      <c r="BE371" s="105">
        <v>0</v>
      </c>
      <c r="BF371" s="453">
        <v>0</v>
      </c>
      <c r="BG371" s="453">
        <v>0</v>
      </c>
      <c r="BH371" s="105">
        <v>0</v>
      </c>
      <c r="BI371" s="453">
        <v>0</v>
      </c>
      <c r="BJ371" s="453">
        <v>0</v>
      </c>
      <c r="BK371" s="105">
        <v>0</v>
      </c>
      <c r="BL371" s="453">
        <v>0</v>
      </c>
      <c r="BM371" s="453">
        <v>0</v>
      </c>
      <c r="BN371" s="453">
        <v>0</v>
      </c>
      <c r="BO371" s="453">
        <v>0</v>
      </c>
      <c r="BP371" s="453">
        <v>0</v>
      </c>
      <c r="BQ371" s="453">
        <v>0</v>
      </c>
      <c r="BR371" s="14">
        <v>0</v>
      </c>
      <c r="BS371" s="14">
        <v>0</v>
      </c>
      <c r="BT371" s="377" t="str">
        <v/>
      </c>
      <c r="BU371" s="105" t="str">
        <v/>
      </c>
      <c r="BV371" s="453" t="str">
        <v/>
      </c>
      <c r="BW371" s="105" t="str">
        <f ca="1"/>
        <v/>
      </c>
    </row>
    <row r="372" spans="1:75" x14ac:dyDescent="0.3">
      <c r="A372" s="1">
        <v>0</v>
      </c>
      <c r="B372" s="106">
        <v>0</v>
      </c>
      <c r="C372" s="14">
        <v>0</v>
      </c>
      <c r="D372" s="14">
        <v>0</v>
      </c>
      <c r="E372" s="14">
        <v>0</v>
      </c>
      <c r="F372" s="453">
        <v>0</v>
      </c>
      <c r="G372" s="377">
        <v>0</v>
      </c>
      <c r="H372" s="453">
        <v>0</v>
      </c>
      <c r="I372" s="453">
        <v>0</v>
      </c>
      <c r="J372" s="453">
        <v>0</v>
      </c>
      <c r="K372" s="453">
        <v>0</v>
      </c>
      <c r="L372" s="453">
        <v>0</v>
      </c>
      <c r="M372" s="453">
        <v>0</v>
      </c>
      <c r="N372" s="453">
        <v>0</v>
      </c>
      <c r="O372" s="453">
        <v>0</v>
      </c>
      <c r="P372" s="14">
        <v>0</v>
      </c>
      <c r="Q372" s="14">
        <v>0</v>
      </c>
      <c r="R372" s="453">
        <v>0</v>
      </c>
      <c r="S372" s="453">
        <v>0</v>
      </c>
      <c r="T372" s="453">
        <v>0</v>
      </c>
      <c r="U372" s="453">
        <v>0</v>
      </c>
      <c r="V372" s="453">
        <v>0</v>
      </c>
      <c r="W372" s="453">
        <v>0</v>
      </c>
      <c r="X372" s="453">
        <v>0</v>
      </c>
      <c r="Y372" s="453">
        <v>0</v>
      </c>
      <c r="Z372" s="453">
        <v>0</v>
      </c>
      <c r="AA372" s="14">
        <v>0</v>
      </c>
      <c r="AB372" s="14">
        <v>0</v>
      </c>
      <c r="AC372" s="453">
        <v>0</v>
      </c>
      <c r="AD372" s="14">
        <v>0</v>
      </c>
      <c r="AE372" s="14">
        <v>0</v>
      </c>
      <c r="AF372" s="14">
        <v>0</v>
      </c>
      <c r="AG372" s="14">
        <v>0</v>
      </c>
      <c r="AH372" s="14">
        <v>0</v>
      </c>
      <c r="AI372" s="14">
        <v>0</v>
      </c>
      <c r="AJ372" s="14">
        <v>0</v>
      </c>
      <c r="AK372" s="14">
        <v>0</v>
      </c>
      <c r="AL372" s="14">
        <v>0</v>
      </c>
      <c r="AM372" s="453">
        <v>0</v>
      </c>
      <c r="AN372" s="453">
        <v>0</v>
      </c>
      <c r="AO372" s="453">
        <v>0</v>
      </c>
      <c r="AP372" s="453">
        <v>0</v>
      </c>
      <c r="AQ372" s="453">
        <v>0</v>
      </c>
      <c r="AR372" s="453">
        <v>0</v>
      </c>
      <c r="AS372" s="453">
        <v>0</v>
      </c>
      <c r="AT372" s="453">
        <v>0</v>
      </c>
      <c r="AU372" s="453">
        <v>0</v>
      </c>
      <c r="AV372" s="453">
        <v>0</v>
      </c>
      <c r="AW372" s="453">
        <v>0</v>
      </c>
      <c r="AX372" s="453">
        <v>0</v>
      </c>
      <c r="AY372" s="453">
        <v>0</v>
      </c>
      <c r="AZ372" s="453">
        <v>0</v>
      </c>
      <c r="BA372" s="453">
        <v>0</v>
      </c>
      <c r="BB372" s="453">
        <v>0</v>
      </c>
      <c r="BC372" s="453">
        <v>0</v>
      </c>
      <c r="BD372" s="453">
        <v>0</v>
      </c>
      <c r="BE372" s="105">
        <v>0</v>
      </c>
      <c r="BF372" s="453">
        <v>0</v>
      </c>
      <c r="BG372" s="453">
        <v>0</v>
      </c>
      <c r="BH372" s="105">
        <v>0</v>
      </c>
      <c r="BI372" s="453">
        <v>0</v>
      </c>
      <c r="BJ372" s="453">
        <v>0</v>
      </c>
      <c r="BK372" s="105">
        <v>0</v>
      </c>
      <c r="BL372" s="453">
        <v>0</v>
      </c>
      <c r="BM372" s="453">
        <v>0</v>
      </c>
      <c r="BN372" s="453">
        <v>0</v>
      </c>
      <c r="BO372" s="453">
        <v>0</v>
      </c>
      <c r="BP372" s="453">
        <v>0</v>
      </c>
      <c r="BQ372" s="453">
        <v>0</v>
      </c>
      <c r="BR372" s="14">
        <v>0</v>
      </c>
      <c r="BS372" s="14">
        <v>0</v>
      </c>
      <c r="BT372" s="377" t="str">
        <v/>
      </c>
      <c r="BU372" s="105" t="str">
        <v/>
      </c>
      <c r="BV372" s="453" t="str">
        <v/>
      </c>
      <c r="BW372" s="105" t="str">
        <f ca="1"/>
        <v/>
      </c>
    </row>
    <row r="373" spans="1:75" x14ac:dyDescent="0.3">
      <c r="A373" s="1">
        <v>0</v>
      </c>
      <c r="B373" s="106">
        <v>0</v>
      </c>
      <c r="C373" s="14">
        <v>0</v>
      </c>
      <c r="D373" s="14">
        <v>0</v>
      </c>
      <c r="E373" s="14">
        <v>0</v>
      </c>
      <c r="F373" s="453">
        <v>0</v>
      </c>
      <c r="G373" s="377">
        <v>0</v>
      </c>
      <c r="H373" s="453">
        <v>0</v>
      </c>
      <c r="I373" s="453">
        <v>0</v>
      </c>
      <c r="J373" s="453">
        <v>0</v>
      </c>
      <c r="K373" s="453">
        <v>0</v>
      </c>
      <c r="L373" s="453">
        <v>0</v>
      </c>
      <c r="M373" s="453">
        <v>0</v>
      </c>
      <c r="N373" s="453">
        <v>0</v>
      </c>
      <c r="O373" s="453">
        <v>0</v>
      </c>
      <c r="P373" s="14">
        <v>0</v>
      </c>
      <c r="Q373" s="14">
        <v>0</v>
      </c>
      <c r="R373" s="453">
        <v>0</v>
      </c>
      <c r="S373" s="453">
        <v>0</v>
      </c>
      <c r="T373" s="453">
        <v>0</v>
      </c>
      <c r="U373" s="453">
        <v>0</v>
      </c>
      <c r="V373" s="453">
        <v>0</v>
      </c>
      <c r="W373" s="453">
        <v>0</v>
      </c>
      <c r="X373" s="453">
        <v>0</v>
      </c>
      <c r="Y373" s="453">
        <v>0</v>
      </c>
      <c r="Z373" s="453">
        <v>0</v>
      </c>
      <c r="AA373" s="14">
        <v>0</v>
      </c>
      <c r="AB373" s="14">
        <v>0</v>
      </c>
      <c r="AC373" s="453">
        <v>0</v>
      </c>
      <c r="AD373" s="14">
        <v>0</v>
      </c>
      <c r="AE373" s="14">
        <v>0</v>
      </c>
      <c r="AF373" s="14">
        <v>0</v>
      </c>
      <c r="AG373" s="14">
        <v>0</v>
      </c>
      <c r="AH373" s="14">
        <v>0</v>
      </c>
      <c r="AI373" s="14">
        <v>0</v>
      </c>
      <c r="AJ373" s="14">
        <v>0</v>
      </c>
      <c r="AK373" s="14">
        <v>0</v>
      </c>
      <c r="AL373" s="14">
        <v>0</v>
      </c>
      <c r="AM373" s="453">
        <v>0</v>
      </c>
      <c r="AN373" s="453">
        <v>0</v>
      </c>
      <c r="AO373" s="453">
        <v>0</v>
      </c>
      <c r="AP373" s="453">
        <v>0</v>
      </c>
      <c r="AQ373" s="453">
        <v>0</v>
      </c>
      <c r="AR373" s="453">
        <v>0</v>
      </c>
      <c r="AS373" s="453">
        <v>0</v>
      </c>
      <c r="AT373" s="453">
        <v>0</v>
      </c>
      <c r="AU373" s="453">
        <v>0</v>
      </c>
      <c r="AV373" s="453">
        <v>0</v>
      </c>
      <c r="AW373" s="453">
        <v>0</v>
      </c>
      <c r="AX373" s="453">
        <v>0</v>
      </c>
      <c r="AY373" s="453">
        <v>0</v>
      </c>
      <c r="AZ373" s="453">
        <v>0</v>
      </c>
      <c r="BA373" s="453">
        <v>0</v>
      </c>
      <c r="BB373" s="453">
        <v>0</v>
      </c>
      <c r="BC373" s="453">
        <v>0</v>
      </c>
      <c r="BD373" s="453">
        <v>0</v>
      </c>
      <c r="BE373" s="105">
        <v>0</v>
      </c>
      <c r="BF373" s="453">
        <v>0</v>
      </c>
      <c r="BG373" s="453">
        <v>0</v>
      </c>
      <c r="BH373" s="105">
        <v>0</v>
      </c>
      <c r="BI373" s="453">
        <v>0</v>
      </c>
      <c r="BJ373" s="453">
        <v>0</v>
      </c>
      <c r="BK373" s="105">
        <v>0</v>
      </c>
      <c r="BL373" s="453">
        <v>0</v>
      </c>
      <c r="BM373" s="453">
        <v>0</v>
      </c>
      <c r="BN373" s="453">
        <v>0</v>
      </c>
      <c r="BO373" s="453">
        <v>0</v>
      </c>
      <c r="BP373" s="453">
        <v>0</v>
      </c>
      <c r="BQ373" s="453">
        <v>0</v>
      </c>
      <c r="BR373" s="14">
        <v>0</v>
      </c>
      <c r="BS373" s="14">
        <v>0</v>
      </c>
      <c r="BT373" s="377" t="str">
        <v/>
      </c>
      <c r="BU373" s="105" t="str">
        <v/>
      </c>
      <c r="BV373" s="453" t="str">
        <v/>
      </c>
      <c r="BW373" s="105" t="str">
        <f ca="1"/>
        <v/>
      </c>
    </row>
    <row r="374" spans="1:75" x14ac:dyDescent="0.3">
      <c r="A374" s="1">
        <v>0</v>
      </c>
      <c r="B374" s="106">
        <v>0</v>
      </c>
      <c r="C374" s="14">
        <v>0</v>
      </c>
      <c r="D374" s="14">
        <v>0</v>
      </c>
      <c r="E374" s="14">
        <v>0</v>
      </c>
      <c r="F374" s="453">
        <v>0</v>
      </c>
      <c r="G374" s="377">
        <v>0</v>
      </c>
      <c r="H374" s="453">
        <v>0</v>
      </c>
      <c r="I374" s="453">
        <v>0</v>
      </c>
      <c r="J374" s="453">
        <v>0</v>
      </c>
      <c r="K374" s="453">
        <v>0</v>
      </c>
      <c r="L374" s="453">
        <v>0</v>
      </c>
      <c r="M374" s="453">
        <v>0</v>
      </c>
      <c r="N374" s="453">
        <v>0</v>
      </c>
      <c r="O374" s="453">
        <v>0</v>
      </c>
      <c r="P374" s="14">
        <v>0</v>
      </c>
      <c r="Q374" s="14">
        <v>0</v>
      </c>
      <c r="R374" s="453">
        <v>0</v>
      </c>
      <c r="S374" s="453">
        <v>0</v>
      </c>
      <c r="T374" s="453">
        <v>0</v>
      </c>
      <c r="U374" s="453">
        <v>0</v>
      </c>
      <c r="V374" s="453">
        <v>0</v>
      </c>
      <c r="W374" s="453">
        <v>0</v>
      </c>
      <c r="X374" s="453">
        <v>0</v>
      </c>
      <c r="Y374" s="453">
        <v>0</v>
      </c>
      <c r="Z374" s="453">
        <v>0</v>
      </c>
      <c r="AA374" s="14">
        <v>0</v>
      </c>
      <c r="AB374" s="14">
        <v>0</v>
      </c>
      <c r="AC374" s="453">
        <v>0</v>
      </c>
      <c r="AD374" s="14">
        <v>0</v>
      </c>
      <c r="AE374" s="14">
        <v>0</v>
      </c>
      <c r="AF374" s="14">
        <v>0</v>
      </c>
      <c r="AG374" s="14">
        <v>0</v>
      </c>
      <c r="AH374" s="14">
        <v>0</v>
      </c>
      <c r="AI374" s="14">
        <v>0</v>
      </c>
      <c r="AJ374" s="14">
        <v>0</v>
      </c>
      <c r="AK374" s="14">
        <v>0</v>
      </c>
      <c r="AL374" s="14">
        <v>0</v>
      </c>
      <c r="AM374" s="453">
        <v>0</v>
      </c>
      <c r="AN374" s="453">
        <v>0</v>
      </c>
      <c r="AO374" s="453">
        <v>0</v>
      </c>
      <c r="AP374" s="453">
        <v>0</v>
      </c>
      <c r="AQ374" s="453">
        <v>0</v>
      </c>
      <c r="AR374" s="453">
        <v>0</v>
      </c>
      <c r="AS374" s="453">
        <v>0</v>
      </c>
      <c r="AT374" s="453">
        <v>0</v>
      </c>
      <c r="AU374" s="453">
        <v>0</v>
      </c>
      <c r="AV374" s="453">
        <v>0</v>
      </c>
      <c r="AW374" s="453">
        <v>0</v>
      </c>
      <c r="AX374" s="453">
        <v>0</v>
      </c>
      <c r="AY374" s="453">
        <v>0</v>
      </c>
      <c r="AZ374" s="453">
        <v>0</v>
      </c>
      <c r="BA374" s="453">
        <v>0</v>
      </c>
      <c r="BB374" s="453">
        <v>0</v>
      </c>
      <c r="BC374" s="453">
        <v>0</v>
      </c>
      <c r="BD374" s="453">
        <v>0</v>
      </c>
      <c r="BE374" s="105">
        <v>0</v>
      </c>
      <c r="BF374" s="453">
        <v>0</v>
      </c>
      <c r="BG374" s="453">
        <v>0</v>
      </c>
      <c r="BH374" s="105">
        <v>0</v>
      </c>
      <c r="BI374" s="453">
        <v>0</v>
      </c>
      <c r="BJ374" s="453">
        <v>0</v>
      </c>
      <c r="BK374" s="105">
        <v>0</v>
      </c>
      <c r="BL374" s="453">
        <v>0</v>
      </c>
      <c r="BM374" s="453">
        <v>0</v>
      </c>
      <c r="BN374" s="453">
        <v>0</v>
      </c>
      <c r="BO374" s="453">
        <v>0</v>
      </c>
      <c r="BP374" s="453">
        <v>0</v>
      </c>
      <c r="BQ374" s="453">
        <v>0</v>
      </c>
      <c r="BR374" s="14">
        <v>0</v>
      </c>
      <c r="BS374" s="14">
        <v>0</v>
      </c>
      <c r="BT374" s="377" t="str">
        <v/>
      </c>
      <c r="BU374" s="105" t="str">
        <v/>
      </c>
      <c r="BV374" s="453" t="str">
        <v/>
      </c>
      <c r="BW374" s="105" t="str">
        <f ca="1"/>
        <v/>
      </c>
    </row>
    <row r="375" spans="1:75" x14ac:dyDescent="0.3">
      <c r="A375" s="1">
        <v>0</v>
      </c>
      <c r="B375" s="106">
        <v>0</v>
      </c>
      <c r="C375" s="14">
        <v>0</v>
      </c>
      <c r="D375" s="14">
        <v>0</v>
      </c>
      <c r="E375" s="14">
        <v>0</v>
      </c>
      <c r="F375" s="453">
        <v>0</v>
      </c>
      <c r="G375" s="377">
        <v>0</v>
      </c>
      <c r="H375" s="453">
        <v>0</v>
      </c>
      <c r="I375" s="453">
        <v>0</v>
      </c>
      <c r="J375" s="453">
        <v>0</v>
      </c>
      <c r="K375" s="453">
        <v>0</v>
      </c>
      <c r="L375" s="453">
        <v>0</v>
      </c>
      <c r="M375" s="453">
        <v>0</v>
      </c>
      <c r="N375" s="453">
        <v>0</v>
      </c>
      <c r="O375" s="453">
        <v>0</v>
      </c>
      <c r="P375" s="14">
        <v>0</v>
      </c>
      <c r="Q375" s="14">
        <v>0</v>
      </c>
      <c r="R375" s="453">
        <v>0</v>
      </c>
      <c r="S375" s="453">
        <v>0</v>
      </c>
      <c r="T375" s="453">
        <v>0</v>
      </c>
      <c r="U375" s="453">
        <v>0</v>
      </c>
      <c r="V375" s="453">
        <v>0</v>
      </c>
      <c r="W375" s="453">
        <v>0</v>
      </c>
      <c r="X375" s="453">
        <v>0</v>
      </c>
      <c r="Y375" s="453">
        <v>0</v>
      </c>
      <c r="Z375" s="453">
        <v>0</v>
      </c>
      <c r="AA375" s="14">
        <v>0</v>
      </c>
      <c r="AB375" s="14">
        <v>0</v>
      </c>
      <c r="AC375" s="453">
        <v>0</v>
      </c>
      <c r="AD375" s="14">
        <v>0</v>
      </c>
      <c r="AE375" s="14">
        <v>0</v>
      </c>
      <c r="AF375" s="14">
        <v>0</v>
      </c>
      <c r="AG375" s="14">
        <v>0</v>
      </c>
      <c r="AH375" s="14">
        <v>0</v>
      </c>
      <c r="AI375" s="14">
        <v>0</v>
      </c>
      <c r="AJ375" s="14">
        <v>0</v>
      </c>
      <c r="AK375" s="14">
        <v>0</v>
      </c>
      <c r="AL375" s="14">
        <v>0</v>
      </c>
      <c r="AM375" s="453">
        <v>0</v>
      </c>
      <c r="AN375" s="453">
        <v>0</v>
      </c>
      <c r="AO375" s="453">
        <v>0</v>
      </c>
      <c r="AP375" s="453">
        <v>0</v>
      </c>
      <c r="AQ375" s="453">
        <v>0</v>
      </c>
      <c r="AR375" s="453">
        <v>0</v>
      </c>
      <c r="AS375" s="453">
        <v>0</v>
      </c>
      <c r="AT375" s="453">
        <v>0</v>
      </c>
      <c r="AU375" s="453">
        <v>0</v>
      </c>
      <c r="AV375" s="453">
        <v>0</v>
      </c>
      <c r="AW375" s="453">
        <v>0</v>
      </c>
      <c r="AX375" s="453">
        <v>0</v>
      </c>
      <c r="AY375" s="453">
        <v>0</v>
      </c>
      <c r="AZ375" s="453">
        <v>0</v>
      </c>
      <c r="BA375" s="453">
        <v>0</v>
      </c>
      <c r="BB375" s="453">
        <v>0</v>
      </c>
      <c r="BC375" s="453">
        <v>0</v>
      </c>
      <c r="BD375" s="453">
        <v>0</v>
      </c>
      <c r="BE375" s="105">
        <v>0</v>
      </c>
      <c r="BF375" s="453">
        <v>0</v>
      </c>
      <c r="BG375" s="453">
        <v>0</v>
      </c>
      <c r="BH375" s="105">
        <v>0</v>
      </c>
      <c r="BI375" s="453">
        <v>0</v>
      </c>
      <c r="BJ375" s="453">
        <v>0</v>
      </c>
      <c r="BK375" s="105">
        <v>0</v>
      </c>
      <c r="BL375" s="453">
        <v>0</v>
      </c>
      <c r="BM375" s="453">
        <v>0</v>
      </c>
      <c r="BN375" s="453">
        <v>0</v>
      </c>
      <c r="BO375" s="453">
        <v>0</v>
      </c>
      <c r="BP375" s="453">
        <v>0</v>
      </c>
      <c r="BQ375" s="453">
        <v>0</v>
      </c>
      <c r="BR375" s="14">
        <v>0</v>
      </c>
      <c r="BS375" s="14">
        <v>0</v>
      </c>
      <c r="BT375" s="377" t="str">
        <v/>
      </c>
      <c r="BU375" s="105" t="str">
        <v/>
      </c>
      <c r="BV375" s="453" t="str">
        <v/>
      </c>
      <c r="BW375" s="105" t="str">
        <f ca="1"/>
        <v/>
      </c>
    </row>
    <row r="376" spans="1:75" x14ac:dyDescent="0.3">
      <c r="A376" s="1">
        <v>0</v>
      </c>
      <c r="B376" s="106">
        <v>0</v>
      </c>
      <c r="C376" s="14">
        <v>0</v>
      </c>
      <c r="D376" s="14">
        <v>0</v>
      </c>
      <c r="E376" s="14">
        <v>0</v>
      </c>
      <c r="F376" s="453">
        <v>0</v>
      </c>
      <c r="G376" s="377">
        <v>0</v>
      </c>
      <c r="H376" s="453">
        <v>0</v>
      </c>
      <c r="I376" s="453">
        <v>0</v>
      </c>
      <c r="J376" s="453">
        <v>0</v>
      </c>
      <c r="K376" s="453">
        <v>0</v>
      </c>
      <c r="L376" s="453">
        <v>0</v>
      </c>
      <c r="M376" s="453">
        <v>0</v>
      </c>
      <c r="N376" s="453">
        <v>0</v>
      </c>
      <c r="O376" s="453">
        <v>0</v>
      </c>
      <c r="P376" s="14">
        <v>0</v>
      </c>
      <c r="Q376" s="14">
        <v>0</v>
      </c>
      <c r="R376" s="453">
        <v>0</v>
      </c>
      <c r="S376" s="453">
        <v>0</v>
      </c>
      <c r="T376" s="453">
        <v>0</v>
      </c>
      <c r="U376" s="453">
        <v>0</v>
      </c>
      <c r="V376" s="453">
        <v>0</v>
      </c>
      <c r="W376" s="453">
        <v>0</v>
      </c>
      <c r="X376" s="453">
        <v>0</v>
      </c>
      <c r="Y376" s="453">
        <v>0</v>
      </c>
      <c r="Z376" s="453">
        <v>0</v>
      </c>
      <c r="AA376" s="14">
        <v>0</v>
      </c>
      <c r="AB376" s="14">
        <v>0</v>
      </c>
      <c r="AC376" s="453">
        <v>0</v>
      </c>
      <c r="AD376" s="14">
        <v>0</v>
      </c>
      <c r="AE376" s="14">
        <v>0</v>
      </c>
      <c r="AF376" s="14">
        <v>0</v>
      </c>
      <c r="AG376" s="14">
        <v>0</v>
      </c>
      <c r="AH376" s="14">
        <v>0</v>
      </c>
      <c r="AI376" s="14">
        <v>0</v>
      </c>
      <c r="AJ376" s="14">
        <v>0</v>
      </c>
      <c r="AK376" s="14">
        <v>0</v>
      </c>
      <c r="AL376" s="14">
        <v>0</v>
      </c>
      <c r="AM376" s="453">
        <v>0</v>
      </c>
      <c r="AN376" s="453">
        <v>0</v>
      </c>
      <c r="AO376" s="453">
        <v>0</v>
      </c>
      <c r="AP376" s="453">
        <v>0</v>
      </c>
      <c r="AQ376" s="453">
        <v>0</v>
      </c>
      <c r="AR376" s="453">
        <v>0</v>
      </c>
      <c r="AS376" s="453">
        <v>0</v>
      </c>
      <c r="AT376" s="453">
        <v>0</v>
      </c>
      <c r="AU376" s="453">
        <v>0</v>
      </c>
      <c r="AV376" s="453">
        <v>0</v>
      </c>
      <c r="AW376" s="453">
        <v>0</v>
      </c>
      <c r="AX376" s="453">
        <v>0</v>
      </c>
      <c r="AY376" s="453">
        <v>0</v>
      </c>
      <c r="AZ376" s="453">
        <v>0</v>
      </c>
      <c r="BA376" s="453">
        <v>0</v>
      </c>
      <c r="BB376" s="453">
        <v>0</v>
      </c>
      <c r="BC376" s="453">
        <v>0</v>
      </c>
      <c r="BD376" s="453">
        <v>0</v>
      </c>
      <c r="BE376" s="105">
        <v>0</v>
      </c>
      <c r="BF376" s="453">
        <v>0</v>
      </c>
      <c r="BG376" s="453">
        <v>0</v>
      </c>
      <c r="BH376" s="105">
        <v>0</v>
      </c>
      <c r="BI376" s="453">
        <v>0</v>
      </c>
      <c r="BJ376" s="453">
        <v>0</v>
      </c>
      <c r="BK376" s="105">
        <v>0</v>
      </c>
      <c r="BL376" s="453">
        <v>0</v>
      </c>
      <c r="BM376" s="453">
        <v>0</v>
      </c>
      <c r="BN376" s="453">
        <v>0</v>
      </c>
      <c r="BO376" s="453">
        <v>0</v>
      </c>
      <c r="BP376" s="453">
        <v>0</v>
      </c>
      <c r="BQ376" s="453">
        <v>0</v>
      </c>
      <c r="BR376" s="14">
        <v>0</v>
      </c>
      <c r="BS376" s="14">
        <v>0</v>
      </c>
      <c r="BT376" s="377" t="str">
        <v/>
      </c>
      <c r="BU376" s="105" t="str">
        <v/>
      </c>
      <c r="BV376" s="453" t="str">
        <v/>
      </c>
      <c r="BW376" s="105" t="str">
        <f ca="1"/>
        <v/>
      </c>
    </row>
    <row r="377" spans="1:75" x14ac:dyDescent="0.3">
      <c r="A377" s="1">
        <v>0</v>
      </c>
      <c r="B377" s="106">
        <v>0</v>
      </c>
      <c r="C377" s="14">
        <v>0</v>
      </c>
      <c r="D377" s="14">
        <v>0</v>
      </c>
      <c r="E377" s="14">
        <v>0</v>
      </c>
      <c r="F377" s="453">
        <v>0</v>
      </c>
      <c r="G377" s="377">
        <v>0</v>
      </c>
      <c r="H377" s="453">
        <v>0</v>
      </c>
      <c r="I377" s="453">
        <v>0</v>
      </c>
      <c r="J377" s="453">
        <v>0</v>
      </c>
      <c r="K377" s="453">
        <v>0</v>
      </c>
      <c r="L377" s="453">
        <v>0</v>
      </c>
      <c r="M377" s="453">
        <v>0</v>
      </c>
      <c r="N377" s="453">
        <v>0</v>
      </c>
      <c r="O377" s="453">
        <v>0</v>
      </c>
      <c r="P377" s="14">
        <v>0</v>
      </c>
      <c r="Q377" s="14">
        <v>0</v>
      </c>
      <c r="R377" s="453">
        <v>0</v>
      </c>
      <c r="S377" s="453">
        <v>0</v>
      </c>
      <c r="T377" s="453">
        <v>0</v>
      </c>
      <c r="U377" s="453">
        <v>0</v>
      </c>
      <c r="V377" s="453">
        <v>0</v>
      </c>
      <c r="W377" s="453">
        <v>0</v>
      </c>
      <c r="X377" s="453">
        <v>0</v>
      </c>
      <c r="Y377" s="453">
        <v>0</v>
      </c>
      <c r="Z377" s="453">
        <v>0</v>
      </c>
      <c r="AA377" s="14">
        <v>0</v>
      </c>
      <c r="AB377" s="14">
        <v>0</v>
      </c>
      <c r="AC377" s="453">
        <v>0</v>
      </c>
      <c r="AD377" s="14">
        <v>0</v>
      </c>
      <c r="AE377" s="14">
        <v>0</v>
      </c>
      <c r="AF377" s="14">
        <v>0</v>
      </c>
      <c r="AG377" s="14">
        <v>0</v>
      </c>
      <c r="AH377" s="14">
        <v>0</v>
      </c>
      <c r="AI377" s="14">
        <v>0</v>
      </c>
      <c r="AJ377" s="14">
        <v>0</v>
      </c>
      <c r="AK377" s="14">
        <v>0</v>
      </c>
      <c r="AL377" s="14">
        <v>0</v>
      </c>
      <c r="AM377" s="453">
        <v>0</v>
      </c>
      <c r="AN377" s="453">
        <v>0</v>
      </c>
      <c r="AO377" s="453">
        <v>0</v>
      </c>
      <c r="AP377" s="453">
        <v>0</v>
      </c>
      <c r="AQ377" s="453">
        <v>0</v>
      </c>
      <c r="AR377" s="453">
        <v>0</v>
      </c>
      <c r="AS377" s="453">
        <v>0</v>
      </c>
      <c r="AT377" s="453">
        <v>0</v>
      </c>
      <c r="AU377" s="453">
        <v>0</v>
      </c>
      <c r="AV377" s="453">
        <v>0</v>
      </c>
      <c r="AW377" s="453">
        <v>0</v>
      </c>
      <c r="AX377" s="453">
        <v>0</v>
      </c>
      <c r="AY377" s="453">
        <v>0</v>
      </c>
      <c r="AZ377" s="453">
        <v>0</v>
      </c>
      <c r="BA377" s="453">
        <v>0</v>
      </c>
      <c r="BB377" s="453">
        <v>0</v>
      </c>
      <c r="BC377" s="453">
        <v>0</v>
      </c>
      <c r="BD377" s="453">
        <v>0</v>
      </c>
      <c r="BE377" s="105">
        <v>0</v>
      </c>
      <c r="BF377" s="453">
        <v>0</v>
      </c>
      <c r="BG377" s="453">
        <v>0</v>
      </c>
      <c r="BH377" s="105">
        <v>0</v>
      </c>
      <c r="BI377" s="453">
        <v>0</v>
      </c>
      <c r="BJ377" s="453">
        <v>0</v>
      </c>
      <c r="BK377" s="105">
        <v>0</v>
      </c>
      <c r="BL377" s="453">
        <v>0</v>
      </c>
      <c r="BM377" s="453">
        <v>0</v>
      </c>
      <c r="BN377" s="453">
        <v>0</v>
      </c>
      <c r="BO377" s="453">
        <v>0</v>
      </c>
      <c r="BP377" s="453">
        <v>0</v>
      </c>
      <c r="BQ377" s="453">
        <v>0</v>
      </c>
      <c r="BR377" s="14">
        <v>0</v>
      </c>
      <c r="BS377" s="14">
        <v>0</v>
      </c>
      <c r="BT377" s="377" t="str">
        <v/>
      </c>
      <c r="BU377" s="105" t="str">
        <v/>
      </c>
      <c r="BV377" s="453" t="str">
        <v/>
      </c>
      <c r="BW377" s="105" t="str">
        <f ca="1"/>
        <v/>
      </c>
    </row>
    <row r="378" spans="1:75" x14ac:dyDescent="0.3">
      <c r="A378" s="1">
        <v>0</v>
      </c>
      <c r="B378" s="106">
        <v>0</v>
      </c>
      <c r="C378" s="14">
        <v>0</v>
      </c>
      <c r="D378" s="14">
        <v>0</v>
      </c>
      <c r="E378" s="14">
        <v>0</v>
      </c>
      <c r="F378" s="453">
        <v>0</v>
      </c>
      <c r="G378" s="377">
        <v>0</v>
      </c>
      <c r="H378" s="453">
        <v>0</v>
      </c>
      <c r="I378" s="453">
        <v>0</v>
      </c>
      <c r="J378" s="453">
        <v>0</v>
      </c>
      <c r="K378" s="453">
        <v>0</v>
      </c>
      <c r="L378" s="453">
        <v>0</v>
      </c>
      <c r="M378" s="453">
        <v>0</v>
      </c>
      <c r="N378" s="453">
        <v>0</v>
      </c>
      <c r="O378" s="453">
        <v>0</v>
      </c>
      <c r="P378" s="14">
        <v>0</v>
      </c>
      <c r="Q378" s="14">
        <v>0</v>
      </c>
      <c r="R378" s="453">
        <v>0</v>
      </c>
      <c r="S378" s="453">
        <v>0</v>
      </c>
      <c r="T378" s="453">
        <v>0</v>
      </c>
      <c r="U378" s="453">
        <v>0</v>
      </c>
      <c r="V378" s="453">
        <v>0</v>
      </c>
      <c r="W378" s="453">
        <v>0</v>
      </c>
      <c r="X378" s="453">
        <v>0</v>
      </c>
      <c r="Y378" s="453">
        <v>0</v>
      </c>
      <c r="Z378" s="453">
        <v>0</v>
      </c>
      <c r="AA378" s="14">
        <v>0</v>
      </c>
      <c r="AB378" s="14">
        <v>0</v>
      </c>
      <c r="AC378" s="453">
        <v>0</v>
      </c>
      <c r="AD378" s="14">
        <v>0</v>
      </c>
      <c r="AE378" s="14">
        <v>0</v>
      </c>
      <c r="AF378" s="14">
        <v>0</v>
      </c>
      <c r="AG378" s="14">
        <v>0</v>
      </c>
      <c r="AH378" s="14">
        <v>0</v>
      </c>
      <c r="AI378" s="14">
        <v>0</v>
      </c>
      <c r="AJ378" s="14">
        <v>0</v>
      </c>
      <c r="AK378" s="14">
        <v>0</v>
      </c>
      <c r="AL378" s="14">
        <v>0</v>
      </c>
      <c r="AM378" s="453">
        <v>0</v>
      </c>
      <c r="AN378" s="453">
        <v>0</v>
      </c>
      <c r="AO378" s="453">
        <v>0</v>
      </c>
      <c r="AP378" s="453">
        <v>0</v>
      </c>
      <c r="AQ378" s="453">
        <v>0</v>
      </c>
      <c r="AR378" s="453">
        <v>0</v>
      </c>
      <c r="AS378" s="453">
        <v>0</v>
      </c>
      <c r="AT378" s="453">
        <v>0</v>
      </c>
      <c r="AU378" s="453">
        <v>0</v>
      </c>
      <c r="AV378" s="453">
        <v>0</v>
      </c>
      <c r="AW378" s="453">
        <v>0</v>
      </c>
      <c r="AX378" s="453">
        <v>0</v>
      </c>
      <c r="AY378" s="453">
        <v>0</v>
      </c>
      <c r="AZ378" s="453">
        <v>0</v>
      </c>
      <c r="BA378" s="453">
        <v>0</v>
      </c>
      <c r="BB378" s="453">
        <v>0</v>
      </c>
      <c r="BC378" s="453">
        <v>0</v>
      </c>
      <c r="BD378" s="453">
        <v>0</v>
      </c>
      <c r="BE378" s="105">
        <v>0</v>
      </c>
      <c r="BF378" s="453">
        <v>0</v>
      </c>
      <c r="BG378" s="453">
        <v>0</v>
      </c>
      <c r="BH378" s="105">
        <v>0</v>
      </c>
      <c r="BI378" s="453">
        <v>0</v>
      </c>
      <c r="BJ378" s="453">
        <v>0</v>
      </c>
      <c r="BK378" s="105">
        <v>0</v>
      </c>
      <c r="BL378" s="453">
        <v>0</v>
      </c>
      <c r="BM378" s="453">
        <v>0</v>
      </c>
      <c r="BN378" s="453">
        <v>0</v>
      </c>
      <c r="BO378" s="453">
        <v>0</v>
      </c>
      <c r="BP378" s="453">
        <v>0</v>
      </c>
      <c r="BQ378" s="453">
        <v>0</v>
      </c>
      <c r="BR378" s="14">
        <v>0</v>
      </c>
      <c r="BS378" s="14">
        <v>0</v>
      </c>
      <c r="BT378" s="377" t="str">
        <v/>
      </c>
      <c r="BU378" s="105" t="str">
        <v/>
      </c>
      <c r="BV378" s="453" t="str">
        <v/>
      </c>
      <c r="BW378" s="105" t="str">
        <f ca="1"/>
        <v/>
      </c>
    </row>
    <row r="379" spans="1:75" x14ac:dyDescent="0.3">
      <c r="A379" s="1">
        <v>0</v>
      </c>
      <c r="B379" s="106">
        <v>0</v>
      </c>
      <c r="C379" s="14">
        <v>0</v>
      </c>
      <c r="D379" s="14">
        <v>0</v>
      </c>
      <c r="E379" s="14">
        <v>0</v>
      </c>
      <c r="F379" s="453">
        <v>0</v>
      </c>
      <c r="G379" s="377">
        <v>0</v>
      </c>
      <c r="H379" s="453">
        <v>0</v>
      </c>
      <c r="I379" s="453">
        <v>0</v>
      </c>
      <c r="J379" s="453">
        <v>0</v>
      </c>
      <c r="K379" s="453">
        <v>0</v>
      </c>
      <c r="L379" s="453">
        <v>0</v>
      </c>
      <c r="M379" s="453">
        <v>0</v>
      </c>
      <c r="N379" s="453">
        <v>0</v>
      </c>
      <c r="O379" s="453">
        <v>0</v>
      </c>
      <c r="P379" s="14">
        <v>0</v>
      </c>
      <c r="Q379" s="14">
        <v>0</v>
      </c>
      <c r="R379" s="453">
        <v>0</v>
      </c>
      <c r="S379" s="453">
        <v>0</v>
      </c>
      <c r="T379" s="453">
        <v>0</v>
      </c>
      <c r="U379" s="453">
        <v>0</v>
      </c>
      <c r="V379" s="453">
        <v>0</v>
      </c>
      <c r="W379" s="453">
        <v>0</v>
      </c>
      <c r="X379" s="453">
        <v>0</v>
      </c>
      <c r="Y379" s="453">
        <v>0</v>
      </c>
      <c r="Z379" s="453">
        <v>0</v>
      </c>
      <c r="AA379" s="14">
        <v>0</v>
      </c>
      <c r="AB379" s="14">
        <v>0</v>
      </c>
      <c r="AC379" s="453">
        <v>0</v>
      </c>
      <c r="AD379" s="14">
        <v>0</v>
      </c>
      <c r="AE379" s="14">
        <v>0</v>
      </c>
      <c r="AF379" s="14">
        <v>0</v>
      </c>
      <c r="AG379" s="14">
        <v>0</v>
      </c>
      <c r="AH379" s="14">
        <v>0</v>
      </c>
      <c r="AI379" s="14">
        <v>0</v>
      </c>
      <c r="AJ379" s="14">
        <v>0</v>
      </c>
      <c r="AK379" s="14">
        <v>0</v>
      </c>
      <c r="AL379" s="14">
        <v>0</v>
      </c>
      <c r="AM379" s="453">
        <v>0</v>
      </c>
      <c r="AN379" s="453">
        <v>0</v>
      </c>
      <c r="AO379" s="453">
        <v>0</v>
      </c>
      <c r="AP379" s="453">
        <v>0</v>
      </c>
      <c r="AQ379" s="453">
        <v>0</v>
      </c>
      <c r="AR379" s="453">
        <v>0</v>
      </c>
      <c r="AS379" s="453">
        <v>0</v>
      </c>
      <c r="AT379" s="453">
        <v>0</v>
      </c>
      <c r="AU379" s="453">
        <v>0</v>
      </c>
      <c r="AV379" s="453">
        <v>0</v>
      </c>
      <c r="AW379" s="453">
        <v>0</v>
      </c>
      <c r="AX379" s="453">
        <v>0</v>
      </c>
      <c r="AY379" s="453">
        <v>0</v>
      </c>
      <c r="AZ379" s="453">
        <v>0</v>
      </c>
      <c r="BA379" s="453">
        <v>0</v>
      </c>
      <c r="BB379" s="453">
        <v>0</v>
      </c>
      <c r="BC379" s="453">
        <v>0</v>
      </c>
      <c r="BD379" s="453">
        <v>0</v>
      </c>
      <c r="BE379" s="105">
        <v>0</v>
      </c>
      <c r="BF379" s="453">
        <v>0</v>
      </c>
      <c r="BG379" s="453">
        <v>0</v>
      </c>
      <c r="BH379" s="105">
        <v>0</v>
      </c>
      <c r="BI379" s="453">
        <v>0</v>
      </c>
      <c r="BJ379" s="453">
        <v>0</v>
      </c>
      <c r="BK379" s="105">
        <v>0</v>
      </c>
      <c r="BL379" s="453">
        <v>0</v>
      </c>
      <c r="BM379" s="453">
        <v>0</v>
      </c>
      <c r="BN379" s="453">
        <v>0</v>
      </c>
      <c r="BO379" s="453">
        <v>0</v>
      </c>
      <c r="BP379" s="453">
        <v>0</v>
      </c>
      <c r="BQ379" s="453">
        <v>0</v>
      </c>
      <c r="BR379" s="14">
        <v>0</v>
      </c>
      <c r="BS379" s="14">
        <v>0</v>
      </c>
      <c r="BT379" s="377" t="str">
        <v/>
      </c>
      <c r="BU379" s="105" t="str">
        <v/>
      </c>
      <c r="BV379" s="453" t="str">
        <v/>
      </c>
      <c r="BW379" s="105" t="str">
        <f ca="1"/>
        <v/>
      </c>
    </row>
    <row r="380" spans="1:75" x14ac:dyDescent="0.3">
      <c r="A380" s="1">
        <v>0</v>
      </c>
      <c r="B380" s="106">
        <v>0</v>
      </c>
      <c r="C380" s="14">
        <v>0</v>
      </c>
      <c r="D380" s="14">
        <v>0</v>
      </c>
      <c r="E380" s="14">
        <v>0</v>
      </c>
      <c r="F380" s="453">
        <v>0</v>
      </c>
      <c r="G380" s="377">
        <v>0</v>
      </c>
      <c r="H380" s="453">
        <v>0</v>
      </c>
      <c r="I380" s="453">
        <v>0</v>
      </c>
      <c r="J380" s="453">
        <v>0</v>
      </c>
      <c r="K380" s="453">
        <v>0</v>
      </c>
      <c r="L380" s="453">
        <v>0</v>
      </c>
      <c r="M380" s="453">
        <v>0</v>
      </c>
      <c r="N380" s="453">
        <v>0</v>
      </c>
      <c r="O380" s="453">
        <v>0</v>
      </c>
      <c r="P380" s="14">
        <v>0</v>
      </c>
      <c r="Q380" s="14">
        <v>0</v>
      </c>
      <c r="R380" s="453">
        <v>0</v>
      </c>
      <c r="S380" s="453">
        <v>0</v>
      </c>
      <c r="T380" s="453">
        <v>0</v>
      </c>
      <c r="U380" s="453">
        <v>0</v>
      </c>
      <c r="V380" s="453">
        <v>0</v>
      </c>
      <c r="W380" s="453">
        <v>0</v>
      </c>
      <c r="X380" s="453">
        <v>0</v>
      </c>
      <c r="Y380" s="453">
        <v>0</v>
      </c>
      <c r="Z380" s="453">
        <v>0</v>
      </c>
      <c r="AA380" s="14">
        <v>0</v>
      </c>
      <c r="AB380" s="14">
        <v>0</v>
      </c>
      <c r="AC380" s="453">
        <v>0</v>
      </c>
      <c r="AD380" s="14">
        <v>0</v>
      </c>
      <c r="AE380" s="14">
        <v>0</v>
      </c>
      <c r="AF380" s="14">
        <v>0</v>
      </c>
      <c r="AG380" s="14">
        <v>0</v>
      </c>
      <c r="AH380" s="14">
        <v>0</v>
      </c>
      <c r="AI380" s="14">
        <v>0</v>
      </c>
      <c r="AJ380" s="14">
        <v>0</v>
      </c>
      <c r="AK380" s="14">
        <v>0</v>
      </c>
      <c r="AL380" s="14">
        <v>0</v>
      </c>
      <c r="AM380" s="453">
        <v>0</v>
      </c>
      <c r="AN380" s="453">
        <v>0</v>
      </c>
      <c r="AO380" s="453">
        <v>0</v>
      </c>
      <c r="AP380" s="453">
        <v>0</v>
      </c>
      <c r="AQ380" s="453">
        <v>0</v>
      </c>
      <c r="AR380" s="453">
        <v>0</v>
      </c>
      <c r="AS380" s="453">
        <v>0</v>
      </c>
      <c r="AT380" s="453">
        <v>0</v>
      </c>
      <c r="AU380" s="453">
        <v>0</v>
      </c>
      <c r="AV380" s="453">
        <v>0</v>
      </c>
      <c r="AW380" s="453">
        <v>0</v>
      </c>
      <c r="AX380" s="453">
        <v>0</v>
      </c>
      <c r="AY380" s="453">
        <v>0</v>
      </c>
      <c r="AZ380" s="453">
        <v>0</v>
      </c>
      <c r="BA380" s="453">
        <v>0</v>
      </c>
      <c r="BB380" s="453">
        <v>0</v>
      </c>
      <c r="BC380" s="453">
        <v>0</v>
      </c>
      <c r="BD380" s="453">
        <v>0</v>
      </c>
      <c r="BE380" s="105">
        <v>0</v>
      </c>
      <c r="BF380" s="453">
        <v>0</v>
      </c>
      <c r="BG380" s="453">
        <v>0</v>
      </c>
      <c r="BH380" s="105">
        <v>0</v>
      </c>
      <c r="BI380" s="453">
        <v>0</v>
      </c>
      <c r="BJ380" s="453">
        <v>0</v>
      </c>
      <c r="BK380" s="105">
        <v>0</v>
      </c>
      <c r="BL380" s="453">
        <v>0</v>
      </c>
      <c r="BM380" s="453">
        <v>0</v>
      </c>
      <c r="BN380" s="453">
        <v>0</v>
      </c>
      <c r="BO380" s="453">
        <v>0</v>
      </c>
      <c r="BP380" s="453">
        <v>0</v>
      </c>
      <c r="BQ380" s="453">
        <v>0</v>
      </c>
      <c r="BR380" s="14">
        <v>0</v>
      </c>
      <c r="BS380" s="14">
        <v>0</v>
      </c>
      <c r="BT380" s="377" t="str">
        <v/>
      </c>
      <c r="BU380" s="105" t="str">
        <v/>
      </c>
      <c r="BV380" s="453" t="str">
        <v/>
      </c>
      <c r="BW380" s="105" t="str">
        <f ca="1"/>
        <v/>
      </c>
    </row>
    <row r="381" spans="1:75" x14ac:dyDescent="0.3">
      <c r="A381" s="1">
        <v>0</v>
      </c>
      <c r="B381" s="106">
        <v>0</v>
      </c>
      <c r="C381" s="14">
        <v>0</v>
      </c>
      <c r="D381" s="14">
        <v>0</v>
      </c>
      <c r="E381" s="14">
        <v>0</v>
      </c>
      <c r="F381" s="453">
        <v>0</v>
      </c>
      <c r="G381" s="377">
        <v>0</v>
      </c>
      <c r="H381" s="453">
        <v>0</v>
      </c>
      <c r="I381" s="453">
        <v>0</v>
      </c>
      <c r="J381" s="453">
        <v>0</v>
      </c>
      <c r="K381" s="453">
        <v>0</v>
      </c>
      <c r="L381" s="453">
        <v>0</v>
      </c>
      <c r="M381" s="453">
        <v>0</v>
      </c>
      <c r="N381" s="453">
        <v>0</v>
      </c>
      <c r="O381" s="453">
        <v>0</v>
      </c>
      <c r="P381" s="14">
        <v>0</v>
      </c>
      <c r="Q381" s="14">
        <v>0</v>
      </c>
      <c r="R381" s="453">
        <v>0</v>
      </c>
      <c r="S381" s="453">
        <v>0</v>
      </c>
      <c r="T381" s="453">
        <v>0</v>
      </c>
      <c r="U381" s="453">
        <v>0</v>
      </c>
      <c r="V381" s="453">
        <v>0</v>
      </c>
      <c r="W381" s="453">
        <v>0</v>
      </c>
      <c r="X381" s="453">
        <v>0</v>
      </c>
      <c r="Y381" s="453">
        <v>0</v>
      </c>
      <c r="Z381" s="453">
        <v>0</v>
      </c>
      <c r="AA381" s="14">
        <v>0</v>
      </c>
      <c r="AB381" s="14">
        <v>0</v>
      </c>
      <c r="AC381" s="453">
        <v>0</v>
      </c>
      <c r="AD381" s="14">
        <v>0</v>
      </c>
      <c r="AE381" s="14">
        <v>0</v>
      </c>
      <c r="AF381" s="14">
        <v>0</v>
      </c>
      <c r="AG381" s="14">
        <v>0</v>
      </c>
      <c r="AH381" s="14">
        <v>0</v>
      </c>
      <c r="AI381" s="14">
        <v>0</v>
      </c>
      <c r="AJ381" s="14">
        <v>0</v>
      </c>
      <c r="AK381" s="14">
        <v>0</v>
      </c>
      <c r="AL381" s="14">
        <v>0</v>
      </c>
      <c r="AM381" s="453">
        <v>0</v>
      </c>
      <c r="AN381" s="453">
        <v>0</v>
      </c>
      <c r="AO381" s="453">
        <v>0</v>
      </c>
      <c r="AP381" s="453">
        <v>0</v>
      </c>
      <c r="AQ381" s="453">
        <v>0</v>
      </c>
      <c r="AR381" s="453">
        <v>0</v>
      </c>
      <c r="AS381" s="453">
        <v>0</v>
      </c>
      <c r="AT381" s="453">
        <v>0</v>
      </c>
      <c r="AU381" s="453">
        <v>0</v>
      </c>
      <c r="AV381" s="453">
        <v>0</v>
      </c>
      <c r="AW381" s="453">
        <v>0</v>
      </c>
      <c r="AX381" s="453">
        <v>0</v>
      </c>
      <c r="AY381" s="453">
        <v>0</v>
      </c>
      <c r="AZ381" s="453">
        <v>0</v>
      </c>
      <c r="BA381" s="453">
        <v>0</v>
      </c>
      <c r="BB381" s="453">
        <v>0</v>
      </c>
      <c r="BC381" s="453">
        <v>0</v>
      </c>
      <c r="BD381" s="453">
        <v>0</v>
      </c>
      <c r="BE381" s="105">
        <v>0</v>
      </c>
      <c r="BF381" s="453">
        <v>0</v>
      </c>
      <c r="BG381" s="453">
        <v>0</v>
      </c>
      <c r="BH381" s="105">
        <v>0</v>
      </c>
      <c r="BI381" s="453">
        <v>0</v>
      </c>
      <c r="BJ381" s="453">
        <v>0</v>
      </c>
      <c r="BK381" s="105">
        <v>0</v>
      </c>
      <c r="BL381" s="453">
        <v>0</v>
      </c>
      <c r="BM381" s="453">
        <v>0</v>
      </c>
      <c r="BN381" s="453">
        <v>0</v>
      </c>
      <c r="BO381" s="453">
        <v>0</v>
      </c>
      <c r="BP381" s="453">
        <v>0</v>
      </c>
      <c r="BQ381" s="453">
        <v>0</v>
      </c>
      <c r="BR381" s="14">
        <v>0</v>
      </c>
      <c r="BS381" s="14">
        <v>0</v>
      </c>
      <c r="BT381" s="377" t="str">
        <v/>
      </c>
      <c r="BU381" s="105" t="str">
        <v/>
      </c>
      <c r="BV381" s="453" t="str">
        <v/>
      </c>
      <c r="BW381" s="105" t="str">
        <f ca="1"/>
        <v/>
      </c>
    </row>
    <row r="382" spans="1:75" x14ac:dyDescent="0.3">
      <c r="A382" s="1">
        <v>0</v>
      </c>
      <c r="B382" s="106">
        <v>0</v>
      </c>
      <c r="C382" s="14">
        <v>0</v>
      </c>
      <c r="D382" s="14">
        <v>0</v>
      </c>
      <c r="E382" s="14">
        <v>0</v>
      </c>
      <c r="F382" s="453">
        <v>0</v>
      </c>
      <c r="G382" s="377">
        <v>0</v>
      </c>
      <c r="H382" s="453">
        <v>0</v>
      </c>
      <c r="I382" s="453">
        <v>0</v>
      </c>
      <c r="J382" s="453">
        <v>0</v>
      </c>
      <c r="K382" s="453">
        <v>0</v>
      </c>
      <c r="L382" s="453">
        <v>0</v>
      </c>
      <c r="M382" s="453">
        <v>0</v>
      </c>
      <c r="N382" s="453">
        <v>0</v>
      </c>
      <c r="O382" s="453">
        <v>0</v>
      </c>
      <c r="P382" s="14">
        <v>0</v>
      </c>
      <c r="Q382" s="14">
        <v>0</v>
      </c>
      <c r="R382" s="453">
        <v>0</v>
      </c>
      <c r="S382" s="453">
        <v>0</v>
      </c>
      <c r="T382" s="453">
        <v>0</v>
      </c>
      <c r="U382" s="453">
        <v>0</v>
      </c>
      <c r="V382" s="453">
        <v>0</v>
      </c>
      <c r="W382" s="453">
        <v>0</v>
      </c>
      <c r="X382" s="453">
        <v>0</v>
      </c>
      <c r="Y382" s="453">
        <v>0</v>
      </c>
      <c r="Z382" s="453">
        <v>0</v>
      </c>
      <c r="AA382" s="14">
        <v>0</v>
      </c>
      <c r="AB382" s="14">
        <v>0</v>
      </c>
      <c r="AC382" s="453">
        <v>0</v>
      </c>
      <c r="AD382" s="14">
        <v>0</v>
      </c>
      <c r="AE382" s="14">
        <v>0</v>
      </c>
      <c r="AF382" s="14">
        <v>0</v>
      </c>
      <c r="AG382" s="14">
        <v>0</v>
      </c>
      <c r="AH382" s="14">
        <v>0</v>
      </c>
      <c r="AI382" s="14">
        <v>0</v>
      </c>
      <c r="AJ382" s="14">
        <v>0</v>
      </c>
      <c r="AK382" s="14">
        <v>0</v>
      </c>
      <c r="AL382" s="14">
        <v>0</v>
      </c>
      <c r="AM382" s="453">
        <v>0</v>
      </c>
      <c r="AN382" s="453">
        <v>0</v>
      </c>
      <c r="AO382" s="453">
        <v>0</v>
      </c>
      <c r="AP382" s="453">
        <v>0</v>
      </c>
      <c r="AQ382" s="453">
        <v>0</v>
      </c>
      <c r="AR382" s="453">
        <v>0</v>
      </c>
      <c r="AS382" s="453">
        <v>0</v>
      </c>
      <c r="AT382" s="453">
        <v>0</v>
      </c>
      <c r="AU382" s="453">
        <v>0</v>
      </c>
      <c r="AV382" s="453">
        <v>0</v>
      </c>
      <c r="AW382" s="453">
        <v>0</v>
      </c>
      <c r="AX382" s="453">
        <v>0</v>
      </c>
      <c r="AY382" s="453">
        <v>0</v>
      </c>
      <c r="AZ382" s="453">
        <v>0</v>
      </c>
      <c r="BA382" s="453">
        <v>0</v>
      </c>
      <c r="BB382" s="453">
        <v>0</v>
      </c>
      <c r="BC382" s="453">
        <v>0</v>
      </c>
      <c r="BD382" s="453">
        <v>0</v>
      </c>
      <c r="BE382" s="105">
        <v>0</v>
      </c>
      <c r="BF382" s="453">
        <v>0</v>
      </c>
      <c r="BG382" s="453">
        <v>0</v>
      </c>
      <c r="BH382" s="105">
        <v>0</v>
      </c>
      <c r="BI382" s="453">
        <v>0</v>
      </c>
      <c r="BJ382" s="453">
        <v>0</v>
      </c>
      <c r="BK382" s="105">
        <v>0</v>
      </c>
      <c r="BL382" s="453">
        <v>0</v>
      </c>
      <c r="BM382" s="453">
        <v>0</v>
      </c>
      <c r="BN382" s="453">
        <v>0</v>
      </c>
      <c r="BO382" s="453">
        <v>0</v>
      </c>
      <c r="BP382" s="453">
        <v>0</v>
      </c>
      <c r="BQ382" s="453">
        <v>0</v>
      </c>
      <c r="BR382" s="14">
        <v>0</v>
      </c>
      <c r="BS382" s="14">
        <v>0</v>
      </c>
      <c r="BT382" s="377" t="str">
        <v/>
      </c>
      <c r="BU382" s="105" t="str">
        <v/>
      </c>
      <c r="BV382" s="453" t="str">
        <v/>
      </c>
      <c r="BW382" s="105" t="str">
        <f ca="1"/>
        <v/>
      </c>
    </row>
    <row r="383" spans="1:75" x14ac:dyDescent="0.3">
      <c r="A383" s="1">
        <v>0</v>
      </c>
      <c r="B383" s="106">
        <v>0</v>
      </c>
      <c r="C383" s="14">
        <v>0</v>
      </c>
      <c r="D383" s="14">
        <v>0</v>
      </c>
      <c r="E383" s="14">
        <v>0</v>
      </c>
      <c r="F383" s="453">
        <v>0</v>
      </c>
      <c r="G383" s="377">
        <v>0</v>
      </c>
      <c r="H383" s="453">
        <v>0</v>
      </c>
      <c r="I383" s="453">
        <v>0</v>
      </c>
      <c r="J383" s="453">
        <v>0</v>
      </c>
      <c r="K383" s="453">
        <v>0</v>
      </c>
      <c r="L383" s="453">
        <v>0</v>
      </c>
      <c r="M383" s="453">
        <v>0</v>
      </c>
      <c r="N383" s="453">
        <v>0</v>
      </c>
      <c r="O383" s="453">
        <v>0</v>
      </c>
      <c r="P383" s="14">
        <v>0</v>
      </c>
      <c r="Q383" s="14">
        <v>0</v>
      </c>
      <c r="R383" s="453">
        <v>0</v>
      </c>
      <c r="S383" s="453">
        <v>0</v>
      </c>
      <c r="T383" s="453">
        <v>0</v>
      </c>
      <c r="U383" s="453">
        <v>0</v>
      </c>
      <c r="V383" s="453">
        <v>0</v>
      </c>
      <c r="W383" s="453">
        <v>0</v>
      </c>
      <c r="X383" s="453">
        <v>0</v>
      </c>
      <c r="Y383" s="453">
        <v>0</v>
      </c>
      <c r="Z383" s="453">
        <v>0</v>
      </c>
      <c r="AA383" s="14">
        <v>0</v>
      </c>
      <c r="AB383" s="14">
        <v>0</v>
      </c>
      <c r="AC383" s="453">
        <v>0</v>
      </c>
      <c r="AD383" s="14">
        <v>0</v>
      </c>
      <c r="AE383" s="14">
        <v>0</v>
      </c>
      <c r="AF383" s="14">
        <v>0</v>
      </c>
      <c r="AG383" s="14">
        <v>0</v>
      </c>
      <c r="AH383" s="14">
        <v>0</v>
      </c>
      <c r="AI383" s="14">
        <v>0</v>
      </c>
      <c r="AJ383" s="14">
        <v>0</v>
      </c>
      <c r="AK383" s="14">
        <v>0</v>
      </c>
      <c r="AL383" s="14">
        <v>0</v>
      </c>
      <c r="AM383" s="453">
        <v>0</v>
      </c>
      <c r="AN383" s="453">
        <v>0</v>
      </c>
      <c r="AO383" s="453">
        <v>0</v>
      </c>
      <c r="AP383" s="453">
        <v>0</v>
      </c>
      <c r="AQ383" s="453">
        <v>0</v>
      </c>
      <c r="AR383" s="453">
        <v>0</v>
      </c>
      <c r="AS383" s="453">
        <v>0</v>
      </c>
      <c r="AT383" s="453">
        <v>0</v>
      </c>
      <c r="AU383" s="453">
        <v>0</v>
      </c>
      <c r="AV383" s="453">
        <v>0</v>
      </c>
      <c r="AW383" s="453">
        <v>0</v>
      </c>
      <c r="AX383" s="453">
        <v>0</v>
      </c>
      <c r="AY383" s="453">
        <v>0</v>
      </c>
      <c r="AZ383" s="453">
        <v>0</v>
      </c>
      <c r="BA383" s="453">
        <v>0</v>
      </c>
      <c r="BB383" s="453">
        <v>0</v>
      </c>
      <c r="BC383" s="453">
        <v>0</v>
      </c>
      <c r="BD383" s="453">
        <v>0</v>
      </c>
      <c r="BE383" s="105">
        <v>0</v>
      </c>
      <c r="BF383" s="453">
        <v>0</v>
      </c>
      <c r="BG383" s="453">
        <v>0</v>
      </c>
      <c r="BH383" s="105">
        <v>0</v>
      </c>
      <c r="BI383" s="453">
        <v>0</v>
      </c>
      <c r="BJ383" s="453">
        <v>0</v>
      </c>
      <c r="BK383" s="105">
        <v>0</v>
      </c>
      <c r="BL383" s="453">
        <v>0</v>
      </c>
      <c r="BM383" s="453">
        <v>0</v>
      </c>
      <c r="BN383" s="453">
        <v>0</v>
      </c>
      <c r="BO383" s="453">
        <v>0</v>
      </c>
      <c r="BP383" s="453">
        <v>0</v>
      </c>
      <c r="BQ383" s="453">
        <v>0</v>
      </c>
      <c r="BR383" s="14">
        <v>0</v>
      </c>
      <c r="BS383" s="14">
        <v>0</v>
      </c>
      <c r="BT383" s="377" t="str">
        <v/>
      </c>
      <c r="BU383" s="105" t="str">
        <v/>
      </c>
      <c r="BV383" s="453" t="str">
        <v/>
      </c>
      <c r="BW383" s="105" t="str">
        <f ca="1"/>
        <v/>
      </c>
    </row>
    <row r="384" spans="1:75" x14ac:dyDescent="0.3">
      <c r="A384" s="1">
        <v>0</v>
      </c>
      <c r="B384" s="106">
        <v>0</v>
      </c>
      <c r="C384" s="14">
        <v>0</v>
      </c>
      <c r="D384" s="14">
        <v>0</v>
      </c>
      <c r="E384" s="14">
        <v>0</v>
      </c>
      <c r="F384" s="453">
        <v>0</v>
      </c>
      <c r="G384" s="377">
        <v>0</v>
      </c>
      <c r="H384" s="453">
        <v>0</v>
      </c>
      <c r="I384" s="453">
        <v>0</v>
      </c>
      <c r="J384" s="453">
        <v>0</v>
      </c>
      <c r="K384" s="453">
        <v>0</v>
      </c>
      <c r="L384" s="453">
        <v>0</v>
      </c>
      <c r="M384" s="453">
        <v>0</v>
      </c>
      <c r="N384" s="453">
        <v>0</v>
      </c>
      <c r="O384" s="453">
        <v>0</v>
      </c>
      <c r="P384" s="14">
        <v>0</v>
      </c>
      <c r="Q384" s="14">
        <v>0</v>
      </c>
      <c r="R384" s="453">
        <v>0</v>
      </c>
      <c r="S384" s="453">
        <v>0</v>
      </c>
      <c r="T384" s="453">
        <v>0</v>
      </c>
      <c r="U384" s="453">
        <v>0</v>
      </c>
      <c r="V384" s="453">
        <v>0</v>
      </c>
      <c r="W384" s="453">
        <v>0</v>
      </c>
      <c r="X384" s="453">
        <v>0</v>
      </c>
      <c r="Y384" s="453">
        <v>0</v>
      </c>
      <c r="Z384" s="453">
        <v>0</v>
      </c>
      <c r="AA384" s="14">
        <v>0</v>
      </c>
      <c r="AB384" s="14">
        <v>0</v>
      </c>
      <c r="AC384" s="453">
        <v>0</v>
      </c>
      <c r="AD384" s="14">
        <v>0</v>
      </c>
      <c r="AE384" s="14">
        <v>0</v>
      </c>
      <c r="AF384" s="14">
        <v>0</v>
      </c>
      <c r="AG384" s="14">
        <v>0</v>
      </c>
      <c r="AH384" s="14">
        <v>0</v>
      </c>
      <c r="AI384" s="14">
        <v>0</v>
      </c>
      <c r="AJ384" s="14">
        <v>0</v>
      </c>
      <c r="AK384" s="14">
        <v>0</v>
      </c>
      <c r="AL384" s="14">
        <v>0</v>
      </c>
      <c r="AM384" s="453">
        <v>0</v>
      </c>
      <c r="AN384" s="453">
        <v>0</v>
      </c>
      <c r="AO384" s="453">
        <v>0</v>
      </c>
      <c r="AP384" s="453">
        <v>0</v>
      </c>
      <c r="AQ384" s="453">
        <v>0</v>
      </c>
      <c r="AR384" s="453">
        <v>0</v>
      </c>
      <c r="AS384" s="453">
        <v>0</v>
      </c>
      <c r="AT384" s="453">
        <v>0</v>
      </c>
      <c r="AU384" s="453">
        <v>0</v>
      </c>
      <c r="AV384" s="453">
        <v>0</v>
      </c>
      <c r="AW384" s="453">
        <v>0</v>
      </c>
      <c r="AX384" s="453">
        <v>0</v>
      </c>
      <c r="AY384" s="453">
        <v>0</v>
      </c>
      <c r="AZ384" s="453">
        <v>0</v>
      </c>
      <c r="BA384" s="453">
        <v>0</v>
      </c>
      <c r="BB384" s="453">
        <v>0</v>
      </c>
      <c r="BC384" s="453">
        <v>0</v>
      </c>
      <c r="BD384" s="453">
        <v>0</v>
      </c>
      <c r="BE384" s="105">
        <v>0</v>
      </c>
      <c r="BF384" s="453">
        <v>0</v>
      </c>
      <c r="BG384" s="453">
        <v>0</v>
      </c>
      <c r="BH384" s="105">
        <v>0</v>
      </c>
      <c r="BI384" s="453">
        <v>0</v>
      </c>
      <c r="BJ384" s="453">
        <v>0</v>
      </c>
      <c r="BK384" s="105">
        <v>0</v>
      </c>
      <c r="BL384" s="453">
        <v>0</v>
      </c>
      <c r="BM384" s="453">
        <v>0</v>
      </c>
      <c r="BN384" s="453">
        <v>0</v>
      </c>
      <c r="BO384" s="453">
        <v>0</v>
      </c>
      <c r="BP384" s="453">
        <v>0</v>
      </c>
      <c r="BQ384" s="453">
        <v>0</v>
      </c>
      <c r="BR384" s="14">
        <v>0</v>
      </c>
      <c r="BS384" s="14">
        <v>0</v>
      </c>
      <c r="BT384" s="377" t="str">
        <v/>
      </c>
      <c r="BU384" s="105" t="str">
        <v/>
      </c>
      <c r="BV384" s="453" t="str">
        <v/>
      </c>
      <c r="BW384" s="105" t="str">
        <f ca="1"/>
        <v/>
      </c>
    </row>
    <row r="385" spans="1:75" x14ac:dyDescent="0.3">
      <c r="A385" s="1">
        <v>0</v>
      </c>
      <c r="B385" s="106">
        <v>0</v>
      </c>
      <c r="C385" s="14">
        <v>0</v>
      </c>
      <c r="D385" s="14">
        <v>0</v>
      </c>
      <c r="E385" s="14">
        <v>0</v>
      </c>
      <c r="F385" s="453">
        <v>0</v>
      </c>
      <c r="G385" s="377">
        <v>0</v>
      </c>
      <c r="H385" s="453">
        <v>0</v>
      </c>
      <c r="I385" s="453">
        <v>0</v>
      </c>
      <c r="J385" s="453">
        <v>0</v>
      </c>
      <c r="K385" s="453">
        <v>0</v>
      </c>
      <c r="L385" s="453">
        <v>0</v>
      </c>
      <c r="M385" s="453">
        <v>0</v>
      </c>
      <c r="N385" s="453">
        <v>0</v>
      </c>
      <c r="O385" s="453">
        <v>0</v>
      </c>
      <c r="P385" s="14">
        <v>0</v>
      </c>
      <c r="Q385" s="14">
        <v>0</v>
      </c>
      <c r="R385" s="453">
        <v>0</v>
      </c>
      <c r="S385" s="453">
        <v>0</v>
      </c>
      <c r="T385" s="453">
        <v>0</v>
      </c>
      <c r="U385" s="453">
        <v>0</v>
      </c>
      <c r="V385" s="453">
        <v>0</v>
      </c>
      <c r="W385" s="453">
        <v>0</v>
      </c>
      <c r="X385" s="453">
        <v>0</v>
      </c>
      <c r="Y385" s="453">
        <v>0</v>
      </c>
      <c r="Z385" s="453">
        <v>0</v>
      </c>
      <c r="AA385" s="14">
        <v>0</v>
      </c>
      <c r="AB385" s="14">
        <v>0</v>
      </c>
      <c r="AC385" s="453">
        <v>0</v>
      </c>
      <c r="AD385" s="14">
        <v>0</v>
      </c>
      <c r="AE385" s="14">
        <v>0</v>
      </c>
      <c r="AF385" s="14">
        <v>0</v>
      </c>
      <c r="AG385" s="14">
        <v>0</v>
      </c>
      <c r="AH385" s="14">
        <v>0</v>
      </c>
      <c r="AI385" s="14">
        <v>0</v>
      </c>
      <c r="AJ385" s="14">
        <v>0</v>
      </c>
      <c r="AK385" s="14">
        <v>0</v>
      </c>
      <c r="AL385" s="14">
        <v>0</v>
      </c>
      <c r="AM385" s="453">
        <v>0</v>
      </c>
      <c r="AN385" s="453">
        <v>0</v>
      </c>
      <c r="AO385" s="453">
        <v>0</v>
      </c>
      <c r="AP385" s="453">
        <v>0</v>
      </c>
      <c r="AQ385" s="453">
        <v>0</v>
      </c>
      <c r="AR385" s="453">
        <v>0</v>
      </c>
      <c r="AS385" s="453">
        <v>0</v>
      </c>
      <c r="AT385" s="453">
        <v>0</v>
      </c>
      <c r="AU385" s="453">
        <v>0</v>
      </c>
      <c r="AV385" s="453">
        <v>0</v>
      </c>
      <c r="AW385" s="453">
        <v>0</v>
      </c>
      <c r="AX385" s="453">
        <v>0</v>
      </c>
      <c r="AY385" s="453">
        <v>0</v>
      </c>
      <c r="AZ385" s="453">
        <v>0</v>
      </c>
      <c r="BA385" s="453">
        <v>0</v>
      </c>
      <c r="BB385" s="453">
        <v>0</v>
      </c>
      <c r="BC385" s="453">
        <v>0</v>
      </c>
      <c r="BD385" s="453">
        <v>0</v>
      </c>
      <c r="BE385" s="105">
        <v>0</v>
      </c>
      <c r="BF385" s="453">
        <v>0</v>
      </c>
      <c r="BG385" s="453">
        <v>0</v>
      </c>
      <c r="BH385" s="105">
        <v>0</v>
      </c>
      <c r="BI385" s="453">
        <v>0</v>
      </c>
      <c r="BJ385" s="453">
        <v>0</v>
      </c>
      <c r="BK385" s="105">
        <v>0</v>
      </c>
      <c r="BL385" s="453">
        <v>0</v>
      </c>
      <c r="BM385" s="453">
        <v>0</v>
      </c>
      <c r="BN385" s="453">
        <v>0</v>
      </c>
      <c r="BO385" s="453">
        <v>0</v>
      </c>
      <c r="BP385" s="453">
        <v>0</v>
      </c>
      <c r="BQ385" s="453">
        <v>0</v>
      </c>
      <c r="BR385" s="14">
        <v>0</v>
      </c>
      <c r="BS385" s="14">
        <v>0</v>
      </c>
      <c r="BT385" s="377" t="str">
        <v/>
      </c>
      <c r="BU385" s="105" t="str">
        <v/>
      </c>
      <c r="BV385" s="453" t="str">
        <v/>
      </c>
      <c r="BW385" s="105" t="str">
        <f ca="1"/>
        <v/>
      </c>
    </row>
    <row r="386" spans="1:75" x14ac:dyDescent="0.3">
      <c r="A386" s="1">
        <v>0</v>
      </c>
      <c r="B386" s="106">
        <v>0</v>
      </c>
      <c r="C386" s="14">
        <v>0</v>
      </c>
      <c r="D386" s="14">
        <v>0</v>
      </c>
      <c r="E386" s="14">
        <v>0</v>
      </c>
      <c r="F386" s="453">
        <v>0</v>
      </c>
      <c r="G386" s="377">
        <v>0</v>
      </c>
      <c r="H386" s="453">
        <v>0</v>
      </c>
      <c r="I386" s="453">
        <v>0</v>
      </c>
      <c r="J386" s="453">
        <v>0</v>
      </c>
      <c r="K386" s="453">
        <v>0</v>
      </c>
      <c r="L386" s="453">
        <v>0</v>
      </c>
      <c r="M386" s="453">
        <v>0</v>
      </c>
      <c r="N386" s="453">
        <v>0</v>
      </c>
      <c r="O386" s="453">
        <v>0</v>
      </c>
      <c r="P386" s="14">
        <v>0</v>
      </c>
      <c r="Q386" s="14">
        <v>0</v>
      </c>
      <c r="R386" s="453">
        <v>0</v>
      </c>
      <c r="S386" s="453">
        <v>0</v>
      </c>
      <c r="T386" s="453">
        <v>0</v>
      </c>
      <c r="U386" s="453">
        <v>0</v>
      </c>
      <c r="V386" s="453">
        <v>0</v>
      </c>
      <c r="W386" s="453">
        <v>0</v>
      </c>
      <c r="X386" s="453">
        <v>0</v>
      </c>
      <c r="Y386" s="453">
        <v>0</v>
      </c>
      <c r="Z386" s="453">
        <v>0</v>
      </c>
      <c r="AA386" s="14">
        <v>0</v>
      </c>
      <c r="AB386" s="14">
        <v>0</v>
      </c>
      <c r="AC386" s="453">
        <v>0</v>
      </c>
      <c r="AD386" s="14">
        <v>0</v>
      </c>
      <c r="AE386" s="14">
        <v>0</v>
      </c>
      <c r="AF386" s="14">
        <v>0</v>
      </c>
      <c r="AG386" s="14">
        <v>0</v>
      </c>
      <c r="AH386" s="14">
        <v>0</v>
      </c>
      <c r="AI386" s="14">
        <v>0</v>
      </c>
      <c r="AJ386" s="14">
        <v>0</v>
      </c>
      <c r="AK386" s="14">
        <v>0</v>
      </c>
      <c r="AL386" s="14">
        <v>0</v>
      </c>
      <c r="AM386" s="453">
        <v>0</v>
      </c>
      <c r="AN386" s="453">
        <v>0</v>
      </c>
      <c r="AO386" s="453">
        <v>0</v>
      </c>
      <c r="AP386" s="453">
        <v>0</v>
      </c>
      <c r="AQ386" s="453">
        <v>0</v>
      </c>
      <c r="AR386" s="453">
        <v>0</v>
      </c>
      <c r="AS386" s="453">
        <v>0</v>
      </c>
      <c r="AT386" s="453">
        <v>0</v>
      </c>
      <c r="AU386" s="453">
        <v>0</v>
      </c>
      <c r="AV386" s="453">
        <v>0</v>
      </c>
      <c r="AW386" s="453">
        <v>0</v>
      </c>
      <c r="AX386" s="453">
        <v>0</v>
      </c>
      <c r="AY386" s="453">
        <v>0</v>
      </c>
      <c r="AZ386" s="453">
        <v>0</v>
      </c>
      <c r="BA386" s="453">
        <v>0</v>
      </c>
      <c r="BB386" s="453">
        <v>0</v>
      </c>
      <c r="BC386" s="453">
        <v>0</v>
      </c>
      <c r="BD386" s="453">
        <v>0</v>
      </c>
      <c r="BE386" s="105">
        <v>0</v>
      </c>
      <c r="BF386" s="453">
        <v>0</v>
      </c>
      <c r="BG386" s="453">
        <v>0</v>
      </c>
      <c r="BH386" s="105">
        <v>0</v>
      </c>
      <c r="BI386" s="453">
        <v>0</v>
      </c>
      <c r="BJ386" s="453">
        <v>0</v>
      </c>
      <c r="BK386" s="105">
        <v>0</v>
      </c>
      <c r="BL386" s="453">
        <v>0</v>
      </c>
      <c r="BM386" s="453">
        <v>0</v>
      </c>
      <c r="BN386" s="453">
        <v>0</v>
      </c>
      <c r="BO386" s="453">
        <v>0</v>
      </c>
      <c r="BP386" s="453">
        <v>0</v>
      </c>
      <c r="BQ386" s="453">
        <v>0</v>
      </c>
      <c r="BR386" s="14">
        <v>0</v>
      </c>
      <c r="BS386" s="14">
        <v>0</v>
      </c>
      <c r="BT386" s="377" t="str">
        <v/>
      </c>
      <c r="BU386" s="105" t="str">
        <v/>
      </c>
      <c r="BV386" s="453" t="str">
        <v/>
      </c>
      <c r="BW386" s="105" t="str">
        <f ca="1"/>
        <v/>
      </c>
    </row>
    <row r="387" spans="1:75" x14ac:dyDescent="0.3">
      <c r="A387" s="1">
        <v>0</v>
      </c>
      <c r="B387" s="106">
        <v>0</v>
      </c>
      <c r="C387" s="14">
        <v>0</v>
      </c>
      <c r="D387" s="14">
        <v>0</v>
      </c>
      <c r="E387" s="14">
        <v>0</v>
      </c>
      <c r="F387" s="453">
        <v>0</v>
      </c>
      <c r="G387" s="377">
        <v>0</v>
      </c>
      <c r="H387" s="453">
        <v>0</v>
      </c>
      <c r="I387" s="453">
        <v>0</v>
      </c>
      <c r="J387" s="453">
        <v>0</v>
      </c>
      <c r="K387" s="453">
        <v>0</v>
      </c>
      <c r="L387" s="453">
        <v>0</v>
      </c>
      <c r="M387" s="453">
        <v>0</v>
      </c>
      <c r="N387" s="453">
        <v>0</v>
      </c>
      <c r="O387" s="453">
        <v>0</v>
      </c>
      <c r="P387" s="14">
        <v>0</v>
      </c>
      <c r="Q387" s="14">
        <v>0</v>
      </c>
      <c r="R387" s="453">
        <v>0</v>
      </c>
      <c r="S387" s="453">
        <v>0</v>
      </c>
      <c r="T387" s="453">
        <v>0</v>
      </c>
      <c r="U387" s="453">
        <v>0</v>
      </c>
      <c r="V387" s="453">
        <v>0</v>
      </c>
      <c r="W387" s="453">
        <v>0</v>
      </c>
      <c r="X387" s="453">
        <v>0</v>
      </c>
      <c r="Y387" s="453">
        <v>0</v>
      </c>
      <c r="Z387" s="453">
        <v>0</v>
      </c>
      <c r="AA387" s="14">
        <v>0</v>
      </c>
      <c r="AB387" s="14">
        <v>0</v>
      </c>
      <c r="AC387" s="453">
        <v>0</v>
      </c>
      <c r="AD387" s="14">
        <v>0</v>
      </c>
      <c r="AE387" s="14">
        <v>0</v>
      </c>
      <c r="AF387" s="14">
        <v>0</v>
      </c>
      <c r="AG387" s="14">
        <v>0</v>
      </c>
      <c r="AH387" s="14">
        <v>0</v>
      </c>
      <c r="AI387" s="14">
        <v>0</v>
      </c>
      <c r="AJ387" s="14">
        <v>0</v>
      </c>
      <c r="AK387" s="14">
        <v>0</v>
      </c>
      <c r="AL387" s="14">
        <v>0</v>
      </c>
      <c r="AM387" s="453">
        <v>0</v>
      </c>
      <c r="AN387" s="453">
        <v>0</v>
      </c>
      <c r="AO387" s="453">
        <v>0</v>
      </c>
      <c r="AP387" s="453">
        <v>0</v>
      </c>
      <c r="AQ387" s="453">
        <v>0</v>
      </c>
      <c r="AR387" s="453">
        <v>0</v>
      </c>
      <c r="AS387" s="453">
        <v>0</v>
      </c>
      <c r="AT387" s="453">
        <v>0</v>
      </c>
      <c r="AU387" s="453">
        <v>0</v>
      </c>
      <c r="AV387" s="453">
        <v>0</v>
      </c>
      <c r="AW387" s="453">
        <v>0</v>
      </c>
      <c r="AX387" s="453">
        <v>0</v>
      </c>
      <c r="AY387" s="453">
        <v>0</v>
      </c>
      <c r="AZ387" s="453">
        <v>0</v>
      </c>
      <c r="BA387" s="453">
        <v>0</v>
      </c>
      <c r="BB387" s="453">
        <v>0</v>
      </c>
      <c r="BC387" s="453">
        <v>0</v>
      </c>
      <c r="BD387" s="453">
        <v>0</v>
      </c>
      <c r="BE387" s="105">
        <v>0</v>
      </c>
      <c r="BF387" s="453">
        <v>0</v>
      </c>
      <c r="BG387" s="453">
        <v>0</v>
      </c>
      <c r="BH387" s="105">
        <v>0</v>
      </c>
      <c r="BI387" s="453">
        <v>0</v>
      </c>
      <c r="BJ387" s="453">
        <v>0</v>
      </c>
      <c r="BK387" s="105">
        <v>0</v>
      </c>
      <c r="BL387" s="453">
        <v>0</v>
      </c>
      <c r="BM387" s="453">
        <v>0</v>
      </c>
      <c r="BN387" s="453">
        <v>0</v>
      </c>
      <c r="BO387" s="453">
        <v>0</v>
      </c>
      <c r="BP387" s="453">
        <v>0</v>
      </c>
      <c r="BQ387" s="453">
        <v>0</v>
      </c>
      <c r="BR387" s="14">
        <v>0</v>
      </c>
      <c r="BS387" s="14">
        <v>0</v>
      </c>
      <c r="BT387" s="377" t="str">
        <v/>
      </c>
      <c r="BU387" s="105" t="str">
        <v/>
      </c>
      <c r="BV387" s="453" t="str">
        <v/>
      </c>
      <c r="BW387" s="105" t="str">
        <f ca="1"/>
        <v/>
      </c>
    </row>
    <row r="388" spans="1:75" x14ac:dyDescent="0.3">
      <c r="A388" s="1">
        <v>0</v>
      </c>
      <c r="B388" s="106">
        <v>0</v>
      </c>
      <c r="C388" s="14">
        <v>0</v>
      </c>
      <c r="D388" s="14">
        <v>0</v>
      </c>
      <c r="E388" s="14">
        <v>0</v>
      </c>
      <c r="F388" s="453">
        <v>0</v>
      </c>
      <c r="G388" s="377">
        <v>0</v>
      </c>
      <c r="H388" s="453">
        <v>0</v>
      </c>
      <c r="I388" s="453">
        <v>0</v>
      </c>
      <c r="J388" s="453">
        <v>0</v>
      </c>
      <c r="K388" s="453">
        <v>0</v>
      </c>
      <c r="L388" s="453">
        <v>0</v>
      </c>
      <c r="M388" s="453">
        <v>0</v>
      </c>
      <c r="N388" s="453">
        <v>0</v>
      </c>
      <c r="O388" s="453">
        <v>0</v>
      </c>
      <c r="P388" s="14">
        <v>0</v>
      </c>
      <c r="Q388" s="14">
        <v>0</v>
      </c>
      <c r="R388" s="453">
        <v>0</v>
      </c>
      <c r="S388" s="453">
        <v>0</v>
      </c>
      <c r="T388" s="453">
        <v>0</v>
      </c>
      <c r="U388" s="453">
        <v>0</v>
      </c>
      <c r="V388" s="453">
        <v>0</v>
      </c>
      <c r="W388" s="453">
        <v>0</v>
      </c>
      <c r="X388" s="453">
        <v>0</v>
      </c>
      <c r="Y388" s="453">
        <v>0</v>
      </c>
      <c r="Z388" s="453">
        <v>0</v>
      </c>
      <c r="AA388" s="14">
        <v>0</v>
      </c>
      <c r="AB388" s="14">
        <v>0</v>
      </c>
      <c r="AC388" s="453">
        <v>0</v>
      </c>
      <c r="AD388" s="14">
        <v>0</v>
      </c>
      <c r="AE388" s="14">
        <v>0</v>
      </c>
      <c r="AF388" s="14">
        <v>0</v>
      </c>
      <c r="AG388" s="14">
        <v>0</v>
      </c>
      <c r="AH388" s="14">
        <v>0</v>
      </c>
      <c r="AI388" s="14">
        <v>0</v>
      </c>
      <c r="AJ388" s="14">
        <v>0</v>
      </c>
      <c r="AK388" s="14">
        <v>0</v>
      </c>
      <c r="AL388" s="14">
        <v>0</v>
      </c>
      <c r="AM388" s="453">
        <v>0</v>
      </c>
      <c r="AN388" s="453">
        <v>0</v>
      </c>
      <c r="AO388" s="453">
        <v>0</v>
      </c>
      <c r="AP388" s="453">
        <v>0</v>
      </c>
      <c r="AQ388" s="453">
        <v>0</v>
      </c>
      <c r="AR388" s="453">
        <v>0</v>
      </c>
      <c r="AS388" s="453">
        <v>0</v>
      </c>
      <c r="AT388" s="453">
        <v>0</v>
      </c>
      <c r="AU388" s="453">
        <v>0</v>
      </c>
      <c r="AV388" s="453">
        <v>0</v>
      </c>
      <c r="AW388" s="453">
        <v>0</v>
      </c>
      <c r="AX388" s="453">
        <v>0</v>
      </c>
      <c r="AY388" s="453">
        <v>0</v>
      </c>
      <c r="AZ388" s="453">
        <v>0</v>
      </c>
      <c r="BA388" s="453">
        <v>0</v>
      </c>
      <c r="BB388" s="453">
        <v>0</v>
      </c>
      <c r="BC388" s="453">
        <v>0</v>
      </c>
      <c r="BD388" s="453">
        <v>0</v>
      </c>
      <c r="BE388" s="105">
        <v>0</v>
      </c>
      <c r="BF388" s="453">
        <v>0</v>
      </c>
      <c r="BG388" s="453">
        <v>0</v>
      </c>
      <c r="BH388" s="105">
        <v>0</v>
      </c>
      <c r="BI388" s="453">
        <v>0</v>
      </c>
      <c r="BJ388" s="453">
        <v>0</v>
      </c>
      <c r="BK388" s="105">
        <v>0</v>
      </c>
      <c r="BL388" s="453">
        <v>0</v>
      </c>
      <c r="BM388" s="453">
        <v>0</v>
      </c>
      <c r="BN388" s="453">
        <v>0</v>
      </c>
      <c r="BO388" s="453">
        <v>0</v>
      </c>
      <c r="BP388" s="453">
        <v>0</v>
      </c>
      <c r="BQ388" s="453">
        <v>0</v>
      </c>
      <c r="BR388" s="14">
        <v>0</v>
      </c>
      <c r="BS388" s="14">
        <v>0</v>
      </c>
      <c r="BT388" s="377" t="str">
        <v/>
      </c>
      <c r="BU388" s="105" t="str">
        <v/>
      </c>
      <c r="BV388" s="453" t="str">
        <v/>
      </c>
      <c r="BW388" s="105" t="str">
        <f ca="1"/>
        <v/>
      </c>
    </row>
    <row r="389" spans="1:75" x14ac:dyDescent="0.3">
      <c r="A389" s="1">
        <v>0</v>
      </c>
      <c r="B389" s="106">
        <v>0</v>
      </c>
      <c r="C389" s="14">
        <v>0</v>
      </c>
      <c r="D389" s="14">
        <v>0</v>
      </c>
      <c r="E389" s="14">
        <v>0</v>
      </c>
      <c r="F389" s="453">
        <v>0</v>
      </c>
      <c r="G389" s="377">
        <v>0</v>
      </c>
      <c r="H389" s="453">
        <v>0</v>
      </c>
      <c r="I389" s="453">
        <v>0</v>
      </c>
      <c r="J389" s="453">
        <v>0</v>
      </c>
      <c r="K389" s="453">
        <v>0</v>
      </c>
      <c r="L389" s="453">
        <v>0</v>
      </c>
      <c r="M389" s="453">
        <v>0</v>
      </c>
      <c r="N389" s="453">
        <v>0</v>
      </c>
      <c r="O389" s="453">
        <v>0</v>
      </c>
      <c r="P389" s="14">
        <v>0</v>
      </c>
      <c r="Q389" s="14">
        <v>0</v>
      </c>
      <c r="R389" s="453">
        <v>0</v>
      </c>
      <c r="S389" s="453">
        <v>0</v>
      </c>
      <c r="T389" s="453">
        <v>0</v>
      </c>
      <c r="U389" s="453">
        <v>0</v>
      </c>
      <c r="V389" s="453">
        <v>0</v>
      </c>
      <c r="W389" s="453">
        <v>0</v>
      </c>
      <c r="X389" s="453">
        <v>0</v>
      </c>
      <c r="Y389" s="453">
        <v>0</v>
      </c>
      <c r="Z389" s="453">
        <v>0</v>
      </c>
      <c r="AA389" s="14">
        <v>0</v>
      </c>
      <c r="AB389" s="14">
        <v>0</v>
      </c>
      <c r="AC389" s="453">
        <v>0</v>
      </c>
      <c r="AD389" s="14">
        <v>0</v>
      </c>
      <c r="AE389" s="14">
        <v>0</v>
      </c>
      <c r="AF389" s="14">
        <v>0</v>
      </c>
      <c r="AG389" s="14">
        <v>0</v>
      </c>
      <c r="AH389" s="14">
        <v>0</v>
      </c>
      <c r="AI389" s="14">
        <v>0</v>
      </c>
      <c r="AJ389" s="14">
        <v>0</v>
      </c>
      <c r="AK389" s="14">
        <v>0</v>
      </c>
      <c r="AL389" s="14">
        <v>0</v>
      </c>
      <c r="AM389" s="453">
        <v>0</v>
      </c>
      <c r="AN389" s="453">
        <v>0</v>
      </c>
      <c r="AO389" s="453">
        <v>0</v>
      </c>
      <c r="AP389" s="453">
        <v>0</v>
      </c>
      <c r="AQ389" s="453">
        <v>0</v>
      </c>
      <c r="AR389" s="453">
        <v>0</v>
      </c>
      <c r="AS389" s="453">
        <v>0</v>
      </c>
      <c r="AT389" s="453">
        <v>0</v>
      </c>
      <c r="AU389" s="453">
        <v>0</v>
      </c>
      <c r="AV389" s="453">
        <v>0</v>
      </c>
      <c r="AW389" s="453">
        <v>0</v>
      </c>
      <c r="AX389" s="453">
        <v>0</v>
      </c>
      <c r="AY389" s="453">
        <v>0</v>
      </c>
      <c r="AZ389" s="453">
        <v>0</v>
      </c>
      <c r="BA389" s="453">
        <v>0</v>
      </c>
      <c r="BB389" s="453">
        <v>0</v>
      </c>
      <c r="BC389" s="453">
        <v>0</v>
      </c>
      <c r="BD389" s="453">
        <v>0</v>
      </c>
      <c r="BE389" s="105">
        <v>0</v>
      </c>
      <c r="BF389" s="453">
        <v>0</v>
      </c>
      <c r="BG389" s="453">
        <v>0</v>
      </c>
      <c r="BH389" s="105">
        <v>0</v>
      </c>
      <c r="BI389" s="453">
        <v>0</v>
      </c>
      <c r="BJ389" s="453">
        <v>0</v>
      </c>
      <c r="BK389" s="105">
        <v>0</v>
      </c>
      <c r="BL389" s="453">
        <v>0</v>
      </c>
      <c r="BM389" s="453">
        <v>0</v>
      </c>
      <c r="BN389" s="453">
        <v>0</v>
      </c>
      <c r="BO389" s="453">
        <v>0</v>
      </c>
      <c r="BP389" s="453">
        <v>0</v>
      </c>
      <c r="BQ389" s="453">
        <v>0</v>
      </c>
      <c r="BR389" s="14">
        <v>0</v>
      </c>
      <c r="BS389" s="14">
        <v>0</v>
      </c>
      <c r="BT389" s="377" t="str">
        <v/>
      </c>
      <c r="BU389" s="105" t="str">
        <v/>
      </c>
      <c r="BV389" s="453" t="str">
        <v/>
      </c>
      <c r="BW389" s="105" t="str">
        <f ca="1"/>
        <v/>
      </c>
    </row>
    <row r="390" spans="1:75" x14ac:dyDescent="0.3">
      <c r="A390" s="1">
        <v>0</v>
      </c>
      <c r="B390" s="106">
        <v>0</v>
      </c>
      <c r="C390" s="14">
        <v>0</v>
      </c>
      <c r="D390" s="14">
        <v>0</v>
      </c>
      <c r="E390" s="14">
        <v>0</v>
      </c>
      <c r="F390" s="453">
        <v>0</v>
      </c>
      <c r="G390" s="377">
        <v>0</v>
      </c>
      <c r="H390" s="453">
        <v>0</v>
      </c>
      <c r="I390" s="453">
        <v>0</v>
      </c>
      <c r="J390" s="453">
        <v>0</v>
      </c>
      <c r="K390" s="453">
        <v>0</v>
      </c>
      <c r="L390" s="453">
        <v>0</v>
      </c>
      <c r="M390" s="453">
        <v>0</v>
      </c>
      <c r="N390" s="453">
        <v>0</v>
      </c>
      <c r="O390" s="453">
        <v>0</v>
      </c>
      <c r="P390" s="14">
        <v>0</v>
      </c>
      <c r="Q390" s="14">
        <v>0</v>
      </c>
      <c r="R390" s="453">
        <v>0</v>
      </c>
      <c r="S390" s="453">
        <v>0</v>
      </c>
      <c r="T390" s="453">
        <v>0</v>
      </c>
      <c r="U390" s="453">
        <v>0</v>
      </c>
      <c r="V390" s="453">
        <v>0</v>
      </c>
      <c r="W390" s="453">
        <v>0</v>
      </c>
      <c r="X390" s="453">
        <v>0</v>
      </c>
      <c r="Y390" s="453">
        <v>0</v>
      </c>
      <c r="Z390" s="453">
        <v>0</v>
      </c>
      <c r="AA390" s="14">
        <v>0</v>
      </c>
      <c r="AB390" s="14">
        <v>0</v>
      </c>
      <c r="AC390" s="453">
        <v>0</v>
      </c>
      <c r="AD390" s="14">
        <v>0</v>
      </c>
      <c r="AE390" s="14">
        <v>0</v>
      </c>
      <c r="AF390" s="14">
        <v>0</v>
      </c>
      <c r="AG390" s="14">
        <v>0</v>
      </c>
      <c r="AH390" s="14">
        <v>0</v>
      </c>
      <c r="AI390" s="14">
        <v>0</v>
      </c>
      <c r="AJ390" s="14">
        <v>0</v>
      </c>
      <c r="AK390" s="14">
        <v>0</v>
      </c>
      <c r="AL390" s="14">
        <v>0</v>
      </c>
      <c r="AM390" s="453">
        <v>0</v>
      </c>
      <c r="AN390" s="453">
        <v>0</v>
      </c>
      <c r="AO390" s="453">
        <v>0</v>
      </c>
      <c r="AP390" s="453">
        <v>0</v>
      </c>
      <c r="AQ390" s="453">
        <v>0</v>
      </c>
      <c r="AR390" s="453">
        <v>0</v>
      </c>
      <c r="AS390" s="453">
        <v>0</v>
      </c>
      <c r="AT390" s="453">
        <v>0</v>
      </c>
      <c r="AU390" s="453">
        <v>0</v>
      </c>
      <c r="AV390" s="453">
        <v>0</v>
      </c>
      <c r="AW390" s="453">
        <v>0</v>
      </c>
      <c r="AX390" s="453">
        <v>0</v>
      </c>
      <c r="AY390" s="453">
        <v>0</v>
      </c>
      <c r="AZ390" s="453">
        <v>0</v>
      </c>
      <c r="BA390" s="453">
        <v>0</v>
      </c>
      <c r="BB390" s="453">
        <v>0</v>
      </c>
      <c r="BC390" s="453">
        <v>0</v>
      </c>
      <c r="BD390" s="453">
        <v>0</v>
      </c>
      <c r="BE390" s="105">
        <v>0</v>
      </c>
      <c r="BF390" s="453">
        <v>0</v>
      </c>
      <c r="BG390" s="453">
        <v>0</v>
      </c>
      <c r="BH390" s="105">
        <v>0</v>
      </c>
      <c r="BI390" s="453">
        <v>0</v>
      </c>
      <c r="BJ390" s="453">
        <v>0</v>
      </c>
      <c r="BK390" s="105">
        <v>0</v>
      </c>
      <c r="BL390" s="453">
        <v>0</v>
      </c>
      <c r="BM390" s="453">
        <v>0</v>
      </c>
      <c r="BN390" s="453">
        <v>0</v>
      </c>
      <c r="BO390" s="453">
        <v>0</v>
      </c>
      <c r="BP390" s="453">
        <v>0</v>
      </c>
      <c r="BQ390" s="453">
        <v>0</v>
      </c>
      <c r="BR390" s="14">
        <v>0</v>
      </c>
      <c r="BS390" s="14">
        <v>0</v>
      </c>
      <c r="BT390" s="377" t="str">
        <v/>
      </c>
      <c r="BU390" s="105" t="str">
        <v/>
      </c>
      <c r="BV390" s="453" t="str">
        <v/>
      </c>
      <c r="BW390" s="105" t="str">
        <f ca="1"/>
        <v/>
      </c>
    </row>
    <row r="391" spans="1:75" x14ac:dyDescent="0.3">
      <c r="A391" s="1">
        <v>0</v>
      </c>
      <c r="B391" s="106">
        <v>0</v>
      </c>
      <c r="C391" s="14">
        <v>0</v>
      </c>
      <c r="D391" s="14">
        <v>0</v>
      </c>
      <c r="E391" s="14">
        <v>0</v>
      </c>
      <c r="F391" s="453">
        <v>0</v>
      </c>
      <c r="G391" s="377">
        <v>0</v>
      </c>
      <c r="H391" s="453">
        <v>0</v>
      </c>
      <c r="I391" s="453">
        <v>0</v>
      </c>
      <c r="J391" s="453">
        <v>0</v>
      </c>
      <c r="K391" s="453">
        <v>0</v>
      </c>
      <c r="L391" s="453">
        <v>0</v>
      </c>
      <c r="M391" s="453">
        <v>0</v>
      </c>
      <c r="N391" s="453">
        <v>0</v>
      </c>
      <c r="O391" s="453">
        <v>0</v>
      </c>
      <c r="P391" s="14">
        <v>0</v>
      </c>
      <c r="Q391" s="14">
        <v>0</v>
      </c>
      <c r="R391" s="453">
        <v>0</v>
      </c>
      <c r="S391" s="453">
        <v>0</v>
      </c>
      <c r="T391" s="453">
        <v>0</v>
      </c>
      <c r="U391" s="453">
        <v>0</v>
      </c>
      <c r="V391" s="453">
        <v>0</v>
      </c>
      <c r="W391" s="453">
        <v>0</v>
      </c>
      <c r="X391" s="453">
        <v>0</v>
      </c>
      <c r="Y391" s="453">
        <v>0</v>
      </c>
      <c r="Z391" s="453">
        <v>0</v>
      </c>
      <c r="AA391" s="14">
        <v>0</v>
      </c>
      <c r="AB391" s="14">
        <v>0</v>
      </c>
      <c r="AC391" s="453">
        <v>0</v>
      </c>
      <c r="AD391" s="14">
        <v>0</v>
      </c>
      <c r="AE391" s="14">
        <v>0</v>
      </c>
      <c r="AF391" s="14">
        <v>0</v>
      </c>
      <c r="AG391" s="14">
        <v>0</v>
      </c>
      <c r="AH391" s="14">
        <v>0</v>
      </c>
      <c r="AI391" s="14">
        <v>0</v>
      </c>
      <c r="AJ391" s="14">
        <v>0</v>
      </c>
      <c r="AK391" s="14">
        <v>0</v>
      </c>
      <c r="AL391" s="14">
        <v>0</v>
      </c>
      <c r="AM391" s="453">
        <v>0</v>
      </c>
      <c r="AN391" s="453">
        <v>0</v>
      </c>
      <c r="AO391" s="453">
        <v>0</v>
      </c>
      <c r="AP391" s="453">
        <v>0</v>
      </c>
      <c r="AQ391" s="453">
        <v>0</v>
      </c>
      <c r="AR391" s="453">
        <v>0</v>
      </c>
      <c r="AS391" s="453">
        <v>0</v>
      </c>
      <c r="AT391" s="453">
        <v>0</v>
      </c>
      <c r="AU391" s="453">
        <v>0</v>
      </c>
      <c r="AV391" s="453">
        <v>0</v>
      </c>
      <c r="AW391" s="453">
        <v>0</v>
      </c>
      <c r="AX391" s="453">
        <v>0</v>
      </c>
      <c r="AY391" s="453">
        <v>0</v>
      </c>
      <c r="AZ391" s="453">
        <v>0</v>
      </c>
      <c r="BA391" s="453">
        <v>0</v>
      </c>
      <c r="BB391" s="453">
        <v>0</v>
      </c>
      <c r="BC391" s="453">
        <v>0</v>
      </c>
      <c r="BD391" s="453">
        <v>0</v>
      </c>
      <c r="BE391" s="105">
        <v>0</v>
      </c>
      <c r="BF391" s="453">
        <v>0</v>
      </c>
      <c r="BG391" s="453">
        <v>0</v>
      </c>
      <c r="BH391" s="105">
        <v>0</v>
      </c>
      <c r="BI391" s="453">
        <v>0</v>
      </c>
      <c r="BJ391" s="453">
        <v>0</v>
      </c>
      <c r="BK391" s="105">
        <v>0</v>
      </c>
      <c r="BL391" s="453">
        <v>0</v>
      </c>
      <c r="BM391" s="453">
        <v>0</v>
      </c>
      <c r="BN391" s="453">
        <v>0</v>
      </c>
      <c r="BO391" s="453">
        <v>0</v>
      </c>
      <c r="BP391" s="453">
        <v>0</v>
      </c>
      <c r="BQ391" s="453">
        <v>0</v>
      </c>
      <c r="BR391" s="14">
        <v>0</v>
      </c>
      <c r="BS391" s="14">
        <v>0</v>
      </c>
      <c r="BT391" s="377" t="str">
        <v/>
      </c>
      <c r="BU391" s="105" t="str">
        <v/>
      </c>
      <c r="BV391" s="453" t="str">
        <v/>
      </c>
      <c r="BW391" s="105" t="str">
        <f ca="1"/>
        <v/>
      </c>
    </row>
    <row r="392" spans="1:75" x14ac:dyDescent="0.3">
      <c r="A392" s="1">
        <v>0</v>
      </c>
      <c r="B392" s="106">
        <v>0</v>
      </c>
      <c r="C392" s="14">
        <v>0</v>
      </c>
      <c r="D392" s="14">
        <v>0</v>
      </c>
      <c r="E392" s="14">
        <v>0</v>
      </c>
      <c r="F392" s="453">
        <v>0</v>
      </c>
      <c r="G392" s="377">
        <v>0</v>
      </c>
      <c r="H392" s="453">
        <v>0</v>
      </c>
      <c r="I392" s="453">
        <v>0</v>
      </c>
      <c r="J392" s="453">
        <v>0</v>
      </c>
      <c r="K392" s="453">
        <v>0</v>
      </c>
      <c r="L392" s="453">
        <v>0</v>
      </c>
      <c r="M392" s="453">
        <v>0</v>
      </c>
      <c r="N392" s="453">
        <v>0</v>
      </c>
      <c r="O392" s="453">
        <v>0</v>
      </c>
      <c r="P392" s="14">
        <v>0</v>
      </c>
      <c r="Q392" s="14">
        <v>0</v>
      </c>
      <c r="R392" s="453">
        <v>0</v>
      </c>
      <c r="S392" s="453">
        <v>0</v>
      </c>
      <c r="T392" s="453">
        <v>0</v>
      </c>
      <c r="U392" s="453">
        <v>0</v>
      </c>
      <c r="V392" s="453">
        <v>0</v>
      </c>
      <c r="W392" s="453">
        <v>0</v>
      </c>
      <c r="X392" s="453">
        <v>0</v>
      </c>
      <c r="Y392" s="453">
        <v>0</v>
      </c>
      <c r="Z392" s="453">
        <v>0</v>
      </c>
      <c r="AA392" s="14">
        <v>0</v>
      </c>
      <c r="AB392" s="14">
        <v>0</v>
      </c>
      <c r="AC392" s="453">
        <v>0</v>
      </c>
      <c r="AD392" s="14">
        <v>0</v>
      </c>
      <c r="AE392" s="14">
        <v>0</v>
      </c>
      <c r="AF392" s="14">
        <v>0</v>
      </c>
      <c r="AG392" s="14">
        <v>0</v>
      </c>
      <c r="AH392" s="14">
        <v>0</v>
      </c>
      <c r="AI392" s="14">
        <v>0</v>
      </c>
      <c r="AJ392" s="14">
        <v>0</v>
      </c>
      <c r="AK392" s="14">
        <v>0</v>
      </c>
      <c r="AL392" s="14">
        <v>0</v>
      </c>
      <c r="AM392" s="453">
        <v>0</v>
      </c>
      <c r="AN392" s="453">
        <v>0</v>
      </c>
      <c r="AO392" s="453">
        <v>0</v>
      </c>
      <c r="AP392" s="453">
        <v>0</v>
      </c>
      <c r="AQ392" s="453">
        <v>0</v>
      </c>
      <c r="AR392" s="453">
        <v>0</v>
      </c>
      <c r="AS392" s="453">
        <v>0</v>
      </c>
      <c r="AT392" s="453">
        <v>0</v>
      </c>
      <c r="AU392" s="453">
        <v>0</v>
      </c>
      <c r="AV392" s="453">
        <v>0</v>
      </c>
      <c r="AW392" s="453">
        <v>0</v>
      </c>
      <c r="AX392" s="453">
        <v>0</v>
      </c>
      <c r="AY392" s="453">
        <v>0</v>
      </c>
      <c r="AZ392" s="453">
        <v>0</v>
      </c>
      <c r="BA392" s="453">
        <v>0</v>
      </c>
      <c r="BB392" s="453">
        <v>0</v>
      </c>
      <c r="BC392" s="453">
        <v>0</v>
      </c>
      <c r="BD392" s="453">
        <v>0</v>
      </c>
      <c r="BE392" s="105">
        <v>0</v>
      </c>
      <c r="BF392" s="453">
        <v>0</v>
      </c>
      <c r="BG392" s="453">
        <v>0</v>
      </c>
      <c r="BH392" s="105">
        <v>0</v>
      </c>
      <c r="BI392" s="453">
        <v>0</v>
      </c>
      <c r="BJ392" s="453">
        <v>0</v>
      </c>
      <c r="BK392" s="105">
        <v>0</v>
      </c>
      <c r="BL392" s="453">
        <v>0</v>
      </c>
      <c r="BM392" s="453">
        <v>0</v>
      </c>
      <c r="BN392" s="453">
        <v>0</v>
      </c>
      <c r="BO392" s="453">
        <v>0</v>
      </c>
      <c r="BP392" s="453">
        <v>0</v>
      </c>
      <c r="BQ392" s="453">
        <v>0</v>
      </c>
      <c r="BR392" s="14">
        <v>0</v>
      </c>
      <c r="BS392" s="14">
        <v>0</v>
      </c>
      <c r="BT392" s="377" t="str">
        <v/>
      </c>
      <c r="BU392" s="105" t="str">
        <v/>
      </c>
      <c r="BV392" s="453" t="str">
        <v/>
      </c>
      <c r="BW392" s="105" t="str">
        <f ca="1"/>
        <v/>
      </c>
    </row>
    <row r="393" spans="1:75" x14ac:dyDescent="0.3">
      <c r="A393" s="1">
        <v>0</v>
      </c>
      <c r="B393" s="106">
        <v>0</v>
      </c>
      <c r="C393" s="14">
        <v>0</v>
      </c>
      <c r="D393" s="14">
        <v>0</v>
      </c>
      <c r="E393" s="14">
        <v>0</v>
      </c>
      <c r="F393" s="453">
        <v>0</v>
      </c>
      <c r="G393" s="377">
        <v>0</v>
      </c>
      <c r="H393" s="453">
        <v>0</v>
      </c>
      <c r="I393" s="453">
        <v>0</v>
      </c>
      <c r="J393" s="453">
        <v>0</v>
      </c>
      <c r="K393" s="453">
        <v>0</v>
      </c>
      <c r="L393" s="453">
        <v>0</v>
      </c>
      <c r="M393" s="453">
        <v>0</v>
      </c>
      <c r="N393" s="453">
        <v>0</v>
      </c>
      <c r="O393" s="453">
        <v>0</v>
      </c>
      <c r="P393" s="14">
        <v>0</v>
      </c>
      <c r="Q393" s="14">
        <v>0</v>
      </c>
      <c r="R393" s="453">
        <v>0</v>
      </c>
      <c r="S393" s="453">
        <v>0</v>
      </c>
      <c r="T393" s="453">
        <v>0</v>
      </c>
      <c r="U393" s="453">
        <v>0</v>
      </c>
      <c r="V393" s="453">
        <v>0</v>
      </c>
      <c r="W393" s="453">
        <v>0</v>
      </c>
      <c r="X393" s="453">
        <v>0</v>
      </c>
      <c r="Y393" s="453">
        <v>0</v>
      </c>
      <c r="Z393" s="453">
        <v>0</v>
      </c>
      <c r="AA393" s="14">
        <v>0</v>
      </c>
      <c r="AB393" s="14">
        <v>0</v>
      </c>
      <c r="AC393" s="453">
        <v>0</v>
      </c>
      <c r="AD393" s="14">
        <v>0</v>
      </c>
      <c r="AE393" s="14">
        <v>0</v>
      </c>
      <c r="AF393" s="14">
        <v>0</v>
      </c>
      <c r="AG393" s="14">
        <v>0</v>
      </c>
      <c r="AH393" s="14">
        <v>0</v>
      </c>
      <c r="AI393" s="14">
        <v>0</v>
      </c>
      <c r="AJ393" s="14">
        <v>0</v>
      </c>
      <c r="AK393" s="14">
        <v>0</v>
      </c>
      <c r="AL393" s="14">
        <v>0</v>
      </c>
      <c r="AM393" s="453">
        <v>0</v>
      </c>
      <c r="AN393" s="453">
        <v>0</v>
      </c>
      <c r="AO393" s="453">
        <v>0</v>
      </c>
      <c r="AP393" s="453">
        <v>0</v>
      </c>
      <c r="AQ393" s="453">
        <v>0</v>
      </c>
      <c r="AR393" s="453">
        <v>0</v>
      </c>
      <c r="AS393" s="453">
        <v>0</v>
      </c>
      <c r="AT393" s="453">
        <v>0</v>
      </c>
      <c r="AU393" s="453">
        <v>0</v>
      </c>
      <c r="AV393" s="453">
        <v>0</v>
      </c>
      <c r="AW393" s="453">
        <v>0</v>
      </c>
      <c r="AX393" s="453">
        <v>0</v>
      </c>
      <c r="AY393" s="453">
        <v>0</v>
      </c>
      <c r="AZ393" s="453">
        <v>0</v>
      </c>
      <c r="BA393" s="453">
        <v>0</v>
      </c>
      <c r="BB393" s="453">
        <v>0</v>
      </c>
      <c r="BC393" s="453">
        <v>0</v>
      </c>
      <c r="BD393" s="453">
        <v>0</v>
      </c>
      <c r="BE393" s="105">
        <v>0</v>
      </c>
      <c r="BF393" s="453">
        <v>0</v>
      </c>
      <c r="BG393" s="453">
        <v>0</v>
      </c>
      <c r="BH393" s="105">
        <v>0</v>
      </c>
      <c r="BI393" s="453">
        <v>0</v>
      </c>
      <c r="BJ393" s="453">
        <v>0</v>
      </c>
      <c r="BK393" s="105">
        <v>0</v>
      </c>
      <c r="BL393" s="453">
        <v>0</v>
      </c>
      <c r="BM393" s="453">
        <v>0</v>
      </c>
      <c r="BN393" s="453">
        <v>0</v>
      </c>
      <c r="BO393" s="453">
        <v>0</v>
      </c>
      <c r="BP393" s="453">
        <v>0</v>
      </c>
      <c r="BQ393" s="453">
        <v>0</v>
      </c>
      <c r="BR393" s="14">
        <v>0</v>
      </c>
      <c r="BS393" s="14">
        <v>0</v>
      </c>
      <c r="BT393" s="377" t="str">
        <v/>
      </c>
      <c r="BU393" s="105" t="str">
        <v/>
      </c>
      <c r="BV393" s="453" t="str">
        <v/>
      </c>
      <c r="BW393" s="105" t="str">
        <f ca="1"/>
        <v/>
      </c>
    </row>
    <row r="394" spans="1:75" x14ac:dyDescent="0.3">
      <c r="A394" s="1">
        <v>0</v>
      </c>
      <c r="B394" s="106">
        <v>0</v>
      </c>
      <c r="C394" s="14">
        <v>0</v>
      </c>
      <c r="D394" s="14">
        <v>0</v>
      </c>
      <c r="E394" s="14">
        <v>0</v>
      </c>
      <c r="F394" s="453">
        <v>0</v>
      </c>
      <c r="G394" s="377">
        <v>0</v>
      </c>
      <c r="H394" s="453">
        <v>0</v>
      </c>
      <c r="I394" s="453">
        <v>0</v>
      </c>
      <c r="J394" s="453">
        <v>0</v>
      </c>
      <c r="K394" s="453">
        <v>0</v>
      </c>
      <c r="L394" s="453">
        <v>0</v>
      </c>
      <c r="M394" s="453">
        <v>0</v>
      </c>
      <c r="N394" s="453">
        <v>0</v>
      </c>
      <c r="O394" s="453">
        <v>0</v>
      </c>
      <c r="P394" s="14">
        <v>0</v>
      </c>
      <c r="Q394" s="14">
        <v>0</v>
      </c>
      <c r="R394" s="453">
        <v>0</v>
      </c>
      <c r="S394" s="453">
        <v>0</v>
      </c>
      <c r="T394" s="453">
        <v>0</v>
      </c>
      <c r="U394" s="453">
        <v>0</v>
      </c>
      <c r="V394" s="453">
        <v>0</v>
      </c>
      <c r="W394" s="453">
        <v>0</v>
      </c>
      <c r="X394" s="453">
        <v>0</v>
      </c>
      <c r="Y394" s="453">
        <v>0</v>
      </c>
      <c r="Z394" s="453">
        <v>0</v>
      </c>
      <c r="AA394" s="14">
        <v>0</v>
      </c>
      <c r="AB394" s="14">
        <v>0</v>
      </c>
      <c r="AC394" s="453">
        <v>0</v>
      </c>
      <c r="AD394" s="14">
        <v>0</v>
      </c>
      <c r="AE394" s="14">
        <v>0</v>
      </c>
      <c r="AF394" s="14">
        <v>0</v>
      </c>
      <c r="AG394" s="14">
        <v>0</v>
      </c>
      <c r="AH394" s="14">
        <v>0</v>
      </c>
      <c r="AI394" s="14">
        <v>0</v>
      </c>
      <c r="AJ394" s="14">
        <v>0</v>
      </c>
      <c r="AK394" s="14">
        <v>0</v>
      </c>
      <c r="AL394" s="14">
        <v>0</v>
      </c>
      <c r="AM394" s="453">
        <v>0</v>
      </c>
      <c r="AN394" s="453">
        <v>0</v>
      </c>
      <c r="AO394" s="453">
        <v>0</v>
      </c>
      <c r="AP394" s="453">
        <v>0</v>
      </c>
      <c r="AQ394" s="453">
        <v>0</v>
      </c>
      <c r="AR394" s="453">
        <v>0</v>
      </c>
      <c r="AS394" s="453">
        <v>0</v>
      </c>
      <c r="AT394" s="453">
        <v>0</v>
      </c>
      <c r="AU394" s="453">
        <v>0</v>
      </c>
      <c r="AV394" s="453">
        <v>0</v>
      </c>
      <c r="AW394" s="453">
        <v>0</v>
      </c>
      <c r="AX394" s="453">
        <v>0</v>
      </c>
      <c r="AY394" s="453">
        <v>0</v>
      </c>
      <c r="AZ394" s="453">
        <v>0</v>
      </c>
      <c r="BA394" s="453">
        <v>0</v>
      </c>
      <c r="BB394" s="453">
        <v>0</v>
      </c>
      <c r="BC394" s="453">
        <v>0</v>
      </c>
      <c r="BD394" s="453">
        <v>0</v>
      </c>
      <c r="BE394" s="105">
        <v>0</v>
      </c>
      <c r="BF394" s="453">
        <v>0</v>
      </c>
      <c r="BG394" s="453">
        <v>0</v>
      </c>
      <c r="BH394" s="105">
        <v>0</v>
      </c>
      <c r="BI394" s="453">
        <v>0</v>
      </c>
      <c r="BJ394" s="453">
        <v>0</v>
      </c>
      <c r="BK394" s="105">
        <v>0</v>
      </c>
      <c r="BL394" s="453">
        <v>0</v>
      </c>
      <c r="BM394" s="453">
        <v>0</v>
      </c>
      <c r="BN394" s="453">
        <v>0</v>
      </c>
      <c r="BO394" s="453">
        <v>0</v>
      </c>
      <c r="BP394" s="453">
        <v>0</v>
      </c>
      <c r="BQ394" s="453">
        <v>0</v>
      </c>
      <c r="BR394" s="14">
        <v>0</v>
      </c>
      <c r="BS394" s="14">
        <v>0</v>
      </c>
      <c r="BT394" s="377" t="str">
        <v/>
      </c>
      <c r="BU394" s="105" t="str">
        <v/>
      </c>
      <c r="BV394" s="453" t="str">
        <v/>
      </c>
      <c r="BW394" s="105" t="str">
        <f ca="1"/>
        <v/>
      </c>
    </row>
    <row r="395" spans="1:75" x14ac:dyDescent="0.3">
      <c r="A395" s="1">
        <v>0</v>
      </c>
      <c r="B395" s="106">
        <v>0</v>
      </c>
      <c r="C395" s="14">
        <v>0</v>
      </c>
      <c r="D395" s="14">
        <v>0</v>
      </c>
      <c r="E395" s="14">
        <v>0</v>
      </c>
      <c r="F395" s="453">
        <v>0</v>
      </c>
      <c r="G395" s="377">
        <v>0</v>
      </c>
      <c r="H395" s="453">
        <v>0</v>
      </c>
      <c r="I395" s="453">
        <v>0</v>
      </c>
      <c r="J395" s="453">
        <v>0</v>
      </c>
      <c r="K395" s="453">
        <v>0</v>
      </c>
      <c r="L395" s="453">
        <v>0</v>
      </c>
      <c r="M395" s="453">
        <v>0</v>
      </c>
      <c r="N395" s="453">
        <v>0</v>
      </c>
      <c r="O395" s="453">
        <v>0</v>
      </c>
      <c r="P395" s="14">
        <v>0</v>
      </c>
      <c r="Q395" s="14">
        <v>0</v>
      </c>
      <c r="R395" s="453">
        <v>0</v>
      </c>
      <c r="S395" s="453">
        <v>0</v>
      </c>
      <c r="T395" s="453">
        <v>0</v>
      </c>
      <c r="U395" s="453">
        <v>0</v>
      </c>
      <c r="V395" s="453">
        <v>0</v>
      </c>
      <c r="W395" s="453">
        <v>0</v>
      </c>
      <c r="X395" s="453">
        <v>0</v>
      </c>
      <c r="Y395" s="453">
        <v>0</v>
      </c>
      <c r="Z395" s="453">
        <v>0</v>
      </c>
      <c r="AA395" s="14">
        <v>0</v>
      </c>
      <c r="AB395" s="14">
        <v>0</v>
      </c>
      <c r="AC395" s="453">
        <v>0</v>
      </c>
      <c r="AD395" s="14">
        <v>0</v>
      </c>
      <c r="AE395" s="14">
        <v>0</v>
      </c>
      <c r="AF395" s="14">
        <v>0</v>
      </c>
      <c r="AG395" s="14">
        <v>0</v>
      </c>
      <c r="AH395" s="14">
        <v>0</v>
      </c>
      <c r="AI395" s="14">
        <v>0</v>
      </c>
      <c r="AJ395" s="14">
        <v>0</v>
      </c>
      <c r="AK395" s="14">
        <v>0</v>
      </c>
      <c r="AL395" s="14">
        <v>0</v>
      </c>
      <c r="AM395" s="453">
        <v>0</v>
      </c>
      <c r="AN395" s="453">
        <v>0</v>
      </c>
      <c r="AO395" s="453">
        <v>0</v>
      </c>
      <c r="AP395" s="453">
        <v>0</v>
      </c>
      <c r="AQ395" s="453">
        <v>0</v>
      </c>
      <c r="AR395" s="453">
        <v>0</v>
      </c>
      <c r="AS395" s="453">
        <v>0</v>
      </c>
      <c r="AT395" s="453">
        <v>0</v>
      </c>
      <c r="AU395" s="453">
        <v>0</v>
      </c>
      <c r="AV395" s="453">
        <v>0</v>
      </c>
      <c r="AW395" s="453">
        <v>0</v>
      </c>
      <c r="AX395" s="453">
        <v>0</v>
      </c>
      <c r="AY395" s="453">
        <v>0</v>
      </c>
      <c r="AZ395" s="453">
        <v>0</v>
      </c>
      <c r="BA395" s="453">
        <v>0</v>
      </c>
      <c r="BB395" s="453">
        <v>0</v>
      </c>
      <c r="BC395" s="453">
        <v>0</v>
      </c>
      <c r="BD395" s="453">
        <v>0</v>
      </c>
      <c r="BE395" s="105">
        <v>0</v>
      </c>
      <c r="BF395" s="453">
        <v>0</v>
      </c>
      <c r="BG395" s="453">
        <v>0</v>
      </c>
      <c r="BH395" s="105">
        <v>0</v>
      </c>
      <c r="BI395" s="453">
        <v>0</v>
      </c>
      <c r="BJ395" s="453">
        <v>0</v>
      </c>
      <c r="BK395" s="105">
        <v>0</v>
      </c>
      <c r="BL395" s="453">
        <v>0</v>
      </c>
      <c r="BM395" s="453">
        <v>0</v>
      </c>
      <c r="BN395" s="453">
        <v>0</v>
      </c>
      <c r="BO395" s="453">
        <v>0</v>
      </c>
      <c r="BP395" s="453">
        <v>0</v>
      </c>
      <c r="BQ395" s="453">
        <v>0</v>
      </c>
      <c r="BR395" s="14">
        <v>0</v>
      </c>
      <c r="BS395" s="14">
        <v>0</v>
      </c>
      <c r="BT395" s="377" t="str">
        <v/>
      </c>
      <c r="BU395" s="105" t="str">
        <v/>
      </c>
      <c r="BV395" s="453" t="str">
        <v/>
      </c>
      <c r="BW395" s="105" t="str">
        <f ca="1"/>
        <v/>
      </c>
    </row>
    <row r="396" spans="1:75" x14ac:dyDescent="0.3">
      <c r="A396" s="1">
        <v>0</v>
      </c>
      <c r="B396" s="106">
        <v>0</v>
      </c>
      <c r="C396" s="14">
        <v>0</v>
      </c>
      <c r="D396" s="14">
        <v>0</v>
      </c>
      <c r="E396" s="14">
        <v>0</v>
      </c>
      <c r="F396" s="453">
        <v>0</v>
      </c>
      <c r="G396" s="377">
        <v>0</v>
      </c>
      <c r="H396" s="453">
        <v>0</v>
      </c>
      <c r="I396" s="453">
        <v>0</v>
      </c>
      <c r="J396" s="453">
        <v>0</v>
      </c>
      <c r="K396" s="453">
        <v>0</v>
      </c>
      <c r="L396" s="453">
        <v>0</v>
      </c>
      <c r="M396" s="453">
        <v>0</v>
      </c>
      <c r="N396" s="453">
        <v>0</v>
      </c>
      <c r="O396" s="453">
        <v>0</v>
      </c>
      <c r="P396" s="14">
        <v>0</v>
      </c>
      <c r="Q396" s="14">
        <v>0</v>
      </c>
      <c r="R396" s="453">
        <v>0</v>
      </c>
      <c r="S396" s="453">
        <v>0</v>
      </c>
      <c r="T396" s="453">
        <v>0</v>
      </c>
      <c r="U396" s="453">
        <v>0</v>
      </c>
      <c r="V396" s="453">
        <v>0</v>
      </c>
      <c r="W396" s="453">
        <v>0</v>
      </c>
      <c r="X396" s="453">
        <v>0</v>
      </c>
      <c r="Y396" s="453">
        <v>0</v>
      </c>
      <c r="Z396" s="453">
        <v>0</v>
      </c>
      <c r="AA396" s="14">
        <v>0</v>
      </c>
      <c r="AB396" s="14">
        <v>0</v>
      </c>
      <c r="AC396" s="453">
        <v>0</v>
      </c>
      <c r="AD396" s="14">
        <v>0</v>
      </c>
      <c r="AE396" s="14">
        <v>0</v>
      </c>
      <c r="AF396" s="14">
        <v>0</v>
      </c>
      <c r="AG396" s="14">
        <v>0</v>
      </c>
      <c r="AH396" s="14">
        <v>0</v>
      </c>
      <c r="AI396" s="14">
        <v>0</v>
      </c>
      <c r="AJ396" s="14">
        <v>0</v>
      </c>
      <c r="AK396" s="14">
        <v>0</v>
      </c>
      <c r="AL396" s="14">
        <v>0</v>
      </c>
      <c r="AM396" s="453">
        <v>0</v>
      </c>
      <c r="AN396" s="453">
        <v>0</v>
      </c>
      <c r="AO396" s="453">
        <v>0</v>
      </c>
      <c r="AP396" s="453">
        <v>0</v>
      </c>
      <c r="AQ396" s="453">
        <v>0</v>
      </c>
      <c r="AR396" s="453">
        <v>0</v>
      </c>
      <c r="AS396" s="453">
        <v>0</v>
      </c>
      <c r="AT396" s="453">
        <v>0</v>
      </c>
      <c r="AU396" s="453">
        <v>0</v>
      </c>
      <c r="AV396" s="453">
        <v>0</v>
      </c>
      <c r="AW396" s="453">
        <v>0</v>
      </c>
      <c r="AX396" s="453">
        <v>0</v>
      </c>
      <c r="AY396" s="453">
        <v>0</v>
      </c>
      <c r="AZ396" s="453">
        <v>0</v>
      </c>
      <c r="BA396" s="453">
        <v>0</v>
      </c>
      <c r="BB396" s="453">
        <v>0</v>
      </c>
      <c r="BC396" s="453">
        <v>0</v>
      </c>
      <c r="BD396" s="453">
        <v>0</v>
      </c>
      <c r="BE396" s="105">
        <v>0</v>
      </c>
      <c r="BF396" s="453">
        <v>0</v>
      </c>
      <c r="BG396" s="453">
        <v>0</v>
      </c>
      <c r="BH396" s="105">
        <v>0</v>
      </c>
      <c r="BI396" s="453">
        <v>0</v>
      </c>
      <c r="BJ396" s="453">
        <v>0</v>
      </c>
      <c r="BK396" s="105">
        <v>0</v>
      </c>
      <c r="BL396" s="453">
        <v>0</v>
      </c>
      <c r="BM396" s="453">
        <v>0</v>
      </c>
      <c r="BN396" s="453">
        <v>0</v>
      </c>
      <c r="BO396" s="453">
        <v>0</v>
      </c>
      <c r="BP396" s="453">
        <v>0</v>
      </c>
      <c r="BQ396" s="453">
        <v>0</v>
      </c>
      <c r="BR396" s="14">
        <v>0</v>
      </c>
      <c r="BS396" s="14">
        <v>0</v>
      </c>
      <c r="BT396" s="377" t="str">
        <v/>
      </c>
      <c r="BU396" s="105" t="str">
        <v/>
      </c>
      <c r="BV396" s="453" t="str">
        <v/>
      </c>
      <c r="BW396" s="105" t="str">
        <f ca="1"/>
        <v/>
      </c>
    </row>
    <row r="397" spans="1:75" x14ac:dyDescent="0.3">
      <c r="A397" s="1">
        <v>0</v>
      </c>
      <c r="B397" s="106">
        <v>0</v>
      </c>
      <c r="C397" s="14">
        <v>0</v>
      </c>
      <c r="D397" s="14">
        <v>0</v>
      </c>
      <c r="E397" s="14">
        <v>0</v>
      </c>
      <c r="F397" s="453">
        <v>0</v>
      </c>
      <c r="G397" s="377">
        <v>0</v>
      </c>
      <c r="H397" s="453">
        <v>0</v>
      </c>
      <c r="I397" s="453">
        <v>0</v>
      </c>
      <c r="J397" s="453">
        <v>0</v>
      </c>
      <c r="K397" s="453">
        <v>0</v>
      </c>
      <c r="L397" s="453">
        <v>0</v>
      </c>
      <c r="M397" s="453">
        <v>0</v>
      </c>
      <c r="N397" s="453">
        <v>0</v>
      </c>
      <c r="O397" s="453">
        <v>0</v>
      </c>
      <c r="P397" s="14">
        <v>0</v>
      </c>
      <c r="Q397" s="14">
        <v>0</v>
      </c>
      <c r="R397" s="453">
        <v>0</v>
      </c>
      <c r="S397" s="453">
        <v>0</v>
      </c>
      <c r="T397" s="453">
        <v>0</v>
      </c>
      <c r="U397" s="453">
        <v>0</v>
      </c>
      <c r="V397" s="453">
        <v>0</v>
      </c>
      <c r="W397" s="453">
        <v>0</v>
      </c>
      <c r="X397" s="453">
        <v>0</v>
      </c>
      <c r="Y397" s="453">
        <v>0</v>
      </c>
      <c r="Z397" s="453">
        <v>0</v>
      </c>
      <c r="AA397" s="14">
        <v>0</v>
      </c>
      <c r="AB397" s="14">
        <v>0</v>
      </c>
      <c r="AC397" s="453">
        <v>0</v>
      </c>
      <c r="AD397" s="14">
        <v>0</v>
      </c>
      <c r="AE397" s="14">
        <v>0</v>
      </c>
      <c r="AF397" s="14">
        <v>0</v>
      </c>
      <c r="AG397" s="14">
        <v>0</v>
      </c>
      <c r="AH397" s="14">
        <v>0</v>
      </c>
      <c r="AI397" s="14">
        <v>0</v>
      </c>
      <c r="AJ397" s="14">
        <v>0</v>
      </c>
      <c r="AK397" s="14">
        <v>0</v>
      </c>
      <c r="AL397" s="14">
        <v>0</v>
      </c>
      <c r="AM397" s="453">
        <v>0</v>
      </c>
      <c r="AN397" s="453">
        <v>0</v>
      </c>
      <c r="AO397" s="453">
        <v>0</v>
      </c>
      <c r="AP397" s="453">
        <v>0</v>
      </c>
      <c r="AQ397" s="453">
        <v>0</v>
      </c>
      <c r="AR397" s="453">
        <v>0</v>
      </c>
      <c r="AS397" s="453">
        <v>0</v>
      </c>
      <c r="AT397" s="453">
        <v>0</v>
      </c>
      <c r="AU397" s="453">
        <v>0</v>
      </c>
      <c r="AV397" s="453">
        <v>0</v>
      </c>
      <c r="AW397" s="453">
        <v>0</v>
      </c>
      <c r="AX397" s="453">
        <v>0</v>
      </c>
      <c r="AY397" s="453">
        <v>0</v>
      </c>
      <c r="AZ397" s="453">
        <v>0</v>
      </c>
      <c r="BA397" s="453">
        <v>0</v>
      </c>
      <c r="BB397" s="453">
        <v>0</v>
      </c>
      <c r="BC397" s="453">
        <v>0</v>
      </c>
      <c r="BD397" s="453">
        <v>0</v>
      </c>
      <c r="BE397" s="105">
        <v>0</v>
      </c>
      <c r="BF397" s="453">
        <v>0</v>
      </c>
      <c r="BG397" s="453">
        <v>0</v>
      </c>
      <c r="BH397" s="105">
        <v>0</v>
      </c>
      <c r="BI397" s="453">
        <v>0</v>
      </c>
      <c r="BJ397" s="453">
        <v>0</v>
      </c>
      <c r="BK397" s="105">
        <v>0</v>
      </c>
      <c r="BL397" s="453">
        <v>0</v>
      </c>
      <c r="BM397" s="453">
        <v>0</v>
      </c>
      <c r="BN397" s="453">
        <v>0</v>
      </c>
      <c r="BO397" s="453">
        <v>0</v>
      </c>
      <c r="BP397" s="453">
        <v>0</v>
      </c>
      <c r="BQ397" s="453">
        <v>0</v>
      </c>
      <c r="BR397" s="14">
        <v>0</v>
      </c>
      <c r="BS397" s="14">
        <v>0</v>
      </c>
      <c r="BT397" s="377" t="str">
        <v/>
      </c>
      <c r="BU397" s="105" t="str">
        <v/>
      </c>
      <c r="BV397" s="453" t="str">
        <v/>
      </c>
      <c r="BW397" s="105" t="str">
        <f ca="1"/>
        <v/>
      </c>
    </row>
    <row r="398" spans="1:75" x14ac:dyDescent="0.3">
      <c r="A398" s="1">
        <v>0</v>
      </c>
      <c r="B398" s="106">
        <v>0</v>
      </c>
      <c r="C398" s="14">
        <v>0</v>
      </c>
      <c r="D398" s="14">
        <v>0</v>
      </c>
      <c r="E398" s="14">
        <v>0</v>
      </c>
      <c r="F398" s="453">
        <v>0</v>
      </c>
      <c r="G398" s="377">
        <v>0</v>
      </c>
      <c r="H398" s="453">
        <v>0</v>
      </c>
      <c r="I398" s="453">
        <v>0</v>
      </c>
      <c r="J398" s="453">
        <v>0</v>
      </c>
      <c r="K398" s="453">
        <v>0</v>
      </c>
      <c r="L398" s="453">
        <v>0</v>
      </c>
      <c r="M398" s="453">
        <v>0</v>
      </c>
      <c r="N398" s="453">
        <v>0</v>
      </c>
      <c r="O398" s="453">
        <v>0</v>
      </c>
      <c r="P398" s="14">
        <v>0</v>
      </c>
      <c r="Q398" s="14">
        <v>0</v>
      </c>
      <c r="R398" s="453">
        <v>0</v>
      </c>
      <c r="S398" s="453">
        <v>0</v>
      </c>
      <c r="T398" s="453">
        <v>0</v>
      </c>
      <c r="U398" s="453">
        <v>0</v>
      </c>
      <c r="V398" s="453">
        <v>0</v>
      </c>
      <c r="W398" s="453">
        <v>0</v>
      </c>
      <c r="X398" s="453">
        <v>0</v>
      </c>
      <c r="Y398" s="453">
        <v>0</v>
      </c>
      <c r="Z398" s="453">
        <v>0</v>
      </c>
      <c r="AA398" s="14">
        <v>0</v>
      </c>
      <c r="AB398" s="14">
        <v>0</v>
      </c>
      <c r="AC398" s="453">
        <v>0</v>
      </c>
      <c r="AD398" s="14">
        <v>0</v>
      </c>
      <c r="AE398" s="14">
        <v>0</v>
      </c>
      <c r="AF398" s="14">
        <v>0</v>
      </c>
      <c r="AG398" s="14">
        <v>0</v>
      </c>
      <c r="AH398" s="14">
        <v>0</v>
      </c>
      <c r="AI398" s="14">
        <v>0</v>
      </c>
      <c r="AJ398" s="14">
        <v>0</v>
      </c>
      <c r="AK398" s="14">
        <v>0</v>
      </c>
      <c r="AL398" s="14">
        <v>0</v>
      </c>
      <c r="AM398" s="453">
        <v>0</v>
      </c>
      <c r="AN398" s="453">
        <v>0</v>
      </c>
      <c r="AO398" s="453">
        <v>0</v>
      </c>
      <c r="AP398" s="453">
        <v>0</v>
      </c>
      <c r="AQ398" s="453">
        <v>0</v>
      </c>
      <c r="AR398" s="453">
        <v>0</v>
      </c>
      <c r="AS398" s="453">
        <v>0</v>
      </c>
      <c r="AT398" s="453">
        <v>0</v>
      </c>
      <c r="AU398" s="453">
        <v>0</v>
      </c>
      <c r="AV398" s="453">
        <v>0</v>
      </c>
      <c r="AW398" s="453">
        <v>0</v>
      </c>
      <c r="AX398" s="453">
        <v>0</v>
      </c>
      <c r="AY398" s="453">
        <v>0</v>
      </c>
      <c r="AZ398" s="453">
        <v>0</v>
      </c>
      <c r="BA398" s="453">
        <v>0</v>
      </c>
      <c r="BB398" s="453">
        <v>0</v>
      </c>
      <c r="BC398" s="453">
        <v>0</v>
      </c>
      <c r="BD398" s="453">
        <v>0</v>
      </c>
      <c r="BE398" s="105">
        <v>0</v>
      </c>
      <c r="BF398" s="453">
        <v>0</v>
      </c>
      <c r="BG398" s="453">
        <v>0</v>
      </c>
      <c r="BH398" s="105">
        <v>0</v>
      </c>
      <c r="BI398" s="453">
        <v>0</v>
      </c>
      <c r="BJ398" s="453">
        <v>0</v>
      </c>
      <c r="BK398" s="105">
        <v>0</v>
      </c>
      <c r="BL398" s="453">
        <v>0</v>
      </c>
      <c r="BM398" s="453">
        <v>0</v>
      </c>
      <c r="BN398" s="453">
        <v>0</v>
      </c>
      <c r="BO398" s="453">
        <v>0</v>
      </c>
      <c r="BP398" s="453">
        <v>0</v>
      </c>
      <c r="BQ398" s="453">
        <v>0</v>
      </c>
      <c r="BR398" s="14">
        <v>0</v>
      </c>
      <c r="BS398" s="14">
        <v>0</v>
      </c>
      <c r="BT398" s="377" t="str">
        <v/>
      </c>
      <c r="BU398" s="105" t="str">
        <v/>
      </c>
      <c r="BV398" s="453" t="str">
        <v/>
      </c>
      <c r="BW398" s="105" t="str">
        <f ca="1"/>
        <v/>
      </c>
    </row>
    <row r="399" spans="1:75" x14ac:dyDescent="0.3">
      <c r="A399" s="1">
        <v>0</v>
      </c>
      <c r="B399" s="106">
        <v>0</v>
      </c>
      <c r="C399" s="14">
        <v>0</v>
      </c>
      <c r="D399" s="14">
        <v>0</v>
      </c>
      <c r="E399" s="14">
        <v>0</v>
      </c>
      <c r="F399" s="453">
        <v>0</v>
      </c>
      <c r="G399" s="377">
        <v>0</v>
      </c>
      <c r="H399" s="453">
        <v>0</v>
      </c>
      <c r="I399" s="453">
        <v>0</v>
      </c>
      <c r="J399" s="453">
        <v>0</v>
      </c>
      <c r="K399" s="453">
        <v>0</v>
      </c>
      <c r="L399" s="453">
        <v>0</v>
      </c>
      <c r="M399" s="453">
        <v>0</v>
      </c>
      <c r="N399" s="453">
        <v>0</v>
      </c>
      <c r="O399" s="453">
        <v>0</v>
      </c>
      <c r="P399" s="14">
        <v>0</v>
      </c>
      <c r="Q399" s="14">
        <v>0</v>
      </c>
      <c r="R399" s="453">
        <v>0</v>
      </c>
      <c r="S399" s="453">
        <v>0</v>
      </c>
      <c r="T399" s="453">
        <v>0</v>
      </c>
      <c r="U399" s="453">
        <v>0</v>
      </c>
      <c r="V399" s="453">
        <v>0</v>
      </c>
      <c r="W399" s="453">
        <v>0</v>
      </c>
      <c r="X399" s="453">
        <v>0</v>
      </c>
      <c r="Y399" s="453">
        <v>0</v>
      </c>
      <c r="Z399" s="453">
        <v>0</v>
      </c>
      <c r="AA399" s="14">
        <v>0</v>
      </c>
      <c r="AB399" s="14">
        <v>0</v>
      </c>
      <c r="AC399" s="453">
        <v>0</v>
      </c>
      <c r="AD399" s="14">
        <v>0</v>
      </c>
      <c r="AE399" s="14">
        <v>0</v>
      </c>
      <c r="AF399" s="14">
        <v>0</v>
      </c>
      <c r="AG399" s="14">
        <v>0</v>
      </c>
      <c r="AH399" s="14">
        <v>0</v>
      </c>
      <c r="AI399" s="14">
        <v>0</v>
      </c>
      <c r="AJ399" s="14">
        <v>0</v>
      </c>
      <c r="AK399" s="14">
        <v>0</v>
      </c>
      <c r="AL399" s="14">
        <v>0</v>
      </c>
      <c r="AM399" s="453">
        <v>0</v>
      </c>
      <c r="AN399" s="453">
        <v>0</v>
      </c>
      <c r="AO399" s="453">
        <v>0</v>
      </c>
      <c r="AP399" s="453">
        <v>0</v>
      </c>
      <c r="AQ399" s="453">
        <v>0</v>
      </c>
      <c r="AR399" s="453">
        <v>0</v>
      </c>
      <c r="AS399" s="453">
        <v>0</v>
      </c>
      <c r="AT399" s="453">
        <v>0</v>
      </c>
      <c r="AU399" s="453">
        <v>0</v>
      </c>
      <c r="AV399" s="453">
        <v>0</v>
      </c>
      <c r="AW399" s="453">
        <v>0</v>
      </c>
      <c r="AX399" s="453">
        <v>0</v>
      </c>
      <c r="AY399" s="453">
        <v>0</v>
      </c>
      <c r="AZ399" s="453">
        <v>0</v>
      </c>
      <c r="BA399" s="453">
        <v>0</v>
      </c>
      <c r="BB399" s="453">
        <v>0</v>
      </c>
      <c r="BC399" s="453">
        <v>0</v>
      </c>
      <c r="BD399" s="453">
        <v>0</v>
      </c>
      <c r="BE399" s="105">
        <v>0</v>
      </c>
      <c r="BF399" s="453">
        <v>0</v>
      </c>
      <c r="BG399" s="453">
        <v>0</v>
      </c>
      <c r="BH399" s="105">
        <v>0</v>
      </c>
      <c r="BI399" s="453">
        <v>0</v>
      </c>
      <c r="BJ399" s="453">
        <v>0</v>
      </c>
      <c r="BK399" s="105">
        <v>0</v>
      </c>
      <c r="BL399" s="453">
        <v>0</v>
      </c>
      <c r="BM399" s="453">
        <v>0</v>
      </c>
      <c r="BN399" s="453">
        <v>0</v>
      </c>
      <c r="BO399" s="453">
        <v>0</v>
      </c>
      <c r="BP399" s="453">
        <v>0</v>
      </c>
      <c r="BQ399" s="453">
        <v>0</v>
      </c>
      <c r="BR399" s="14">
        <v>0</v>
      </c>
      <c r="BS399" s="14">
        <v>0</v>
      </c>
      <c r="BT399" s="377" t="str">
        <v/>
      </c>
      <c r="BU399" s="105" t="str">
        <v/>
      </c>
      <c r="BV399" s="453" t="str">
        <v/>
      </c>
      <c r="BW399" s="105" t="str">
        <f ca="1"/>
        <v/>
      </c>
    </row>
    <row r="400" spans="1:75" x14ac:dyDescent="0.3">
      <c r="A400" s="1">
        <v>0</v>
      </c>
      <c r="B400" s="106">
        <v>0</v>
      </c>
      <c r="C400" s="14">
        <v>0</v>
      </c>
      <c r="D400" s="14">
        <v>0</v>
      </c>
      <c r="E400" s="14">
        <v>0</v>
      </c>
      <c r="F400" s="453">
        <v>0</v>
      </c>
      <c r="G400" s="377">
        <v>0</v>
      </c>
      <c r="H400" s="453">
        <v>0</v>
      </c>
      <c r="I400" s="453">
        <v>0</v>
      </c>
      <c r="J400" s="453">
        <v>0</v>
      </c>
      <c r="K400" s="453">
        <v>0</v>
      </c>
      <c r="L400" s="453">
        <v>0</v>
      </c>
      <c r="M400" s="453">
        <v>0</v>
      </c>
      <c r="N400" s="453">
        <v>0</v>
      </c>
      <c r="O400" s="453">
        <v>0</v>
      </c>
      <c r="P400" s="14">
        <v>0</v>
      </c>
      <c r="Q400" s="14">
        <v>0</v>
      </c>
      <c r="R400" s="453">
        <v>0</v>
      </c>
      <c r="S400" s="453">
        <v>0</v>
      </c>
      <c r="T400" s="453">
        <v>0</v>
      </c>
      <c r="U400" s="453">
        <v>0</v>
      </c>
      <c r="V400" s="453">
        <v>0</v>
      </c>
      <c r="W400" s="453">
        <v>0</v>
      </c>
      <c r="X400" s="453">
        <v>0</v>
      </c>
      <c r="Y400" s="453">
        <v>0</v>
      </c>
      <c r="Z400" s="453">
        <v>0</v>
      </c>
      <c r="AA400" s="14">
        <v>0</v>
      </c>
      <c r="AB400" s="14">
        <v>0</v>
      </c>
      <c r="AC400" s="453">
        <v>0</v>
      </c>
      <c r="AD400" s="14">
        <v>0</v>
      </c>
      <c r="AE400" s="14">
        <v>0</v>
      </c>
      <c r="AF400" s="14">
        <v>0</v>
      </c>
      <c r="AG400" s="14">
        <v>0</v>
      </c>
      <c r="AH400" s="14">
        <v>0</v>
      </c>
      <c r="AI400" s="14">
        <v>0</v>
      </c>
      <c r="AJ400" s="14">
        <v>0</v>
      </c>
      <c r="AK400" s="14">
        <v>0</v>
      </c>
      <c r="AL400" s="14">
        <v>0</v>
      </c>
      <c r="AM400" s="453">
        <v>0</v>
      </c>
      <c r="AN400" s="453">
        <v>0</v>
      </c>
      <c r="AO400" s="453">
        <v>0</v>
      </c>
      <c r="AP400" s="453">
        <v>0</v>
      </c>
      <c r="AQ400" s="453">
        <v>0</v>
      </c>
      <c r="AR400" s="453">
        <v>0</v>
      </c>
      <c r="AS400" s="453">
        <v>0</v>
      </c>
      <c r="AT400" s="453">
        <v>0</v>
      </c>
      <c r="AU400" s="453">
        <v>0</v>
      </c>
      <c r="AV400" s="453">
        <v>0</v>
      </c>
      <c r="AW400" s="453">
        <v>0</v>
      </c>
      <c r="AX400" s="453">
        <v>0</v>
      </c>
      <c r="AY400" s="453">
        <v>0</v>
      </c>
      <c r="AZ400" s="453">
        <v>0</v>
      </c>
      <c r="BA400" s="453">
        <v>0</v>
      </c>
      <c r="BB400" s="453">
        <v>0</v>
      </c>
      <c r="BC400" s="453">
        <v>0</v>
      </c>
      <c r="BD400" s="453">
        <v>0</v>
      </c>
      <c r="BE400" s="105">
        <v>0</v>
      </c>
      <c r="BF400" s="453">
        <v>0</v>
      </c>
      <c r="BG400" s="453">
        <v>0</v>
      </c>
      <c r="BH400" s="105">
        <v>0</v>
      </c>
      <c r="BI400" s="453">
        <v>0</v>
      </c>
      <c r="BJ400" s="453">
        <v>0</v>
      </c>
      <c r="BK400" s="105">
        <v>0</v>
      </c>
      <c r="BL400" s="453">
        <v>0</v>
      </c>
      <c r="BM400" s="453">
        <v>0</v>
      </c>
      <c r="BN400" s="453">
        <v>0</v>
      </c>
      <c r="BO400" s="453">
        <v>0</v>
      </c>
      <c r="BP400" s="453">
        <v>0</v>
      </c>
      <c r="BQ400" s="453">
        <v>0</v>
      </c>
      <c r="BR400" s="14">
        <v>0</v>
      </c>
      <c r="BS400" s="14">
        <v>0</v>
      </c>
      <c r="BT400" s="377" t="str">
        <v/>
      </c>
      <c r="BU400" s="105" t="str">
        <v/>
      </c>
      <c r="BV400" s="453" t="str">
        <v/>
      </c>
      <c r="BW400" s="105" t="str">
        <f ca="1"/>
        <v/>
      </c>
    </row>
    <row r="401" spans="1:75" x14ac:dyDescent="0.3">
      <c r="A401" s="1">
        <v>0</v>
      </c>
      <c r="B401" s="106">
        <v>0</v>
      </c>
      <c r="C401" s="14">
        <v>0</v>
      </c>
      <c r="D401" s="14">
        <v>0</v>
      </c>
      <c r="E401" s="14">
        <v>0</v>
      </c>
      <c r="F401" s="453">
        <v>0</v>
      </c>
      <c r="G401" s="377">
        <v>0</v>
      </c>
      <c r="H401" s="453">
        <v>0</v>
      </c>
      <c r="I401" s="453">
        <v>0</v>
      </c>
      <c r="J401" s="453">
        <v>0</v>
      </c>
      <c r="K401" s="453">
        <v>0</v>
      </c>
      <c r="L401" s="453">
        <v>0</v>
      </c>
      <c r="M401" s="453">
        <v>0</v>
      </c>
      <c r="N401" s="453">
        <v>0</v>
      </c>
      <c r="O401" s="453">
        <v>0</v>
      </c>
      <c r="P401" s="14">
        <v>0</v>
      </c>
      <c r="Q401" s="14">
        <v>0</v>
      </c>
      <c r="R401" s="453">
        <v>0</v>
      </c>
      <c r="S401" s="453">
        <v>0</v>
      </c>
      <c r="T401" s="453">
        <v>0</v>
      </c>
      <c r="U401" s="453">
        <v>0</v>
      </c>
      <c r="V401" s="453">
        <v>0</v>
      </c>
      <c r="W401" s="453">
        <v>0</v>
      </c>
      <c r="X401" s="453">
        <v>0</v>
      </c>
      <c r="Y401" s="453">
        <v>0</v>
      </c>
      <c r="Z401" s="453">
        <v>0</v>
      </c>
      <c r="AA401" s="14">
        <v>0</v>
      </c>
      <c r="AB401" s="14">
        <v>0</v>
      </c>
      <c r="AC401" s="453">
        <v>0</v>
      </c>
      <c r="AD401" s="14">
        <v>0</v>
      </c>
      <c r="AE401" s="14">
        <v>0</v>
      </c>
      <c r="AF401" s="14">
        <v>0</v>
      </c>
      <c r="AG401" s="14">
        <v>0</v>
      </c>
      <c r="AH401" s="14">
        <v>0</v>
      </c>
      <c r="AI401" s="14">
        <v>0</v>
      </c>
      <c r="AJ401" s="14">
        <v>0</v>
      </c>
      <c r="AK401" s="14">
        <v>0</v>
      </c>
      <c r="AL401" s="14">
        <v>0</v>
      </c>
      <c r="AM401" s="453">
        <v>0</v>
      </c>
      <c r="AN401" s="453">
        <v>0</v>
      </c>
      <c r="AO401" s="453">
        <v>0</v>
      </c>
      <c r="AP401" s="453">
        <v>0</v>
      </c>
      <c r="AQ401" s="453">
        <v>0</v>
      </c>
      <c r="AR401" s="453">
        <v>0</v>
      </c>
      <c r="AS401" s="453">
        <v>0</v>
      </c>
      <c r="AT401" s="453">
        <v>0</v>
      </c>
      <c r="AU401" s="453">
        <v>0</v>
      </c>
      <c r="AV401" s="453">
        <v>0</v>
      </c>
      <c r="AW401" s="453">
        <v>0</v>
      </c>
      <c r="AX401" s="453">
        <v>0</v>
      </c>
      <c r="AY401" s="453">
        <v>0</v>
      </c>
      <c r="AZ401" s="453">
        <v>0</v>
      </c>
      <c r="BA401" s="453">
        <v>0</v>
      </c>
      <c r="BB401" s="453">
        <v>0</v>
      </c>
      <c r="BC401" s="453">
        <v>0</v>
      </c>
      <c r="BD401" s="453">
        <v>0</v>
      </c>
      <c r="BE401" s="105">
        <v>0</v>
      </c>
      <c r="BF401" s="453">
        <v>0</v>
      </c>
      <c r="BG401" s="453">
        <v>0</v>
      </c>
      <c r="BH401" s="105">
        <v>0</v>
      </c>
      <c r="BI401" s="453">
        <v>0</v>
      </c>
      <c r="BJ401" s="453">
        <v>0</v>
      </c>
      <c r="BK401" s="105">
        <v>0</v>
      </c>
      <c r="BL401" s="453">
        <v>0</v>
      </c>
      <c r="BM401" s="453">
        <v>0</v>
      </c>
      <c r="BN401" s="453">
        <v>0</v>
      </c>
      <c r="BO401" s="453">
        <v>0</v>
      </c>
      <c r="BP401" s="453">
        <v>0</v>
      </c>
      <c r="BQ401" s="453">
        <v>0</v>
      </c>
      <c r="BR401" s="14">
        <v>0</v>
      </c>
      <c r="BS401" s="14">
        <v>0</v>
      </c>
      <c r="BT401" s="377" t="str">
        <v/>
      </c>
      <c r="BU401" s="105" t="str">
        <v/>
      </c>
      <c r="BV401" s="453" t="str">
        <v/>
      </c>
      <c r="BW401" s="105" t="str">
        <f ca="1"/>
        <v/>
      </c>
    </row>
    <row r="402" spans="1:75" x14ac:dyDescent="0.3">
      <c r="A402" s="1">
        <v>0</v>
      </c>
      <c r="B402" s="106">
        <v>0</v>
      </c>
      <c r="C402" s="14">
        <v>0</v>
      </c>
      <c r="D402" s="14">
        <v>0</v>
      </c>
      <c r="E402" s="14">
        <v>0</v>
      </c>
      <c r="F402" s="453">
        <v>0</v>
      </c>
      <c r="G402" s="377">
        <v>0</v>
      </c>
      <c r="H402" s="453">
        <v>0</v>
      </c>
      <c r="I402" s="453">
        <v>0</v>
      </c>
      <c r="J402" s="453">
        <v>0</v>
      </c>
      <c r="K402" s="453">
        <v>0</v>
      </c>
      <c r="L402" s="453">
        <v>0</v>
      </c>
      <c r="M402" s="453">
        <v>0</v>
      </c>
      <c r="N402" s="453">
        <v>0</v>
      </c>
      <c r="O402" s="453">
        <v>0</v>
      </c>
      <c r="P402" s="14">
        <v>0</v>
      </c>
      <c r="Q402" s="14">
        <v>0</v>
      </c>
      <c r="R402" s="453">
        <v>0</v>
      </c>
      <c r="S402" s="453">
        <v>0</v>
      </c>
      <c r="T402" s="453">
        <v>0</v>
      </c>
      <c r="U402" s="453">
        <v>0</v>
      </c>
      <c r="V402" s="453">
        <v>0</v>
      </c>
      <c r="W402" s="453">
        <v>0</v>
      </c>
      <c r="X402" s="453">
        <v>0</v>
      </c>
      <c r="Y402" s="453">
        <v>0</v>
      </c>
      <c r="Z402" s="453">
        <v>0</v>
      </c>
      <c r="AA402" s="14">
        <v>0</v>
      </c>
      <c r="AB402" s="14">
        <v>0</v>
      </c>
      <c r="AC402" s="453">
        <v>0</v>
      </c>
      <c r="AD402" s="14">
        <v>0</v>
      </c>
      <c r="AE402" s="14">
        <v>0</v>
      </c>
      <c r="AF402" s="14">
        <v>0</v>
      </c>
      <c r="AG402" s="14">
        <v>0</v>
      </c>
      <c r="AH402" s="14">
        <v>0</v>
      </c>
      <c r="AI402" s="14">
        <v>0</v>
      </c>
      <c r="AJ402" s="14">
        <v>0</v>
      </c>
      <c r="AK402" s="14">
        <v>0</v>
      </c>
      <c r="AL402" s="14">
        <v>0</v>
      </c>
      <c r="AM402" s="453">
        <v>0</v>
      </c>
      <c r="AN402" s="453">
        <v>0</v>
      </c>
      <c r="AO402" s="453">
        <v>0</v>
      </c>
      <c r="AP402" s="453">
        <v>0</v>
      </c>
      <c r="AQ402" s="453">
        <v>0</v>
      </c>
      <c r="AR402" s="453">
        <v>0</v>
      </c>
      <c r="AS402" s="453">
        <v>0</v>
      </c>
      <c r="AT402" s="453">
        <v>0</v>
      </c>
      <c r="AU402" s="453">
        <v>0</v>
      </c>
      <c r="AV402" s="453">
        <v>0</v>
      </c>
      <c r="AW402" s="453">
        <v>0</v>
      </c>
      <c r="AX402" s="453">
        <v>0</v>
      </c>
      <c r="AY402" s="453">
        <v>0</v>
      </c>
      <c r="AZ402" s="453">
        <v>0</v>
      </c>
      <c r="BA402" s="453">
        <v>0</v>
      </c>
      <c r="BB402" s="453">
        <v>0</v>
      </c>
      <c r="BC402" s="453">
        <v>0</v>
      </c>
      <c r="BD402" s="453">
        <v>0</v>
      </c>
      <c r="BE402" s="105">
        <v>0</v>
      </c>
      <c r="BF402" s="453">
        <v>0</v>
      </c>
      <c r="BG402" s="453">
        <v>0</v>
      </c>
      <c r="BH402" s="105">
        <v>0</v>
      </c>
      <c r="BI402" s="453">
        <v>0</v>
      </c>
      <c r="BJ402" s="453">
        <v>0</v>
      </c>
      <c r="BK402" s="105">
        <v>0</v>
      </c>
      <c r="BL402" s="453">
        <v>0</v>
      </c>
      <c r="BM402" s="453">
        <v>0</v>
      </c>
      <c r="BN402" s="453">
        <v>0</v>
      </c>
      <c r="BO402" s="453">
        <v>0</v>
      </c>
      <c r="BP402" s="453">
        <v>0</v>
      </c>
      <c r="BQ402" s="453">
        <v>0</v>
      </c>
      <c r="BR402" s="14">
        <v>0</v>
      </c>
      <c r="BS402" s="14">
        <v>0</v>
      </c>
      <c r="BT402" s="377" t="str">
        <v/>
      </c>
      <c r="BU402" s="105" t="str">
        <v/>
      </c>
      <c r="BV402" s="453" t="str">
        <v/>
      </c>
      <c r="BW402" s="105" t="str">
        <f ca="1"/>
        <v/>
      </c>
    </row>
    <row r="403" spans="1:75" x14ac:dyDescent="0.3">
      <c r="A403" s="1">
        <v>0</v>
      </c>
      <c r="B403" s="106">
        <v>0</v>
      </c>
      <c r="C403" s="14">
        <v>0</v>
      </c>
      <c r="D403" s="14">
        <v>0</v>
      </c>
      <c r="E403" s="14">
        <v>0</v>
      </c>
      <c r="F403" s="453">
        <v>0</v>
      </c>
      <c r="G403" s="377">
        <v>0</v>
      </c>
      <c r="H403" s="453">
        <v>0</v>
      </c>
      <c r="I403" s="453">
        <v>0</v>
      </c>
      <c r="J403" s="453">
        <v>0</v>
      </c>
      <c r="K403" s="453">
        <v>0</v>
      </c>
      <c r="L403" s="453">
        <v>0</v>
      </c>
      <c r="M403" s="453">
        <v>0</v>
      </c>
      <c r="N403" s="453">
        <v>0</v>
      </c>
      <c r="O403" s="453">
        <v>0</v>
      </c>
      <c r="P403" s="14">
        <v>0</v>
      </c>
      <c r="Q403" s="14">
        <v>0</v>
      </c>
      <c r="R403" s="453">
        <v>0</v>
      </c>
      <c r="S403" s="453">
        <v>0</v>
      </c>
      <c r="T403" s="453">
        <v>0</v>
      </c>
      <c r="U403" s="453">
        <v>0</v>
      </c>
      <c r="V403" s="453">
        <v>0</v>
      </c>
      <c r="W403" s="453">
        <v>0</v>
      </c>
      <c r="X403" s="453">
        <v>0</v>
      </c>
      <c r="Y403" s="453">
        <v>0</v>
      </c>
      <c r="Z403" s="453">
        <v>0</v>
      </c>
      <c r="AA403" s="14">
        <v>0</v>
      </c>
      <c r="AB403" s="14">
        <v>0</v>
      </c>
      <c r="AC403" s="453">
        <v>0</v>
      </c>
      <c r="AD403" s="14">
        <v>0</v>
      </c>
      <c r="AE403" s="14">
        <v>0</v>
      </c>
      <c r="AF403" s="14">
        <v>0</v>
      </c>
      <c r="AG403" s="14">
        <v>0</v>
      </c>
      <c r="AH403" s="14">
        <v>0</v>
      </c>
      <c r="AI403" s="14">
        <v>0</v>
      </c>
      <c r="AJ403" s="14">
        <v>0</v>
      </c>
      <c r="AK403" s="14">
        <v>0</v>
      </c>
      <c r="AL403" s="14">
        <v>0</v>
      </c>
      <c r="AM403" s="453">
        <v>0</v>
      </c>
      <c r="AN403" s="453">
        <v>0</v>
      </c>
      <c r="AO403" s="453">
        <v>0</v>
      </c>
      <c r="AP403" s="453">
        <v>0</v>
      </c>
      <c r="AQ403" s="453">
        <v>0</v>
      </c>
      <c r="AR403" s="453">
        <v>0</v>
      </c>
      <c r="AS403" s="453">
        <v>0</v>
      </c>
      <c r="AT403" s="453">
        <v>0</v>
      </c>
      <c r="AU403" s="453">
        <v>0</v>
      </c>
      <c r="AV403" s="453">
        <v>0</v>
      </c>
      <c r="AW403" s="453">
        <v>0</v>
      </c>
      <c r="AX403" s="453">
        <v>0</v>
      </c>
      <c r="AY403" s="453">
        <v>0</v>
      </c>
      <c r="AZ403" s="453">
        <v>0</v>
      </c>
      <c r="BA403" s="453">
        <v>0</v>
      </c>
      <c r="BB403" s="453">
        <v>0</v>
      </c>
      <c r="BC403" s="453">
        <v>0</v>
      </c>
      <c r="BD403" s="453">
        <v>0</v>
      </c>
      <c r="BE403" s="105">
        <v>0</v>
      </c>
      <c r="BF403" s="453">
        <v>0</v>
      </c>
      <c r="BG403" s="453">
        <v>0</v>
      </c>
      <c r="BH403" s="105">
        <v>0</v>
      </c>
      <c r="BI403" s="453">
        <v>0</v>
      </c>
      <c r="BJ403" s="453">
        <v>0</v>
      </c>
      <c r="BK403" s="105">
        <v>0</v>
      </c>
      <c r="BL403" s="453">
        <v>0</v>
      </c>
      <c r="BM403" s="453">
        <v>0</v>
      </c>
      <c r="BN403" s="453">
        <v>0</v>
      </c>
      <c r="BO403" s="453">
        <v>0</v>
      </c>
      <c r="BP403" s="453">
        <v>0</v>
      </c>
      <c r="BQ403" s="453">
        <v>0</v>
      </c>
      <c r="BR403" s="14">
        <v>0</v>
      </c>
      <c r="BS403" s="14">
        <v>0</v>
      </c>
      <c r="BT403" s="377" t="str">
        <v/>
      </c>
      <c r="BU403" s="105" t="str">
        <v/>
      </c>
      <c r="BV403" s="453" t="str">
        <v/>
      </c>
      <c r="BW403" s="105" t="str">
        <f ca="1"/>
        <v/>
      </c>
    </row>
    <row r="404" spans="1:75" x14ac:dyDescent="0.3">
      <c r="A404" s="1">
        <v>0</v>
      </c>
      <c r="B404" s="106">
        <v>0</v>
      </c>
      <c r="C404" s="14">
        <v>0</v>
      </c>
      <c r="D404" s="14">
        <v>0</v>
      </c>
      <c r="E404" s="14">
        <v>0</v>
      </c>
      <c r="F404" s="453">
        <v>0</v>
      </c>
      <c r="G404" s="377">
        <v>0</v>
      </c>
      <c r="H404" s="453">
        <v>0</v>
      </c>
      <c r="I404" s="453">
        <v>0</v>
      </c>
      <c r="J404" s="453">
        <v>0</v>
      </c>
      <c r="K404" s="453">
        <v>0</v>
      </c>
      <c r="L404" s="453">
        <v>0</v>
      </c>
      <c r="M404" s="453">
        <v>0</v>
      </c>
      <c r="N404" s="453">
        <v>0</v>
      </c>
      <c r="O404" s="453">
        <v>0</v>
      </c>
      <c r="P404" s="14">
        <v>0</v>
      </c>
      <c r="Q404" s="14">
        <v>0</v>
      </c>
      <c r="R404" s="453">
        <v>0</v>
      </c>
      <c r="S404" s="453">
        <v>0</v>
      </c>
      <c r="T404" s="453">
        <v>0</v>
      </c>
      <c r="U404" s="453">
        <v>0</v>
      </c>
      <c r="V404" s="453">
        <v>0</v>
      </c>
      <c r="W404" s="453">
        <v>0</v>
      </c>
      <c r="X404" s="453">
        <v>0</v>
      </c>
      <c r="Y404" s="453">
        <v>0</v>
      </c>
      <c r="Z404" s="453">
        <v>0</v>
      </c>
      <c r="AA404" s="14">
        <v>0</v>
      </c>
      <c r="AB404" s="14">
        <v>0</v>
      </c>
      <c r="AC404" s="453">
        <v>0</v>
      </c>
      <c r="AD404" s="14">
        <v>0</v>
      </c>
      <c r="AE404" s="14">
        <v>0</v>
      </c>
      <c r="AF404" s="14">
        <v>0</v>
      </c>
      <c r="AG404" s="14">
        <v>0</v>
      </c>
      <c r="AH404" s="14">
        <v>0</v>
      </c>
      <c r="AI404" s="14">
        <v>0</v>
      </c>
      <c r="AJ404" s="14">
        <v>0</v>
      </c>
      <c r="AK404" s="14">
        <v>0</v>
      </c>
      <c r="AL404" s="14">
        <v>0</v>
      </c>
      <c r="AM404" s="453">
        <v>0</v>
      </c>
      <c r="AN404" s="453">
        <v>0</v>
      </c>
      <c r="AO404" s="453">
        <v>0</v>
      </c>
      <c r="AP404" s="453">
        <v>0</v>
      </c>
      <c r="AQ404" s="453">
        <v>0</v>
      </c>
      <c r="AR404" s="453">
        <v>0</v>
      </c>
      <c r="AS404" s="453">
        <v>0</v>
      </c>
      <c r="AT404" s="453">
        <v>0</v>
      </c>
      <c r="AU404" s="453">
        <v>0</v>
      </c>
      <c r="AV404" s="453">
        <v>0</v>
      </c>
      <c r="AW404" s="453">
        <v>0</v>
      </c>
      <c r="AX404" s="453">
        <v>0</v>
      </c>
      <c r="AY404" s="453">
        <v>0</v>
      </c>
      <c r="AZ404" s="453">
        <v>0</v>
      </c>
      <c r="BA404" s="453">
        <v>0</v>
      </c>
      <c r="BB404" s="453">
        <v>0</v>
      </c>
      <c r="BC404" s="453">
        <v>0</v>
      </c>
      <c r="BD404" s="453">
        <v>0</v>
      </c>
      <c r="BE404" s="105">
        <v>0</v>
      </c>
      <c r="BF404" s="453">
        <v>0</v>
      </c>
      <c r="BG404" s="453">
        <v>0</v>
      </c>
      <c r="BH404" s="105">
        <v>0</v>
      </c>
      <c r="BI404" s="453">
        <v>0</v>
      </c>
      <c r="BJ404" s="453">
        <v>0</v>
      </c>
      <c r="BK404" s="105">
        <v>0</v>
      </c>
      <c r="BL404" s="453">
        <v>0</v>
      </c>
      <c r="BM404" s="453">
        <v>0</v>
      </c>
      <c r="BN404" s="453">
        <v>0</v>
      </c>
      <c r="BO404" s="453">
        <v>0</v>
      </c>
      <c r="BP404" s="453">
        <v>0</v>
      </c>
      <c r="BQ404" s="453">
        <v>0</v>
      </c>
      <c r="BR404" s="14">
        <v>0</v>
      </c>
      <c r="BS404" s="14">
        <v>0</v>
      </c>
      <c r="BT404" s="377" t="str">
        <v/>
      </c>
      <c r="BU404" s="105" t="str">
        <v/>
      </c>
      <c r="BV404" s="453" t="str">
        <v/>
      </c>
      <c r="BW404" s="105" t="str">
        <f ca="1"/>
        <v/>
      </c>
    </row>
    <row r="405" spans="1:75" x14ac:dyDescent="0.3">
      <c r="A405" s="1">
        <v>0</v>
      </c>
      <c r="B405" s="106">
        <v>0</v>
      </c>
      <c r="C405" s="14">
        <v>0</v>
      </c>
      <c r="D405" s="14">
        <v>0</v>
      </c>
      <c r="E405" s="14">
        <v>0</v>
      </c>
      <c r="F405" s="453">
        <v>0</v>
      </c>
      <c r="G405" s="377">
        <v>0</v>
      </c>
      <c r="H405" s="453">
        <v>0</v>
      </c>
      <c r="I405" s="453">
        <v>0</v>
      </c>
      <c r="J405" s="453">
        <v>0</v>
      </c>
      <c r="K405" s="453">
        <v>0</v>
      </c>
      <c r="L405" s="453">
        <v>0</v>
      </c>
      <c r="M405" s="453">
        <v>0</v>
      </c>
      <c r="N405" s="453">
        <v>0</v>
      </c>
      <c r="O405" s="453">
        <v>0</v>
      </c>
      <c r="P405" s="14">
        <v>0</v>
      </c>
      <c r="Q405" s="14">
        <v>0</v>
      </c>
      <c r="R405" s="453">
        <v>0</v>
      </c>
      <c r="S405" s="453">
        <v>0</v>
      </c>
      <c r="T405" s="453">
        <v>0</v>
      </c>
      <c r="U405" s="453">
        <v>0</v>
      </c>
      <c r="V405" s="453">
        <v>0</v>
      </c>
      <c r="W405" s="453">
        <v>0</v>
      </c>
      <c r="X405" s="453">
        <v>0</v>
      </c>
      <c r="Y405" s="453">
        <v>0</v>
      </c>
      <c r="Z405" s="453">
        <v>0</v>
      </c>
      <c r="AA405" s="14">
        <v>0</v>
      </c>
      <c r="AB405" s="14">
        <v>0</v>
      </c>
      <c r="AC405" s="453">
        <v>0</v>
      </c>
      <c r="AD405" s="14">
        <v>0</v>
      </c>
      <c r="AE405" s="14">
        <v>0</v>
      </c>
      <c r="AF405" s="14">
        <v>0</v>
      </c>
      <c r="AG405" s="14">
        <v>0</v>
      </c>
      <c r="AH405" s="14">
        <v>0</v>
      </c>
      <c r="AI405" s="14">
        <v>0</v>
      </c>
      <c r="AJ405" s="14">
        <v>0</v>
      </c>
      <c r="AK405" s="14">
        <v>0</v>
      </c>
      <c r="AL405" s="14">
        <v>0</v>
      </c>
      <c r="AM405" s="453">
        <v>0</v>
      </c>
      <c r="AN405" s="453">
        <v>0</v>
      </c>
      <c r="AO405" s="453">
        <v>0</v>
      </c>
      <c r="AP405" s="453">
        <v>0</v>
      </c>
      <c r="AQ405" s="453">
        <v>0</v>
      </c>
      <c r="AR405" s="453">
        <v>0</v>
      </c>
      <c r="AS405" s="453">
        <v>0</v>
      </c>
      <c r="AT405" s="453">
        <v>0</v>
      </c>
      <c r="AU405" s="453">
        <v>0</v>
      </c>
      <c r="AV405" s="453">
        <v>0</v>
      </c>
      <c r="AW405" s="453">
        <v>0</v>
      </c>
      <c r="AX405" s="453">
        <v>0</v>
      </c>
      <c r="AY405" s="453">
        <v>0</v>
      </c>
      <c r="AZ405" s="453">
        <v>0</v>
      </c>
      <c r="BA405" s="453">
        <v>0</v>
      </c>
      <c r="BB405" s="453">
        <v>0</v>
      </c>
      <c r="BC405" s="453">
        <v>0</v>
      </c>
      <c r="BD405" s="453">
        <v>0</v>
      </c>
      <c r="BE405" s="105">
        <v>0</v>
      </c>
      <c r="BF405" s="453">
        <v>0</v>
      </c>
      <c r="BG405" s="453">
        <v>0</v>
      </c>
      <c r="BH405" s="105">
        <v>0</v>
      </c>
      <c r="BI405" s="453">
        <v>0</v>
      </c>
      <c r="BJ405" s="453">
        <v>0</v>
      </c>
      <c r="BK405" s="105">
        <v>0</v>
      </c>
      <c r="BL405" s="453">
        <v>0</v>
      </c>
      <c r="BM405" s="453">
        <v>0</v>
      </c>
      <c r="BN405" s="453">
        <v>0</v>
      </c>
      <c r="BO405" s="453">
        <v>0</v>
      </c>
      <c r="BP405" s="453">
        <v>0</v>
      </c>
      <c r="BQ405" s="453">
        <v>0</v>
      </c>
      <c r="BR405" s="14">
        <v>0</v>
      </c>
      <c r="BS405" s="14">
        <v>0</v>
      </c>
      <c r="BT405" s="377" t="str">
        <v/>
      </c>
      <c r="BU405" s="105" t="str">
        <v/>
      </c>
      <c r="BV405" s="453" t="str">
        <v/>
      </c>
      <c r="BW405" s="105" t="str">
        <f ca="1"/>
        <v/>
      </c>
    </row>
    <row r="406" spans="1:75" x14ac:dyDescent="0.3">
      <c r="A406" s="1">
        <v>0</v>
      </c>
      <c r="B406" s="106">
        <v>0</v>
      </c>
      <c r="C406" s="14">
        <v>0</v>
      </c>
      <c r="D406" s="14">
        <v>0</v>
      </c>
      <c r="E406" s="14">
        <v>0</v>
      </c>
      <c r="F406" s="453">
        <v>0</v>
      </c>
      <c r="G406" s="377">
        <v>0</v>
      </c>
      <c r="H406" s="453">
        <v>0</v>
      </c>
      <c r="I406" s="453">
        <v>0</v>
      </c>
      <c r="J406" s="453">
        <v>0</v>
      </c>
      <c r="K406" s="453">
        <v>0</v>
      </c>
      <c r="L406" s="453">
        <v>0</v>
      </c>
      <c r="M406" s="453">
        <v>0</v>
      </c>
      <c r="N406" s="453">
        <v>0</v>
      </c>
      <c r="O406" s="453">
        <v>0</v>
      </c>
      <c r="P406" s="14">
        <v>0</v>
      </c>
      <c r="Q406" s="14">
        <v>0</v>
      </c>
      <c r="R406" s="453">
        <v>0</v>
      </c>
      <c r="S406" s="453">
        <v>0</v>
      </c>
      <c r="T406" s="453">
        <v>0</v>
      </c>
      <c r="U406" s="453">
        <v>0</v>
      </c>
      <c r="V406" s="453">
        <v>0</v>
      </c>
      <c r="W406" s="453">
        <v>0</v>
      </c>
      <c r="X406" s="453">
        <v>0</v>
      </c>
      <c r="Y406" s="453">
        <v>0</v>
      </c>
      <c r="Z406" s="453">
        <v>0</v>
      </c>
      <c r="AA406" s="14">
        <v>0</v>
      </c>
      <c r="AB406" s="14">
        <v>0</v>
      </c>
      <c r="AC406" s="453">
        <v>0</v>
      </c>
      <c r="AD406" s="14">
        <v>0</v>
      </c>
      <c r="AE406" s="14">
        <v>0</v>
      </c>
      <c r="AF406" s="14">
        <v>0</v>
      </c>
      <c r="AG406" s="14">
        <v>0</v>
      </c>
      <c r="AH406" s="14">
        <v>0</v>
      </c>
      <c r="AI406" s="14">
        <v>0</v>
      </c>
      <c r="AJ406" s="14">
        <v>0</v>
      </c>
      <c r="AK406" s="14">
        <v>0</v>
      </c>
      <c r="AL406" s="14">
        <v>0</v>
      </c>
      <c r="AM406" s="453">
        <v>0</v>
      </c>
      <c r="AN406" s="453">
        <v>0</v>
      </c>
      <c r="AO406" s="453">
        <v>0</v>
      </c>
      <c r="AP406" s="453">
        <v>0</v>
      </c>
      <c r="AQ406" s="453">
        <v>0</v>
      </c>
      <c r="AR406" s="453">
        <v>0</v>
      </c>
      <c r="AS406" s="453">
        <v>0</v>
      </c>
      <c r="AT406" s="453">
        <v>0</v>
      </c>
      <c r="AU406" s="453">
        <v>0</v>
      </c>
      <c r="AV406" s="453">
        <v>0</v>
      </c>
      <c r="AW406" s="453">
        <v>0</v>
      </c>
      <c r="AX406" s="453">
        <v>0</v>
      </c>
      <c r="AY406" s="453">
        <v>0</v>
      </c>
      <c r="AZ406" s="453">
        <v>0</v>
      </c>
      <c r="BA406" s="453">
        <v>0</v>
      </c>
      <c r="BB406" s="453">
        <v>0</v>
      </c>
      <c r="BC406" s="453">
        <v>0</v>
      </c>
      <c r="BD406" s="453">
        <v>0</v>
      </c>
      <c r="BE406" s="105">
        <v>0</v>
      </c>
      <c r="BF406" s="453">
        <v>0</v>
      </c>
      <c r="BG406" s="453">
        <v>0</v>
      </c>
      <c r="BH406" s="105">
        <v>0</v>
      </c>
      <c r="BI406" s="453">
        <v>0</v>
      </c>
      <c r="BJ406" s="453">
        <v>0</v>
      </c>
      <c r="BK406" s="105">
        <v>0</v>
      </c>
      <c r="BL406" s="453">
        <v>0</v>
      </c>
      <c r="BM406" s="453">
        <v>0</v>
      </c>
      <c r="BN406" s="453">
        <v>0</v>
      </c>
      <c r="BO406" s="453">
        <v>0</v>
      </c>
      <c r="BP406" s="453">
        <v>0</v>
      </c>
      <c r="BQ406" s="453">
        <v>0</v>
      </c>
      <c r="BR406" s="14">
        <v>0</v>
      </c>
      <c r="BS406" s="14">
        <v>0</v>
      </c>
      <c r="BT406" s="377" t="str">
        <v/>
      </c>
      <c r="BU406" s="105" t="str">
        <v/>
      </c>
      <c r="BV406" s="453" t="str">
        <v/>
      </c>
      <c r="BW406" s="105" t="str">
        <f ca="1"/>
        <v/>
      </c>
    </row>
    <row r="407" spans="1:75" x14ac:dyDescent="0.3">
      <c r="A407" s="1">
        <v>0</v>
      </c>
      <c r="B407" s="106">
        <v>0</v>
      </c>
      <c r="C407" s="14">
        <v>0</v>
      </c>
      <c r="D407" s="14">
        <v>0</v>
      </c>
      <c r="E407" s="14">
        <v>0</v>
      </c>
      <c r="F407" s="453">
        <v>0</v>
      </c>
      <c r="G407" s="377">
        <v>0</v>
      </c>
      <c r="H407" s="453">
        <v>0</v>
      </c>
      <c r="I407" s="453">
        <v>0</v>
      </c>
      <c r="J407" s="453">
        <v>0</v>
      </c>
      <c r="K407" s="453">
        <v>0</v>
      </c>
      <c r="L407" s="453">
        <v>0</v>
      </c>
      <c r="M407" s="453">
        <v>0</v>
      </c>
      <c r="N407" s="453">
        <v>0</v>
      </c>
      <c r="O407" s="453">
        <v>0</v>
      </c>
      <c r="P407" s="14">
        <v>0</v>
      </c>
      <c r="Q407" s="14">
        <v>0</v>
      </c>
      <c r="R407" s="453">
        <v>0</v>
      </c>
      <c r="S407" s="453">
        <v>0</v>
      </c>
      <c r="T407" s="453">
        <v>0</v>
      </c>
      <c r="U407" s="453">
        <v>0</v>
      </c>
      <c r="V407" s="453">
        <v>0</v>
      </c>
      <c r="W407" s="453">
        <v>0</v>
      </c>
      <c r="X407" s="453">
        <v>0</v>
      </c>
      <c r="Y407" s="453">
        <v>0</v>
      </c>
      <c r="Z407" s="453">
        <v>0</v>
      </c>
      <c r="AA407" s="14">
        <v>0</v>
      </c>
      <c r="AB407" s="14">
        <v>0</v>
      </c>
      <c r="AC407" s="453">
        <v>0</v>
      </c>
      <c r="AD407" s="14">
        <v>0</v>
      </c>
      <c r="AE407" s="14">
        <v>0</v>
      </c>
      <c r="AF407" s="14">
        <v>0</v>
      </c>
      <c r="AG407" s="14">
        <v>0</v>
      </c>
      <c r="AH407" s="14">
        <v>0</v>
      </c>
      <c r="AI407" s="14">
        <v>0</v>
      </c>
      <c r="AJ407" s="14">
        <v>0</v>
      </c>
      <c r="AK407" s="14">
        <v>0</v>
      </c>
      <c r="AL407" s="14">
        <v>0</v>
      </c>
      <c r="AM407" s="453">
        <v>0</v>
      </c>
      <c r="AN407" s="453">
        <v>0</v>
      </c>
      <c r="AO407" s="453">
        <v>0</v>
      </c>
      <c r="AP407" s="453">
        <v>0</v>
      </c>
      <c r="AQ407" s="453">
        <v>0</v>
      </c>
      <c r="AR407" s="453">
        <v>0</v>
      </c>
      <c r="AS407" s="453">
        <v>0</v>
      </c>
      <c r="AT407" s="453">
        <v>0</v>
      </c>
      <c r="AU407" s="453">
        <v>0</v>
      </c>
      <c r="AV407" s="453">
        <v>0</v>
      </c>
      <c r="AW407" s="453">
        <v>0</v>
      </c>
      <c r="AX407" s="453">
        <v>0</v>
      </c>
      <c r="AY407" s="453">
        <v>0</v>
      </c>
      <c r="AZ407" s="453">
        <v>0</v>
      </c>
      <c r="BA407" s="453">
        <v>0</v>
      </c>
      <c r="BB407" s="453">
        <v>0</v>
      </c>
      <c r="BC407" s="453">
        <v>0</v>
      </c>
      <c r="BD407" s="453">
        <v>0</v>
      </c>
      <c r="BE407" s="105">
        <v>0</v>
      </c>
      <c r="BF407" s="453">
        <v>0</v>
      </c>
      <c r="BG407" s="453">
        <v>0</v>
      </c>
      <c r="BH407" s="105">
        <v>0</v>
      </c>
      <c r="BI407" s="453">
        <v>0</v>
      </c>
      <c r="BJ407" s="453">
        <v>0</v>
      </c>
      <c r="BK407" s="105">
        <v>0</v>
      </c>
      <c r="BL407" s="453">
        <v>0</v>
      </c>
      <c r="BM407" s="453">
        <v>0</v>
      </c>
      <c r="BN407" s="453">
        <v>0</v>
      </c>
      <c r="BO407" s="453">
        <v>0</v>
      </c>
      <c r="BP407" s="453">
        <v>0</v>
      </c>
      <c r="BQ407" s="453">
        <v>0</v>
      </c>
      <c r="BR407" s="14">
        <v>0</v>
      </c>
      <c r="BS407" s="14">
        <v>0</v>
      </c>
      <c r="BT407" s="377" t="str">
        <v/>
      </c>
      <c r="BU407" s="105" t="str">
        <v/>
      </c>
      <c r="BV407" s="453" t="str">
        <v/>
      </c>
      <c r="BW407" s="105" t="str">
        <f ca="1"/>
        <v/>
      </c>
    </row>
    <row r="408" spans="1:75" x14ac:dyDescent="0.3">
      <c r="A408" s="1">
        <v>0</v>
      </c>
      <c r="B408" s="106">
        <v>0</v>
      </c>
      <c r="C408" s="14">
        <v>0</v>
      </c>
      <c r="D408" s="14">
        <v>0</v>
      </c>
      <c r="E408" s="14">
        <v>0</v>
      </c>
      <c r="F408" s="453">
        <v>0</v>
      </c>
      <c r="G408" s="377">
        <v>0</v>
      </c>
      <c r="H408" s="453">
        <v>0</v>
      </c>
      <c r="I408" s="453">
        <v>0</v>
      </c>
      <c r="J408" s="453">
        <v>0</v>
      </c>
      <c r="K408" s="453">
        <v>0</v>
      </c>
      <c r="L408" s="453">
        <v>0</v>
      </c>
      <c r="M408" s="453">
        <v>0</v>
      </c>
      <c r="N408" s="453">
        <v>0</v>
      </c>
      <c r="O408" s="453">
        <v>0</v>
      </c>
      <c r="P408" s="14">
        <v>0</v>
      </c>
      <c r="Q408" s="14">
        <v>0</v>
      </c>
      <c r="R408" s="453">
        <v>0</v>
      </c>
      <c r="S408" s="453">
        <v>0</v>
      </c>
      <c r="T408" s="453">
        <v>0</v>
      </c>
      <c r="U408" s="453">
        <v>0</v>
      </c>
      <c r="V408" s="453">
        <v>0</v>
      </c>
      <c r="W408" s="453">
        <v>0</v>
      </c>
      <c r="X408" s="453">
        <v>0</v>
      </c>
      <c r="Y408" s="453">
        <v>0</v>
      </c>
      <c r="Z408" s="453">
        <v>0</v>
      </c>
      <c r="AA408" s="14">
        <v>0</v>
      </c>
      <c r="AB408" s="14">
        <v>0</v>
      </c>
      <c r="AC408" s="453">
        <v>0</v>
      </c>
      <c r="AD408" s="14">
        <v>0</v>
      </c>
      <c r="AE408" s="14">
        <v>0</v>
      </c>
      <c r="AF408" s="14">
        <v>0</v>
      </c>
      <c r="AG408" s="14">
        <v>0</v>
      </c>
      <c r="AH408" s="14">
        <v>0</v>
      </c>
      <c r="AI408" s="14">
        <v>0</v>
      </c>
      <c r="AJ408" s="14">
        <v>0</v>
      </c>
      <c r="AK408" s="14">
        <v>0</v>
      </c>
      <c r="AL408" s="14">
        <v>0</v>
      </c>
      <c r="AM408" s="453">
        <v>0</v>
      </c>
      <c r="AN408" s="453">
        <v>0</v>
      </c>
      <c r="AO408" s="453">
        <v>0</v>
      </c>
      <c r="AP408" s="453">
        <v>0</v>
      </c>
      <c r="AQ408" s="453">
        <v>0</v>
      </c>
      <c r="AR408" s="453">
        <v>0</v>
      </c>
      <c r="AS408" s="453">
        <v>0</v>
      </c>
      <c r="AT408" s="453">
        <v>0</v>
      </c>
      <c r="AU408" s="453">
        <v>0</v>
      </c>
      <c r="AV408" s="453">
        <v>0</v>
      </c>
      <c r="AW408" s="453">
        <v>0</v>
      </c>
      <c r="AX408" s="453">
        <v>0</v>
      </c>
      <c r="AY408" s="453">
        <v>0</v>
      </c>
      <c r="AZ408" s="453">
        <v>0</v>
      </c>
      <c r="BA408" s="453">
        <v>0</v>
      </c>
      <c r="BB408" s="453">
        <v>0</v>
      </c>
      <c r="BC408" s="453">
        <v>0</v>
      </c>
      <c r="BD408" s="453">
        <v>0</v>
      </c>
      <c r="BE408" s="105">
        <v>0</v>
      </c>
      <c r="BF408" s="453">
        <v>0</v>
      </c>
      <c r="BG408" s="453">
        <v>0</v>
      </c>
      <c r="BH408" s="105">
        <v>0</v>
      </c>
      <c r="BI408" s="453">
        <v>0</v>
      </c>
      <c r="BJ408" s="453">
        <v>0</v>
      </c>
      <c r="BK408" s="105">
        <v>0</v>
      </c>
      <c r="BL408" s="453">
        <v>0</v>
      </c>
      <c r="BM408" s="453">
        <v>0</v>
      </c>
      <c r="BN408" s="453">
        <v>0</v>
      </c>
      <c r="BO408" s="453">
        <v>0</v>
      </c>
      <c r="BP408" s="453">
        <v>0</v>
      </c>
      <c r="BQ408" s="453">
        <v>0</v>
      </c>
      <c r="BR408" s="14">
        <v>0</v>
      </c>
      <c r="BS408" s="14">
        <v>0</v>
      </c>
      <c r="BT408" s="377" t="str">
        <v/>
      </c>
      <c r="BU408" s="105" t="str">
        <v/>
      </c>
      <c r="BV408" s="453" t="str">
        <v/>
      </c>
      <c r="BW408" s="105" t="str">
        <f ca="1"/>
        <v/>
      </c>
    </row>
    <row r="409" spans="1:75" x14ac:dyDescent="0.3">
      <c r="A409" s="1">
        <v>0</v>
      </c>
      <c r="B409" s="106">
        <v>0</v>
      </c>
      <c r="C409" s="14">
        <v>0</v>
      </c>
      <c r="D409" s="14">
        <v>0</v>
      </c>
      <c r="E409" s="14">
        <v>0</v>
      </c>
      <c r="F409" s="453">
        <v>0</v>
      </c>
      <c r="G409" s="377">
        <v>0</v>
      </c>
      <c r="H409" s="453">
        <v>0</v>
      </c>
      <c r="I409" s="453">
        <v>0</v>
      </c>
      <c r="J409" s="453">
        <v>0</v>
      </c>
      <c r="K409" s="453">
        <v>0</v>
      </c>
      <c r="L409" s="453">
        <v>0</v>
      </c>
      <c r="M409" s="453">
        <v>0</v>
      </c>
      <c r="N409" s="453">
        <v>0</v>
      </c>
      <c r="O409" s="453">
        <v>0</v>
      </c>
      <c r="P409" s="14">
        <v>0</v>
      </c>
      <c r="Q409" s="14">
        <v>0</v>
      </c>
      <c r="R409" s="453">
        <v>0</v>
      </c>
      <c r="S409" s="453">
        <v>0</v>
      </c>
      <c r="T409" s="453">
        <v>0</v>
      </c>
      <c r="U409" s="453">
        <v>0</v>
      </c>
      <c r="V409" s="453">
        <v>0</v>
      </c>
      <c r="W409" s="453">
        <v>0</v>
      </c>
      <c r="X409" s="453">
        <v>0</v>
      </c>
      <c r="Y409" s="453">
        <v>0</v>
      </c>
      <c r="Z409" s="453">
        <v>0</v>
      </c>
      <c r="AA409" s="14">
        <v>0</v>
      </c>
      <c r="AB409" s="14">
        <v>0</v>
      </c>
      <c r="AC409" s="453">
        <v>0</v>
      </c>
      <c r="AD409" s="14">
        <v>0</v>
      </c>
      <c r="AE409" s="14">
        <v>0</v>
      </c>
      <c r="AF409" s="14">
        <v>0</v>
      </c>
      <c r="AG409" s="14">
        <v>0</v>
      </c>
      <c r="AH409" s="14">
        <v>0</v>
      </c>
      <c r="AI409" s="14">
        <v>0</v>
      </c>
      <c r="AJ409" s="14">
        <v>0</v>
      </c>
      <c r="AK409" s="14">
        <v>0</v>
      </c>
      <c r="AL409" s="14">
        <v>0</v>
      </c>
      <c r="AM409" s="453">
        <v>0</v>
      </c>
      <c r="AN409" s="453">
        <v>0</v>
      </c>
      <c r="AO409" s="453">
        <v>0</v>
      </c>
      <c r="AP409" s="453">
        <v>0</v>
      </c>
      <c r="AQ409" s="453">
        <v>0</v>
      </c>
      <c r="AR409" s="453">
        <v>0</v>
      </c>
      <c r="AS409" s="453">
        <v>0</v>
      </c>
      <c r="AT409" s="453">
        <v>0</v>
      </c>
      <c r="AU409" s="453">
        <v>0</v>
      </c>
      <c r="AV409" s="453">
        <v>0</v>
      </c>
      <c r="AW409" s="453">
        <v>0</v>
      </c>
      <c r="AX409" s="453">
        <v>0</v>
      </c>
      <c r="AY409" s="453">
        <v>0</v>
      </c>
      <c r="AZ409" s="453">
        <v>0</v>
      </c>
      <c r="BA409" s="453">
        <v>0</v>
      </c>
      <c r="BB409" s="453">
        <v>0</v>
      </c>
      <c r="BC409" s="453">
        <v>0</v>
      </c>
      <c r="BD409" s="453">
        <v>0</v>
      </c>
      <c r="BE409" s="105">
        <v>0</v>
      </c>
      <c r="BF409" s="453">
        <v>0</v>
      </c>
      <c r="BG409" s="453">
        <v>0</v>
      </c>
      <c r="BH409" s="105">
        <v>0</v>
      </c>
      <c r="BI409" s="453">
        <v>0</v>
      </c>
      <c r="BJ409" s="453">
        <v>0</v>
      </c>
      <c r="BK409" s="105">
        <v>0</v>
      </c>
      <c r="BL409" s="453">
        <v>0</v>
      </c>
      <c r="BM409" s="453">
        <v>0</v>
      </c>
      <c r="BN409" s="453">
        <v>0</v>
      </c>
      <c r="BO409" s="453">
        <v>0</v>
      </c>
      <c r="BP409" s="453">
        <v>0</v>
      </c>
      <c r="BQ409" s="453">
        <v>0</v>
      </c>
      <c r="BR409" s="14">
        <v>0</v>
      </c>
      <c r="BS409" s="14">
        <v>0</v>
      </c>
      <c r="BT409" s="377" t="str">
        <v/>
      </c>
      <c r="BU409" s="105" t="str">
        <v/>
      </c>
      <c r="BV409" s="453" t="str">
        <v/>
      </c>
      <c r="BW409" s="105" t="str">
        <f ca="1"/>
        <v/>
      </c>
    </row>
    <row r="410" spans="1:75" x14ac:dyDescent="0.3">
      <c r="A410" s="1">
        <v>0</v>
      </c>
      <c r="B410" s="106">
        <v>0</v>
      </c>
      <c r="C410" s="14">
        <v>0</v>
      </c>
      <c r="D410" s="14">
        <v>0</v>
      </c>
      <c r="E410" s="14">
        <v>0</v>
      </c>
      <c r="F410" s="453">
        <v>0</v>
      </c>
      <c r="G410" s="377">
        <v>0</v>
      </c>
      <c r="H410" s="453">
        <v>0</v>
      </c>
      <c r="I410" s="453">
        <v>0</v>
      </c>
      <c r="J410" s="453">
        <v>0</v>
      </c>
      <c r="K410" s="453">
        <v>0</v>
      </c>
      <c r="L410" s="453">
        <v>0</v>
      </c>
      <c r="M410" s="453">
        <v>0</v>
      </c>
      <c r="N410" s="453">
        <v>0</v>
      </c>
      <c r="O410" s="453">
        <v>0</v>
      </c>
      <c r="P410" s="14">
        <v>0</v>
      </c>
      <c r="Q410" s="14">
        <v>0</v>
      </c>
      <c r="R410" s="453">
        <v>0</v>
      </c>
      <c r="S410" s="453">
        <v>0</v>
      </c>
      <c r="T410" s="453">
        <v>0</v>
      </c>
      <c r="U410" s="453">
        <v>0</v>
      </c>
      <c r="V410" s="453">
        <v>0</v>
      </c>
      <c r="W410" s="453">
        <v>0</v>
      </c>
      <c r="X410" s="453">
        <v>0</v>
      </c>
      <c r="Y410" s="453">
        <v>0</v>
      </c>
      <c r="Z410" s="453">
        <v>0</v>
      </c>
      <c r="AA410" s="14">
        <v>0</v>
      </c>
      <c r="AB410" s="14">
        <v>0</v>
      </c>
      <c r="AC410" s="453">
        <v>0</v>
      </c>
      <c r="AD410" s="14">
        <v>0</v>
      </c>
      <c r="AE410" s="14">
        <v>0</v>
      </c>
      <c r="AF410" s="14">
        <v>0</v>
      </c>
      <c r="AG410" s="14">
        <v>0</v>
      </c>
      <c r="AH410" s="14">
        <v>0</v>
      </c>
      <c r="AI410" s="14">
        <v>0</v>
      </c>
      <c r="AJ410" s="14">
        <v>0</v>
      </c>
      <c r="AK410" s="14">
        <v>0</v>
      </c>
      <c r="AL410" s="14">
        <v>0</v>
      </c>
      <c r="AM410" s="453">
        <v>0</v>
      </c>
      <c r="AN410" s="453">
        <v>0</v>
      </c>
      <c r="AO410" s="453">
        <v>0</v>
      </c>
      <c r="AP410" s="453">
        <v>0</v>
      </c>
      <c r="AQ410" s="453">
        <v>0</v>
      </c>
      <c r="AR410" s="453">
        <v>0</v>
      </c>
      <c r="AS410" s="453">
        <v>0</v>
      </c>
      <c r="AT410" s="453">
        <v>0</v>
      </c>
      <c r="AU410" s="453">
        <v>0</v>
      </c>
      <c r="AV410" s="453">
        <v>0</v>
      </c>
      <c r="AW410" s="453">
        <v>0</v>
      </c>
      <c r="AX410" s="453">
        <v>0</v>
      </c>
      <c r="AY410" s="453">
        <v>0</v>
      </c>
      <c r="AZ410" s="453">
        <v>0</v>
      </c>
      <c r="BA410" s="453">
        <v>0</v>
      </c>
      <c r="BB410" s="453">
        <v>0</v>
      </c>
      <c r="BC410" s="453">
        <v>0</v>
      </c>
      <c r="BD410" s="453">
        <v>0</v>
      </c>
      <c r="BE410" s="105">
        <v>0</v>
      </c>
      <c r="BF410" s="453">
        <v>0</v>
      </c>
      <c r="BG410" s="453">
        <v>0</v>
      </c>
      <c r="BH410" s="105">
        <v>0</v>
      </c>
      <c r="BI410" s="453">
        <v>0</v>
      </c>
      <c r="BJ410" s="453">
        <v>0</v>
      </c>
      <c r="BK410" s="105">
        <v>0</v>
      </c>
      <c r="BL410" s="453">
        <v>0</v>
      </c>
      <c r="BM410" s="453">
        <v>0</v>
      </c>
      <c r="BN410" s="453">
        <v>0</v>
      </c>
      <c r="BO410" s="453">
        <v>0</v>
      </c>
      <c r="BP410" s="453">
        <v>0</v>
      </c>
      <c r="BQ410" s="453">
        <v>0</v>
      </c>
      <c r="BR410" s="14">
        <v>0</v>
      </c>
      <c r="BS410" s="14">
        <v>0</v>
      </c>
      <c r="BT410" s="377" t="str">
        <v/>
      </c>
      <c r="BU410" s="105" t="str">
        <v/>
      </c>
      <c r="BV410" s="453" t="str">
        <v/>
      </c>
      <c r="BW410" s="105" t="str">
        <f ca="1"/>
        <v/>
      </c>
    </row>
    <row r="411" spans="1:75" x14ac:dyDescent="0.3">
      <c r="A411" s="1">
        <v>0</v>
      </c>
      <c r="B411" s="106">
        <v>0</v>
      </c>
      <c r="C411" s="14">
        <v>0</v>
      </c>
      <c r="D411" s="14">
        <v>0</v>
      </c>
      <c r="E411" s="14">
        <v>0</v>
      </c>
      <c r="F411" s="453">
        <v>0</v>
      </c>
      <c r="G411" s="377">
        <v>0</v>
      </c>
      <c r="H411" s="453">
        <v>0</v>
      </c>
      <c r="I411" s="453">
        <v>0</v>
      </c>
      <c r="J411" s="453">
        <v>0</v>
      </c>
      <c r="K411" s="453">
        <v>0</v>
      </c>
      <c r="L411" s="453">
        <v>0</v>
      </c>
      <c r="M411" s="453">
        <v>0</v>
      </c>
      <c r="N411" s="453">
        <v>0</v>
      </c>
      <c r="O411" s="453">
        <v>0</v>
      </c>
      <c r="P411" s="14">
        <v>0</v>
      </c>
      <c r="Q411" s="14">
        <v>0</v>
      </c>
      <c r="R411" s="453">
        <v>0</v>
      </c>
      <c r="S411" s="453">
        <v>0</v>
      </c>
      <c r="T411" s="453">
        <v>0</v>
      </c>
      <c r="U411" s="453">
        <v>0</v>
      </c>
      <c r="V411" s="453">
        <v>0</v>
      </c>
      <c r="W411" s="453">
        <v>0</v>
      </c>
      <c r="X411" s="453">
        <v>0</v>
      </c>
      <c r="Y411" s="453">
        <v>0</v>
      </c>
      <c r="Z411" s="453">
        <v>0</v>
      </c>
      <c r="AA411" s="14">
        <v>0</v>
      </c>
      <c r="AB411" s="14">
        <v>0</v>
      </c>
      <c r="AC411" s="453">
        <v>0</v>
      </c>
      <c r="AD411" s="14">
        <v>0</v>
      </c>
      <c r="AE411" s="14">
        <v>0</v>
      </c>
      <c r="AF411" s="14">
        <v>0</v>
      </c>
      <c r="AG411" s="14">
        <v>0</v>
      </c>
      <c r="AH411" s="14">
        <v>0</v>
      </c>
      <c r="AI411" s="14">
        <v>0</v>
      </c>
      <c r="AJ411" s="14">
        <v>0</v>
      </c>
      <c r="AK411" s="14">
        <v>0</v>
      </c>
      <c r="AL411" s="14">
        <v>0</v>
      </c>
      <c r="AM411" s="453">
        <v>0</v>
      </c>
      <c r="AN411" s="453">
        <v>0</v>
      </c>
      <c r="AO411" s="453">
        <v>0</v>
      </c>
      <c r="AP411" s="453">
        <v>0</v>
      </c>
      <c r="AQ411" s="453">
        <v>0</v>
      </c>
      <c r="AR411" s="453">
        <v>0</v>
      </c>
      <c r="AS411" s="453">
        <v>0</v>
      </c>
      <c r="AT411" s="453">
        <v>0</v>
      </c>
      <c r="AU411" s="453">
        <v>0</v>
      </c>
      <c r="AV411" s="453">
        <v>0</v>
      </c>
      <c r="AW411" s="453">
        <v>0</v>
      </c>
      <c r="AX411" s="453">
        <v>0</v>
      </c>
      <c r="AY411" s="453">
        <v>0</v>
      </c>
      <c r="AZ411" s="453">
        <v>0</v>
      </c>
      <c r="BA411" s="453">
        <v>0</v>
      </c>
      <c r="BB411" s="453">
        <v>0</v>
      </c>
      <c r="BC411" s="453">
        <v>0</v>
      </c>
      <c r="BD411" s="453">
        <v>0</v>
      </c>
      <c r="BE411" s="105">
        <v>0</v>
      </c>
      <c r="BF411" s="453">
        <v>0</v>
      </c>
      <c r="BG411" s="453">
        <v>0</v>
      </c>
      <c r="BH411" s="105">
        <v>0</v>
      </c>
      <c r="BI411" s="453">
        <v>0</v>
      </c>
      <c r="BJ411" s="453">
        <v>0</v>
      </c>
      <c r="BK411" s="105">
        <v>0</v>
      </c>
      <c r="BL411" s="453">
        <v>0</v>
      </c>
      <c r="BM411" s="453">
        <v>0</v>
      </c>
      <c r="BN411" s="453">
        <v>0</v>
      </c>
      <c r="BO411" s="453">
        <v>0</v>
      </c>
      <c r="BP411" s="453">
        <v>0</v>
      </c>
      <c r="BQ411" s="453">
        <v>0</v>
      </c>
      <c r="BR411" s="14">
        <v>0</v>
      </c>
      <c r="BS411" s="14">
        <v>0</v>
      </c>
      <c r="BT411" s="377" t="str">
        <v/>
      </c>
      <c r="BU411" s="105" t="str">
        <v/>
      </c>
      <c r="BV411" s="453" t="str">
        <v/>
      </c>
      <c r="BW411" s="105" t="str">
        <f ca="1"/>
        <v/>
      </c>
    </row>
    <row r="412" spans="1:75" x14ac:dyDescent="0.3">
      <c r="A412" s="1">
        <v>0</v>
      </c>
      <c r="B412" s="106">
        <v>0</v>
      </c>
      <c r="C412" s="14">
        <v>0</v>
      </c>
      <c r="D412" s="14">
        <v>0</v>
      </c>
      <c r="E412" s="14">
        <v>0</v>
      </c>
      <c r="F412" s="453">
        <v>0</v>
      </c>
      <c r="G412" s="377">
        <v>0</v>
      </c>
      <c r="H412" s="453">
        <v>0</v>
      </c>
      <c r="I412" s="453">
        <v>0</v>
      </c>
      <c r="J412" s="453">
        <v>0</v>
      </c>
      <c r="K412" s="453">
        <v>0</v>
      </c>
      <c r="L412" s="453">
        <v>0</v>
      </c>
      <c r="M412" s="453">
        <v>0</v>
      </c>
      <c r="N412" s="453">
        <v>0</v>
      </c>
      <c r="O412" s="453">
        <v>0</v>
      </c>
      <c r="P412" s="14">
        <v>0</v>
      </c>
      <c r="Q412" s="14">
        <v>0</v>
      </c>
      <c r="R412" s="453">
        <v>0</v>
      </c>
      <c r="S412" s="453">
        <v>0</v>
      </c>
      <c r="T412" s="453">
        <v>0</v>
      </c>
      <c r="U412" s="453">
        <v>0</v>
      </c>
      <c r="V412" s="453">
        <v>0</v>
      </c>
      <c r="W412" s="453">
        <v>0</v>
      </c>
      <c r="X412" s="453">
        <v>0</v>
      </c>
      <c r="Y412" s="453">
        <v>0</v>
      </c>
      <c r="Z412" s="453">
        <v>0</v>
      </c>
      <c r="AA412" s="14">
        <v>0</v>
      </c>
      <c r="AB412" s="14">
        <v>0</v>
      </c>
      <c r="AC412" s="453">
        <v>0</v>
      </c>
      <c r="AD412" s="14">
        <v>0</v>
      </c>
      <c r="AE412" s="14">
        <v>0</v>
      </c>
      <c r="AF412" s="14">
        <v>0</v>
      </c>
      <c r="AG412" s="14">
        <v>0</v>
      </c>
      <c r="AH412" s="14">
        <v>0</v>
      </c>
      <c r="AI412" s="14">
        <v>0</v>
      </c>
      <c r="AJ412" s="14">
        <v>0</v>
      </c>
      <c r="AK412" s="14">
        <v>0</v>
      </c>
      <c r="AL412" s="14">
        <v>0</v>
      </c>
      <c r="AM412" s="453">
        <v>0</v>
      </c>
      <c r="AN412" s="453">
        <v>0</v>
      </c>
      <c r="AO412" s="453">
        <v>0</v>
      </c>
      <c r="AP412" s="453">
        <v>0</v>
      </c>
      <c r="AQ412" s="453">
        <v>0</v>
      </c>
      <c r="AR412" s="453">
        <v>0</v>
      </c>
      <c r="AS412" s="453">
        <v>0</v>
      </c>
      <c r="AT412" s="453">
        <v>0</v>
      </c>
      <c r="AU412" s="453">
        <v>0</v>
      </c>
      <c r="AV412" s="453">
        <v>0</v>
      </c>
      <c r="AW412" s="453">
        <v>0</v>
      </c>
      <c r="AX412" s="453">
        <v>0</v>
      </c>
      <c r="AY412" s="453">
        <v>0</v>
      </c>
      <c r="AZ412" s="453">
        <v>0</v>
      </c>
      <c r="BA412" s="453">
        <v>0</v>
      </c>
      <c r="BB412" s="453">
        <v>0</v>
      </c>
      <c r="BC412" s="453">
        <v>0</v>
      </c>
      <c r="BD412" s="453">
        <v>0</v>
      </c>
      <c r="BE412" s="105">
        <v>0</v>
      </c>
      <c r="BF412" s="453">
        <v>0</v>
      </c>
      <c r="BG412" s="453">
        <v>0</v>
      </c>
      <c r="BH412" s="105">
        <v>0</v>
      </c>
      <c r="BI412" s="453">
        <v>0</v>
      </c>
      <c r="BJ412" s="453">
        <v>0</v>
      </c>
      <c r="BK412" s="105">
        <v>0</v>
      </c>
      <c r="BL412" s="453">
        <v>0</v>
      </c>
      <c r="BM412" s="453">
        <v>0</v>
      </c>
      <c r="BN412" s="453">
        <v>0</v>
      </c>
      <c r="BO412" s="453">
        <v>0</v>
      </c>
      <c r="BP412" s="453">
        <v>0</v>
      </c>
      <c r="BQ412" s="453">
        <v>0</v>
      </c>
      <c r="BR412" s="14">
        <v>0</v>
      </c>
      <c r="BS412" s="14">
        <v>0</v>
      </c>
      <c r="BT412" s="377" t="str">
        <v/>
      </c>
      <c r="BU412" s="105" t="str">
        <v/>
      </c>
      <c r="BV412" s="453" t="str">
        <v/>
      </c>
      <c r="BW412" s="105" t="str">
        <f ca="1"/>
        <v/>
      </c>
    </row>
    <row r="413" spans="1:75" x14ac:dyDescent="0.3">
      <c r="A413" s="1">
        <v>0</v>
      </c>
      <c r="B413" s="106">
        <v>0</v>
      </c>
      <c r="C413" s="14">
        <v>0</v>
      </c>
      <c r="D413" s="14">
        <v>0</v>
      </c>
      <c r="E413" s="14">
        <v>0</v>
      </c>
      <c r="F413" s="453">
        <v>0</v>
      </c>
      <c r="G413" s="377">
        <v>0</v>
      </c>
      <c r="H413" s="453">
        <v>0</v>
      </c>
      <c r="I413" s="453">
        <v>0</v>
      </c>
      <c r="J413" s="453">
        <v>0</v>
      </c>
      <c r="K413" s="453">
        <v>0</v>
      </c>
      <c r="L413" s="453">
        <v>0</v>
      </c>
      <c r="M413" s="453">
        <v>0</v>
      </c>
      <c r="N413" s="453">
        <v>0</v>
      </c>
      <c r="O413" s="453">
        <v>0</v>
      </c>
      <c r="P413" s="14">
        <v>0</v>
      </c>
      <c r="Q413" s="14">
        <v>0</v>
      </c>
      <c r="R413" s="453">
        <v>0</v>
      </c>
      <c r="S413" s="453">
        <v>0</v>
      </c>
      <c r="T413" s="453">
        <v>0</v>
      </c>
      <c r="U413" s="453">
        <v>0</v>
      </c>
      <c r="V413" s="453">
        <v>0</v>
      </c>
      <c r="W413" s="453">
        <v>0</v>
      </c>
      <c r="X413" s="453">
        <v>0</v>
      </c>
      <c r="Y413" s="453">
        <v>0</v>
      </c>
      <c r="Z413" s="453">
        <v>0</v>
      </c>
      <c r="AA413" s="14">
        <v>0</v>
      </c>
      <c r="AB413" s="14">
        <v>0</v>
      </c>
      <c r="AC413" s="453">
        <v>0</v>
      </c>
      <c r="AD413" s="14">
        <v>0</v>
      </c>
      <c r="AE413" s="14">
        <v>0</v>
      </c>
      <c r="AF413" s="14">
        <v>0</v>
      </c>
      <c r="AG413" s="14">
        <v>0</v>
      </c>
      <c r="AH413" s="14">
        <v>0</v>
      </c>
      <c r="AI413" s="14">
        <v>0</v>
      </c>
      <c r="AJ413" s="14">
        <v>0</v>
      </c>
      <c r="AK413" s="14">
        <v>0</v>
      </c>
      <c r="AL413" s="14">
        <v>0</v>
      </c>
      <c r="AM413" s="453">
        <v>0</v>
      </c>
      <c r="AN413" s="453">
        <v>0</v>
      </c>
      <c r="AO413" s="453">
        <v>0</v>
      </c>
      <c r="AP413" s="453">
        <v>0</v>
      </c>
      <c r="AQ413" s="453">
        <v>0</v>
      </c>
      <c r="AR413" s="453">
        <v>0</v>
      </c>
      <c r="AS413" s="453">
        <v>0</v>
      </c>
      <c r="AT413" s="453">
        <v>0</v>
      </c>
      <c r="AU413" s="453">
        <v>0</v>
      </c>
      <c r="AV413" s="453">
        <v>0</v>
      </c>
      <c r="AW413" s="453">
        <v>0</v>
      </c>
      <c r="AX413" s="453">
        <v>0</v>
      </c>
      <c r="AY413" s="453">
        <v>0</v>
      </c>
      <c r="AZ413" s="453">
        <v>0</v>
      </c>
      <c r="BA413" s="453">
        <v>0</v>
      </c>
      <c r="BB413" s="453">
        <v>0</v>
      </c>
      <c r="BC413" s="453">
        <v>0</v>
      </c>
      <c r="BD413" s="453">
        <v>0</v>
      </c>
      <c r="BE413" s="105">
        <v>0</v>
      </c>
      <c r="BF413" s="453">
        <v>0</v>
      </c>
      <c r="BG413" s="453">
        <v>0</v>
      </c>
      <c r="BH413" s="105">
        <v>0</v>
      </c>
      <c r="BI413" s="453">
        <v>0</v>
      </c>
      <c r="BJ413" s="453">
        <v>0</v>
      </c>
      <c r="BK413" s="105">
        <v>0</v>
      </c>
      <c r="BL413" s="453">
        <v>0</v>
      </c>
      <c r="BM413" s="453">
        <v>0</v>
      </c>
      <c r="BN413" s="453">
        <v>0</v>
      </c>
      <c r="BO413" s="453">
        <v>0</v>
      </c>
      <c r="BP413" s="453">
        <v>0</v>
      </c>
      <c r="BQ413" s="453">
        <v>0</v>
      </c>
      <c r="BR413" s="14">
        <v>0</v>
      </c>
      <c r="BS413" s="14">
        <v>0</v>
      </c>
      <c r="BT413" s="377" t="str">
        <v/>
      </c>
      <c r="BU413" s="105" t="str">
        <v/>
      </c>
      <c r="BV413" s="453" t="str">
        <v/>
      </c>
      <c r="BW413" s="105" t="str">
        <f ca="1"/>
        <v/>
      </c>
    </row>
    <row r="414" spans="1:75" x14ac:dyDescent="0.3">
      <c r="A414" s="1">
        <v>0</v>
      </c>
      <c r="B414" s="106">
        <v>0</v>
      </c>
      <c r="C414" s="14">
        <v>0</v>
      </c>
      <c r="D414" s="14">
        <v>0</v>
      </c>
      <c r="E414" s="14">
        <v>0</v>
      </c>
      <c r="F414" s="453">
        <v>0</v>
      </c>
      <c r="G414" s="377">
        <v>0</v>
      </c>
      <c r="H414" s="453">
        <v>0</v>
      </c>
      <c r="I414" s="453">
        <v>0</v>
      </c>
      <c r="J414" s="453">
        <v>0</v>
      </c>
      <c r="K414" s="453">
        <v>0</v>
      </c>
      <c r="L414" s="453">
        <v>0</v>
      </c>
      <c r="M414" s="453">
        <v>0</v>
      </c>
      <c r="N414" s="453">
        <v>0</v>
      </c>
      <c r="O414" s="453">
        <v>0</v>
      </c>
      <c r="P414" s="14">
        <v>0</v>
      </c>
      <c r="Q414" s="14">
        <v>0</v>
      </c>
      <c r="R414" s="453">
        <v>0</v>
      </c>
      <c r="S414" s="453">
        <v>0</v>
      </c>
      <c r="T414" s="453">
        <v>0</v>
      </c>
      <c r="U414" s="453">
        <v>0</v>
      </c>
      <c r="V414" s="453">
        <v>0</v>
      </c>
      <c r="W414" s="453">
        <v>0</v>
      </c>
      <c r="X414" s="453">
        <v>0</v>
      </c>
      <c r="Y414" s="453">
        <v>0</v>
      </c>
      <c r="Z414" s="453">
        <v>0</v>
      </c>
      <c r="AA414" s="14">
        <v>0</v>
      </c>
      <c r="AB414" s="14">
        <v>0</v>
      </c>
      <c r="AC414" s="453">
        <v>0</v>
      </c>
      <c r="AD414" s="14">
        <v>0</v>
      </c>
      <c r="AE414" s="14">
        <v>0</v>
      </c>
      <c r="AF414" s="14">
        <v>0</v>
      </c>
      <c r="AG414" s="14">
        <v>0</v>
      </c>
      <c r="AH414" s="14">
        <v>0</v>
      </c>
      <c r="AI414" s="14">
        <v>0</v>
      </c>
      <c r="AJ414" s="14">
        <v>0</v>
      </c>
      <c r="AK414" s="14">
        <v>0</v>
      </c>
      <c r="AL414" s="14">
        <v>0</v>
      </c>
      <c r="AM414" s="453">
        <v>0</v>
      </c>
      <c r="AN414" s="453">
        <v>0</v>
      </c>
      <c r="AO414" s="453">
        <v>0</v>
      </c>
      <c r="AP414" s="453">
        <v>0</v>
      </c>
      <c r="AQ414" s="453">
        <v>0</v>
      </c>
      <c r="AR414" s="453">
        <v>0</v>
      </c>
      <c r="AS414" s="453">
        <v>0</v>
      </c>
      <c r="AT414" s="453">
        <v>0</v>
      </c>
      <c r="AU414" s="453">
        <v>0</v>
      </c>
      <c r="AV414" s="453">
        <v>0</v>
      </c>
      <c r="AW414" s="453">
        <v>0</v>
      </c>
      <c r="AX414" s="453">
        <v>0</v>
      </c>
      <c r="AY414" s="453">
        <v>0</v>
      </c>
      <c r="AZ414" s="453">
        <v>0</v>
      </c>
      <c r="BA414" s="453">
        <v>0</v>
      </c>
      <c r="BB414" s="453">
        <v>0</v>
      </c>
      <c r="BC414" s="453">
        <v>0</v>
      </c>
      <c r="BD414" s="453">
        <v>0</v>
      </c>
      <c r="BE414" s="105">
        <v>0</v>
      </c>
      <c r="BF414" s="453">
        <v>0</v>
      </c>
      <c r="BG414" s="453">
        <v>0</v>
      </c>
      <c r="BH414" s="105">
        <v>0</v>
      </c>
      <c r="BI414" s="453">
        <v>0</v>
      </c>
      <c r="BJ414" s="453">
        <v>0</v>
      </c>
      <c r="BK414" s="105">
        <v>0</v>
      </c>
      <c r="BL414" s="453">
        <v>0</v>
      </c>
      <c r="BM414" s="453">
        <v>0</v>
      </c>
      <c r="BN414" s="453">
        <v>0</v>
      </c>
      <c r="BO414" s="453">
        <v>0</v>
      </c>
      <c r="BP414" s="453">
        <v>0</v>
      </c>
      <c r="BQ414" s="453">
        <v>0</v>
      </c>
      <c r="BR414" s="14">
        <v>0</v>
      </c>
      <c r="BS414" s="14">
        <v>0</v>
      </c>
      <c r="BT414" s="377" t="str">
        <v/>
      </c>
      <c r="BU414" s="105" t="str">
        <v/>
      </c>
      <c r="BV414" s="453" t="str">
        <v/>
      </c>
      <c r="BW414" s="105" t="str">
        <f ca="1"/>
        <v/>
      </c>
    </row>
    <row r="415" spans="1:75" x14ac:dyDescent="0.3">
      <c r="A415" s="1">
        <v>0</v>
      </c>
      <c r="B415" s="106">
        <v>0</v>
      </c>
      <c r="C415" s="14">
        <v>0</v>
      </c>
      <c r="D415" s="14">
        <v>0</v>
      </c>
      <c r="E415" s="14">
        <v>0</v>
      </c>
      <c r="F415" s="453">
        <v>0</v>
      </c>
      <c r="G415" s="377">
        <v>0</v>
      </c>
      <c r="H415" s="453">
        <v>0</v>
      </c>
      <c r="I415" s="453">
        <v>0</v>
      </c>
      <c r="J415" s="453">
        <v>0</v>
      </c>
      <c r="K415" s="453">
        <v>0</v>
      </c>
      <c r="L415" s="453">
        <v>0</v>
      </c>
      <c r="M415" s="453">
        <v>0</v>
      </c>
      <c r="N415" s="453">
        <v>0</v>
      </c>
      <c r="O415" s="453">
        <v>0</v>
      </c>
      <c r="P415" s="14">
        <v>0</v>
      </c>
      <c r="Q415" s="14">
        <v>0</v>
      </c>
      <c r="R415" s="453">
        <v>0</v>
      </c>
      <c r="S415" s="453">
        <v>0</v>
      </c>
      <c r="T415" s="453">
        <v>0</v>
      </c>
      <c r="U415" s="453">
        <v>0</v>
      </c>
      <c r="V415" s="453">
        <v>0</v>
      </c>
      <c r="W415" s="453">
        <v>0</v>
      </c>
      <c r="X415" s="453">
        <v>0</v>
      </c>
      <c r="Y415" s="453">
        <v>0</v>
      </c>
      <c r="Z415" s="453">
        <v>0</v>
      </c>
      <c r="AA415" s="14">
        <v>0</v>
      </c>
      <c r="AB415" s="14">
        <v>0</v>
      </c>
      <c r="AC415" s="453">
        <v>0</v>
      </c>
      <c r="AD415" s="14">
        <v>0</v>
      </c>
      <c r="AE415" s="14">
        <v>0</v>
      </c>
      <c r="AF415" s="14">
        <v>0</v>
      </c>
      <c r="AG415" s="14">
        <v>0</v>
      </c>
      <c r="AH415" s="14">
        <v>0</v>
      </c>
      <c r="AI415" s="14">
        <v>0</v>
      </c>
      <c r="AJ415" s="14">
        <v>0</v>
      </c>
      <c r="AK415" s="14">
        <v>0</v>
      </c>
      <c r="AL415" s="14">
        <v>0</v>
      </c>
      <c r="AM415" s="453">
        <v>0</v>
      </c>
      <c r="AN415" s="453">
        <v>0</v>
      </c>
      <c r="AO415" s="453">
        <v>0</v>
      </c>
      <c r="AP415" s="453">
        <v>0</v>
      </c>
      <c r="AQ415" s="453">
        <v>0</v>
      </c>
      <c r="AR415" s="453">
        <v>0</v>
      </c>
      <c r="AS415" s="453">
        <v>0</v>
      </c>
      <c r="AT415" s="453">
        <v>0</v>
      </c>
      <c r="AU415" s="453">
        <v>0</v>
      </c>
      <c r="AV415" s="453">
        <v>0</v>
      </c>
      <c r="AW415" s="453">
        <v>0</v>
      </c>
      <c r="AX415" s="453">
        <v>0</v>
      </c>
      <c r="AY415" s="453">
        <v>0</v>
      </c>
      <c r="AZ415" s="453">
        <v>0</v>
      </c>
      <c r="BA415" s="453">
        <v>0</v>
      </c>
      <c r="BB415" s="453">
        <v>0</v>
      </c>
      <c r="BC415" s="453">
        <v>0</v>
      </c>
      <c r="BD415" s="453">
        <v>0</v>
      </c>
      <c r="BE415" s="105">
        <v>0</v>
      </c>
      <c r="BF415" s="453">
        <v>0</v>
      </c>
      <c r="BG415" s="453">
        <v>0</v>
      </c>
      <c r="BH415" s="105">
        <v>0</v>
      </c>
      <c r="BI415" s="453">
        <v>0</v>
      </c>
      <c r="BJ415" s="453">
        <v>0</v>
      </c>
      <c r="BK415" s="105">
        <v>0</v>
      </c>
      <c r="BL415" s="453">
        <v>0</v>
      </c>
      <c r="BM415" s="453">
        <v>0</v>
      </c>
      <c r="BN415" s="453">
        <v>0</v>
      </c>
      <c r="BO415" s="453">
        <v>0</v>
      </c>
      <c r="BP415" s="453">
        <v>0</v>
      </c>
      <c r="BQ415" s="453">
        <v>0</v>
      </c>
      <c r="BR415" s="14">
        <v>0</v>
      </c>
      <c r="BS415" s="14">
        <v>0</v>
      </c>
      <c r="BT415" s="377" t="str">
        <v/>
      </c>
      <c r="BU415" s="105" t="str">
        <v/>
      </c>
      <c r="BV415" s="453" t="str">
        <v/>
      </c>
      <c r="BW415" s="105" t="str">
        <f ca="1"/>
        <v/>
      </c>
    </row>
    <row r="416" spans="1:75" x14ac:dyDescent="0.3">
      <c r="A416" s="1">
        <v>0</v>
      </c>
      <c r="B416" s="106">
        <v>0</v>
      </c>
      <c r="C416" s="14">
        <v>0</v>
      </c>
      <c r="D416" s="14">
        <v>0</v>
      </c>
      <c r="E416" s="14">
        <v>0</v>
      </c>
      <c r="F416" s="453">
        <v>0</v>
      </c>
      <c r="G416" s="377">
        <v>0</v>
      </c>
      <c r="H416" s="453">
        <v>0</v>
      </c>
      <c r="I416" s="453">
        <v>0</v>
      </c>
      <c r="J416" s="453">
        <v>0</v>
      </c>
      <c r="K416" s="453">
        <v>0</v>
      </c>
      <c r="L416" s="453">
        <v>0</v>
      </c>
      <c r="M416" s="453">
        <v>0</v>
      </c>
      <c r="N416" s="453">
        <v>0</v>
      </c>
      <c r="O416" s="453">
        <v>0</v>
      </c>
      <c r="P416" s="14">
        <v>0</v>
      </c>
      <c r="Q416" s="14">
        <v>0</v>
      </c>
      <c r="R416" s="453">
        <v>0</v>
      </c>
      <c r="S416" s="453">
        <v>0</v>
      </c>
      <c r="T416" s="453">
        <v>0</v>
      </c>
      <c r="U416" s="453">
        <v>0</v>
      </c>
      <c r="V416" s="453">
        <v>0</v>
      </c>
      <c r="W416" s="453">
        <v>0</v>
      </c>
      <c r="X416" s="453">
        <v>0</v>
      </c>
      <c r="Y416" s="453">
        <v>0</v>
      </c>
      <c r="Z416" s="453">
        <v>0</v>
      </c>
      <c r="AA416" s="14">
        <v>0</v>
      </c>
      <c r="AB416" s="14">
        <v>0</v>
      </c>
      <c r="AC416" s="453">
        <v>0</v>
      </c>
      <c r="AD416" s="14">
        <v>0</v>
      </c>
      <c r="AE416" s="14">
        <v>0</v>
      </c>
      <c r="AF416" s="14">
        <v>0</v>
      </c>
      <c r="AG416" s="14">
        <v>0</v>
      </c>
      <c r="AH416" s="14">
        <v>0</v>
      </c>
      <c r="AI416" s="14">
        <v>0</v>
      </c>
      <c r="AJ416" s="14">
        <v>0</v>
      </c>
      <c r="AK416" s="14">
        <v>0</v>
      </c>
      <c r="AL416" s="14">
        <v>0</v>
      </c>
      <c r="AM416" s="453">
        <v>0</v>
      </c>
      <c r="AN416" s="453">
        <v>0</v>
      </c>
      <c r="AO416" s="453">
        <v>0</v>
      </c>
      <c r="AP416" s="453">
        <v>0</v>
      </c>
      <c r="AQ416" s="453">
        <v>0</v>
      </c>
      <c r="AR416" s="453">
        <v>0</v>
      </c>
      <c r="AS416" s="453">
        <v>0</v>
      </c>
      <c r="AT416" s="453">
        <v>0</v>
      </c>
      <c r="AU416" s="453">
        <v>0</v>
      </c>
      <c r="AV416" s="453">
        <v>0</v>
      </c>
      <c r="AW416" s="453">
        <v>0</v>
      </c>
      <c r="AX416" s="453">
        <v>0</v>
      </c>
      <c r="AY416" s="453">
        <v>0</v>
      </c>
      <c r="AZ416" s="453">
        <v>0</v>
      </c>
      <c r="BA416" s="453">
        <v>0</v>
      </c>
      <c r="BB416" s="453">
        <v>0</v>
      </c>
      <c r="BC416" s="453">
        <v>0</v>
      </c>
      <c r="BD416" s="453">
        <v>0</v>
      </c>
      <c r="BE416" s="105">
        <v>0</v>
      </c>
      <c r="BF416" s="453">
        <v>0</v>
      </c>
      <c r="BG416" s="453">
        <v>0</v>
      </c>
      <c r="BH416" s="105">
        <v>0</v>
      </c>
      <c r="BI416" s="453">
        <v>0</v>
      </c>
      <c r="BJ416" s="453">
        <v>0</v>
      </c>
      <c r="BK416" s="105">
        <v>0</v>
      </c>
      <c r="BL416" s="453">
        <v>0</v>
      </c>
      <c r="BM416" s="453">
        <v>0</v>
      </c>
      <c r="BN416" s="453">
        <v>0</v>
      </c>
      <c r="BO416" s="453">
        <v>0</v>
      </c>
      <c r="BP416" s="453">
        <v>0</v>
      </c>
      <c r="BQ416" s="453">
        <v>0</v>
      </c>
      <c r="BR416" s="14">
        <v>0</v>
      </c>
      <c r="BS416" s="14">
        <v>0</v>
      </c>
      <c r="BT416" s="377" t="str">
        <v/>
      </c>
      <c r="BU416" s="105" t="str">
        <v/>
      </c>
      <c r="BV416" s="453" t="str">
        <v/>
      </c>
      <c r="BW416" s="105" t="str">
        <f ca="1"/>
        <v/>
      </c>
    </row>
    <row r="417" spans="1:75" x14ac:dyDescent="0.3">
      <c r="A417" s="1">
        <v>0</v>
      </c>
      <c r="B417" s="106">
        <v>0</v>
      </c>
      <c r="C417" s="14">
        <v>0</v>
      </c>
      <c r="D417" s="14">
        <v>0</v>
      </c>
      <c r="E417" s="14">
        <v>0</v>
      </c>
      <c r="F417" s="453">
        <v>0</v>
      </c>
      <c r="G417" s="377">
        <v>0</v>
      </c>
      <c r="H417" s="453">
        <v>0</v>
      </c>
      <c r="I417" s="453">
        <v>0</v>
      </c>
      <c r="J417" s="453">
        <v>0</v>
      </c>
      <c r="K417" s="453">
        <v>0</v>
      </c>
      <c r="L417" s="453">
        <v>0</v>
      </c>
      <c r="M417" s="453">
        <v>0</v>
      </c>
      <c r="N417" s="453">
        <v>0</v>
      </c>
      <c r="O417" s="453">
        <v>0</v>
      </c>
      <c r="P417" s="14">
        <v>0</v>
      </c>
      <c r="Q417" s="14">
        <v>0</v>
      </c>
      <c r="R417" s="453">
        <v>0</v>
      </c>
      <c r="S417" s="453">
        <v>0</v>
      </c>
      <c r="T417" s="453">
        <v>0</v>
      </c>
      <c r="U417" s="453">
        <v>0</v>
      </c>
      <c r="V417" s="453">
        <v>0</v>
      </c>
      <c r="W417" s="453">
        <v>0</v>
      </c>
      <c r="X417" s="453">
        <v>0</v>
      </c>
      <c r="Y417" s="453">
        <v>0</v>
      </c>
      <c r="Z417" s="453">
        <v>0</v>
      </c>
      <c r="AA417" s="14">
        <v>0</v>
      </c>
      <c r="AB417" s="14">
        <v>0</v>
      </c>
      <c r="AC417" s="453">
        <v>0</v>
      </c>
      <c r="AD417" s="14">
        <v>0</v>
      </c>
      <c r="AE417" s="14">
        <v>0</v>
      </c>
      <c r="AF417" s="14">
        <v>0</v>
      </c>
      <c r="AG417" s="14">
        <v>0</v>
      </c>
      <c r="AH417" s="14">
        <v>0</v>
      </c>
      <c r="AI417" s="14">
        <v>0</v>
      </c>
      <c r="AJ417" s="14">
        <v>0</v>
      </c>
      <c r="AK417" s="14">
        <v>0</v>
      </c>
      <c r="AL417" s="14">
        <v>0</v>
      </c>
      <c r="AM417" s="453">
        <v>0</v>
      </c>
      <c r="AN417" s="453">
        <v>0</v>
      </c>
      <c r="AO417" s="453">
        <v>0</v>
      </c>
      <c r="AP417" s="453">
        <v>0</v>
      </c>
      <c r="AQ417" s="453">
        <v>0</v>
      </c>
      <c r="AR417" s="453">
        <v>0</v>
      </c>
      <c r="AS417" s="453">
        <v>0</v>
      </c>
      <c r="AT417" s="453">
        <v>0</v>
      </c>
      <c r="AU417" s="453">
        <v>0</v>
      </c>
      <c r="AV417" s="453">
        <v>0</v>
      </c>
      <c r="AW417" s="453">
        <v>0</v>
      </c>
      <c r="AX417" s="453">
        <v>0</v>
      </c>
      <c r="AY417" s="453">
        <v>0</v>
      </c>
      <c r="AZ417" s="453">
        <v>0</v>
      </c>
      <c r="BA417" s="453">
        <v>0</v>
      </c>
      <c r="BB417" s="453">
        <v>0</v>
      </c>
      <c r="BC417" s="453">
        <v>0</v>
      </c>
      <c r="BD417" s="453">
        <v>0</v>
      </c>
      <c r="BE417" s="105">
        <v>0</v>
      </c>
      <c r="BF417" s="453">
        <v>0</v>
      </c>
      <c r="BG417" s="453">
        <v>0</v>
      </c>
      <c r="BH417" s="105">
        <v>0</v>
      </c>
      <c r="BI417" s="453">
        <v>0</v>
      </c>
      <c r="BJ417" s="453">
        <v>0</v>
      </c>
      <c r="BK417" s="105">
        <v>0</v>
      </c>
      <c r="BL417" s="453">
        <v>0</v>
      </c>
      <c r="BM417" s="453">
        <v>0</v>
      </c>
      <c r="BN417" s="453">
        <v>0</v>
      </c>
      <c r="BO417" s="453">
        <v>0</v>
      </c>
      <c r="BP417" s="453">
        <v>0</v>
      </c>
      <c r="BQ417" s="453">
        <v>0</v>
      </c>
      <c r="BR417" s="14">
        <v>0</v>
      </c>
      <c r="BS417" s="14">
        <v>0</v>
      </c>
      <c r="BT417" s="377" t="str">
        <v/>
      </c>
      <c r="BU417" s="105" t="str">
        <v/>
      </c>
      <c r="BV417" s="453" t="str">
        <v/>
      </c>
      <c r="BW417" s="105" t="str">
        <f ca="1"/>
        <v/>
      </c>
    </row>
    <row r="418" spans="1:75" x14ac:dyDescent="0.3">
      <c r="A418" s="1">
        <v>0</v>
      </c>
      <c r="B418" s="106">
        <v>0</v>
      </c>
      <c r="C418" s="14">
        <v>0</v>
      </c>
      <c r="D418" s="14">
        <v>0</v>
      </c>
      <c r="E418" s="14">
        <v>0</v>
      </c>
      <c r="F418" s="453">
        <v>0</v>
      </c>
      <c r="G418" s="377">
        <v>0</v>
      </c>
      <c r="H418" s="453">
        <v>0</v>
      </c>
      <c r="I418" s="453">
        <v>0</v>
      </c>
      <c r="J418" s="453">
        <v>0</v>
      </c>
      <c r="K418" s="453">
        <v>0</v>
      </c>
      <c r="L418" s="453">
        <v>0</v>
      </c>
      <c r="M418" s="453">
        <v>0</v>
      </c>
      <c r="N418" s="453">
        <v>0</v>
      </c>
      <c r="O418" s="453">
        <v>0</v>
      </c>
      <c r="P418" s="14">
        <v>0</v>
      </c>
      <c r="Q418" s="14">
        <v>0</v>
      </c>
      <c r="R418" s="453">
        <v>0</v>
      </c>
      <c r="S418" s="453">
        <v>0</v>
      </c>
      <c r="T418" s="453">
        <v>0</v>
      </c>
      <c r="U418" s="453">
        <v>0</v>
      </c>
      <c r="V418" s="453">
        <v>0</v>
      </c>
      <c r="W418" s="453">
        <v>0</v>
      </c>
      <c r="X418" s="453">
        <v>0</v>
      </c>
      <c r="Y418" s="453">
        <v>0</v>
      </c>
      <c r="Z418" s="453">
        <v>0</v>
      </c>
      <c r="AA418" s="14">
        <v>0</v>
      </c>
      <c r="AB418" s="14">
        <v>0</v>
      </c>
      <c r="AC418" s="453">
        <v>0</v>
      </c>
      <c r="AD418" s="14">
        <v>0</v>
      </c>
      <c r="AE418" s="14">
        <v>0</v>
      </c>
      <c r="AF418" s="14">
        <v>0</v>
      </c>
      <c r="AG418" s="14">
        <v>0</v>
      </c>
      <c r="AH418" s="14">
        <v>0</v>
      </c>
      <c r="AI418" s="14">
        <v>0</v>
      </c>
      <c r="AJ418" s="14">
        <v>0</v>
      </c>
      <c r="AK418" s="14">
        <v>0</v>
      </c>
      <c r="AL418" s="14">
        <v>0</v>
      </c>
      <c r="AM418" s="453">
        <v>0</v>
      </c>
      <c r="AN418" s="453">
        <v>0</v>
      </c>
      <c r="AO418" s="453">
        <v>0</v>
      </c>
      <c r="AP418" s="453">
        <v>0</v>
      </c>
      <c r="AQ418" s="453">
        <v>0</v>
      </c>
      <c r="AR418" s="453">
        <v>0</v>
      </c>
      <c r="AS418" s="453">
        <v>0</v>
      </c>
      <c r="AT418" s="453">
        <v>0</v>
      </c>
      <c r="AU418" s="453">
        <v>0</v>
      </c>
      <c r="AV418" s="453">
        <v>0</v>
      </c>
      <c r="AW418" s="453">
        <v>0</v>
      </c>
      <c r="AX418" s="453">
        <v>0</v>
      </c>
      <c r="AY418" s="453">
        <v>0</v>
      </c>
      <c r="AZ418" s="453">
        <v>0</v>
      </c>
      <c r="BA418" s="453">
        <v>0</v>
      </c>
      <c r="BB418" s="453">
        <v>0</v>
      </c>
      <c r="BC418" s="453">
        <v>0</v>
      </c>
      <c r="BD418" s="453">
        <v>0</v>
      </c>
      <c r="BE418" s="105">
        <v>0</v>
      </c>
      <c r="BF418" s="453">
        <v>0</v>
      </c>
      <c r="BG418" s="453">
        <v>0</v>
      </c>
      <c r="BH418" s="105">
        <v>0</v>
      </c>
      <c r="BI418" s="453">
        <v>0</v>
      </c>
      <c r="BJ418" s="453">
        <v>0</v>
      </c>
      <c r="BK418" s="105">
        <v>0</v>
      </c>
      <c r="BL418" s="453">
        <v>0</v>
      </c>
      <c r="BM418" s="453">
        <v>0</v>
      </c>
      <c r="BN418" s="453">
        <v>0</v>
      </c>
      <c r="BO418" s="453">
        <v>0</v>
      </c>
      <c r="BP418" s="453">
        <v>0</v>
      </c>
      <c r="BQ418" s="453">
        <v>0</v>
      </c>
      <c r="BR418" s="14">
        <v>0</v>
      </c>
      <c r="BS418" s="14">
        <v>0</v>
      </c>
      <c r="BT418" s="377" t="str">
        <v/>
      </c>
      <c r="BU418" s="105" t="str">
        <v/>
      </c>
      <c r="BV418" s="453" t="str">
        <v/>
      </c>
      <c r="BW418" s="105" t="str">
        <f ca="1"/>
        <v/>
      </c>
    </row>
    <row r="419" spans="1:75" x14ac:dyDescent="0.3">
      <c r="A419" s="1">
        <v>0</v>
      </c>
      <c r="B419" s="106">
        <v>0</v>
      </c>
      <c r="C419" s="14">
        <v>0</v>
      </c>
      <c r="D419" s="14">
        <v>0</v>
      </c>
      <c r="E419" s="14">
        <v>0</v>
      </c>
      <c r="F419" s="453">
        <v>0</v>
      </c>
      <c r="G419" s="377">
        <v>0</v>
      </c>
      <c r="H419" s="453">
        <v>0</v>
      </c>
      <c r="I419" s="453">
        <v>0</v>
      </c>
      <c r="J419" s="453">
        <v>0</v>
      </c>
      <c r="K419" s="453">
        <v>0</v>
      </c>
      <c r="L419" s="453">
        <v>0</v>
      </c>
      <c r="M419" s="453">
        <v>0</v>
      </c>
      <c r="N419" s="453">
        <v>0</v>
      </c>
      <c r="O419" s="453">
        <v>0</v>
      </c>
      <c r="P419" s="14">
        <v>0</v>
      </c>
      <c r="Q419" s="14">
        <v>0</v>
      </c>
      <c r="R419" s="453">
        <v>0</v>
      </c>
      <c r="S419" s="453">
        <v>0</v>
      </c>
      <c r="T419" s="453">
        <v>0</v>
      </c>
      <c r="U419" s="453">
        <v>0</v>
      </c>
      <c r="V419" s="453">
        <v>0</v>
      </c>
      <c r="W419" s="453">
        <v>0</v>
      </c>
      <c r="X419" s="453">
        <v>0</v>
      </c>
      <c r="Y419" s="453">
        <v>0</v>
      </c>
      <c r="Z419" s="453">
        <v>0</v>
      </c>
      <c r="AA419" s="14">
        <v>0</v>
      </c>
      <c r="AB419" s="14">
        <v>0</v>
      </c>
      <c r="AC419" s="453">
        <v>0</v>
      </c>
      <c r="AD419" s="14">
        <v>0</v>
      </c>
      <c r="AE419" s="14">
        <v>0</v>
      </c>
      <c r="AF419" s="14">
        <v>0</v>
      </c>
      <c r="AG419" s="14">
        <v>0</v>
      </c>
      <c r="AH419" s="14">
        <v>0</v>
      </c>
      <c r="AI419" s="14">
        <v>0</v>
      </c>
      <c r="AJ419" s="14">
        <v>0</v>
      </c>
      <c r="AK419" s="14">
        <v>0</v>
      </c>
      <c r="AL419" s="14">
        <v>0</v>
      </c>
      <c r="AM419" s="453">
        <v>0</v>
      </c>
      <c r="AN419" s="453">
        <v>0</v>
      </c>
      <c r="AO419" s="453">
        <v>0</v>
      </c>
      <c r="AP419" s="453">
        <v>0</v>
      </c>
      <c r="AQ419" s="453">
        <v>0</v>
      </c>
      <c r="AR419" s="453">
        <v>0</v>
      </c>
      <c r="AS419" s="453">
        <v>0</v>
      </c>
      <c r="AT419" s="453">
        <v>0</v>
      </c>
      <c r="AU419" s="453">
        <v>0</v>
      </c>
      <c r="AV419" s="453">
        <v>0</v>
      </c>
      <c r="AW419" s="453">
        <v>0</v>
      </c>
      <c r="AX419" s="453">
        <v>0</v>
      </c>
      <c r="AY419" s="453">
        <v>0</v>
      </c>
      <c r="AZ419" s="453">
        <v>0</v>
      </c>
      <c r="BA419" s="453">
        <v>0</v>
      </c>
      <c r="BB419" s="453">
        <v>0</v>
      </c>
      <c r="BC419" s="453">
        <v>0</v>
      </c>
      <c r="BD419" s="453">
        <v>0</v>
      </c>
      <c r="BE419" s="105">
        <v>0</v>
      </c>
      <c r="BF419" s="453">
        <v>0</v>
      </c>
      <c r="BG419" s="453">
        <v>0</v>
      </c>
      <c r="BH419" s="105">
        <v>0</v>
      </c>
      <c r="BI419" s="453">
        <v>0</v>
      </c>
      <c r="BJ419" s="453">
        <v>0</v>
      </c>
      <c r="BK419" s="105">
        <v>0</v>
      </c>
      <c r="BL419" s="453">
        <v>0</v>
      </c>
      <c r="BM419" s="453">
        <v>0</v>
      </c>
      <c r="BN419" s="453">
        <v>0</v>
      </c>
      <c r="BO419" s="453">
        <v>0</v>
      </c>
      <c r="BP419" s="453">
        <v>0</v>
      </c>
      <c r="BQ419" s="453">
        <v>0</v>
      </c>
      <c r="BR419" s="14">
        <v>0</v>
      </c>
      <c r="BS419" s="14">
        <v>0</v>
      </c>
      <c r="BT419" s="377" t="str">
        <v/>
      </c>
      <c r="BU419" s="105" t="str">
        <v/>
      </c>
      <c r="BV419" s="453" t="str">
        <v/>
      </c>
      <c r="BW419" s="105" t="str">
        <f ca="1"/>
        <v/>
      </c>
    </row>
    <row r="420" spans="1:75" x14ac:dyDescent="0.3">
      <c r="A420" s="1">
        <v>0</v>
      </c>
      <c r="B420" s="106">
        <v>0</v>
      </c>
      <c r="C420" s="14">
        <v>0</v>
      </c>
      <c r="D420" s="14">
        <v>0</v>
      </c>
      <c r="E420" s="14">
        <v>0</v>
      </c>
      <c r="F420" s="453">
        <v>0</v>
      </c>
      <c r="G420" s="377">
        <v>0</v>
      </c>
      <c r="H420" s="453">
        <v>0</v>
      </c>
      <c r="I420" s="453">
        <v>0</v>
      </c>
      <c r="J420" s="453">
        <v>0</v>
      </c>
      <c r="K420" s="453">
        <v>0</v>
      </c>
      <c r="L420" s="453">
        <v>0</v>
      </c>
      <c r="M420" s="453">
        <v>0</v>
      </c>
      <c r="N420" s="453">
        <v>0</v>
      </c>
      <c r="O420" s="453">
        <v>0</v>
      </c>
      <c r="P420" s="14">
        <v>0</v>
      </c>
      <c r="Q420" s="14">
        <v>0</v>
      </c>
      <c r="R420" s="453">
        <v>0</v>
      </c>
      <c r="S420" s="453">
        <v>0</v>
      </c>
      <c r="T420" s="453">
        <v>0</v>
      </c>
      <c r="U420" s="453">
        <v>0</v>
      </c>
      <c r="V420" s="453">
        <v>0</v>
      </c>
      <c r="W420" s="453">
        <v>0</v>
      </c>
      <c r="X420" s="453">
        <v>0</v>
      </c>
      <c r="Y420" s="453">
        <v>0</v>
      </c>
      <c r="Z420" s="453">
        <v>0</v>
      </c>
      <c r="AA420" s="14">
        <v>0</v>
      </c>
      <c r="AB420" s="14">
        <v>0</v>
      </c>
      <c r="AC420" s="453">
        <v>0</v>
      </c>
      <c r="AD420" s="14">
        <v>0</v>
      </c>
      <c r="AE420" s="14">
        <v>0</v>
      </c>
      <c r="AF420" s="14">
        <v>0</v>
      </c>
      <c r="AG420" s="14">
        <v>0</v>
      </c>
      <c r="AH420" s="14">
        <v>0</v>
      </c>
      <c r="AI420" s="14">
        <v>0</v>
      </c>
      <c r="AJ420" s="14">
        <v>0</v>
      </c>
      <c r="AK420" s="14">
        <v>0</v>
      </c>
      <c r="AL420" s="14">
        <v>0</v>
      </c>
      <c r="AM420" s="453">
        <v>0</v>
      </c>
      <c r="AN420" s="453">
        <v>0</v>
      </c>
      <c r="AO420" s="453">
        <v>0</v>
      </c>
      <c r="AP420" s="453">
        <v>0</v>
      </c>
      <c r="AQ420" s="453">
        <v>0</v>
      </c>
      <c r="AR420" s="453">
        <v>0</v>
      </c>
      <c r="AS420" s="453">
        <v>0</v>
      </c>
      <c r="AT420" s="453">
        <v>0</v>
      </c>
      <c r="AU420" s="453">
        <v>0</v>
      </c>
      <c r="AV420" s="453">
        <v>0</v>
      </c>
      <c r="AW420" s="453">
        <v>0</v>
      </c>
      <c r="AX420" s="453">
        <v>0</v>
      </c>
      <c r="AY420" s="453">
        <v>0</v>
      </c>
      <c r="AZ420" s="453">
        <v>0</v>
      </c>
      <c r="BA420" s="453">
        <v>0</v>
      </c>
      <c r="BB420" s="453">
        <v>0</v>
      </c>
      <c r="BC420" s="453">
        <v>0</v>
      </c>
      <c r="BD420" s="453">
        <v>0</v>
      </c>
      <c r="BE420" s="105">
        <v>0</v>
      </c>
      <c r="BF420" s="453">
        <v>0</v>
      </c>
      <c r="BG420" s="453">
        <v>0</v>
      </c>
      <c r="BH420" s="105">
        <v>0</v>
      </c>
      <c r="BI420" s="453">
        <v>0</v>
      </c>
      <c r="BJ420" s="453">
        <v>0</v>
      </c>
      <c r="BK420" s="105">
        <v>0</v>
      </c>
      <c r="BL420" s="453">
        <v>0</v>
      </c>
      <c r="BM420" s="453">
        <v>0</v>
      </c>
      <c r="BN420" s="453">
        <v>0</v>
      </c>
      <c r="BO420" s="453">
        <v>0</v>
      </c>
      <c r="BP420" s="453">
        <v>0</v>
      </c>
      <c r="BQ420" s="453">
        <v>0</v>
      </c>
      <c r="BR420" s="14">
        <v>0</v>
      </c>
      <c r="BS420" s="14">
        <v>0</v>
      </c>
      <c r="BT420" s="377" t="str">
        <v/>
      </c>
      <c r="BU420" s="105" t="str">
        <v/>
      </c>
      <c r="BV420" s="453" t="str">
        <v/>
      </c>
      <c r="BW420" s="105" t="str">
        <f ca="1"/>
        <v/>
      </c>
    </row>
    <row r="421" spans="1:75" x14ac:dyDescent="0.3">
      <c r="A421" s="1">
        <v>0</v>
      </c>
      <c r="B421" s="106">
        <v>0</v>
      </c>
      <c r="C421" s="14">
        <v>0</v>
      </c>
      <c r="D421" s="14">
        <v>0</v>
      </c>
      <c r="E421" s="14">
        <v>0</v>
      </c>
      <c r="F421" s="453">
        <v>0</v>
      </c>
      <c r="G421" s="377">
        <v>0</v>
      </c>
      <c r="H421" s="453">
        <v>0</v>
      </c>
      <c r="I421" s="453">
        <v>0</v>
      </c>
      <c r="J421" s="453">
        <v>0</v>
      </c>
      <c r="K421" s="453">
        <v>0</v>
      </c>
      <c r="L421" s="453">
        <v>0</v>
      </c>
      <c r="M421" s="453">
        <v>0</v>
      </c>
      <c r="N421" s="453">
        <v>0</v>
      </c>
      <c r="O421" s="453">
        <v>0</v>
      </c>
      <c r="P421" s="14">
        <v>0</v>
      </c>
      <c r="Q421" s="14">
        <v>0</v>
      </c>
      <c r="R421" s="453">
        <v>0</v>
      </c>
      <c r="S421" s="453">
        <v>0</v>
      </c>
      <c r="T421" s="453">
        <v>0</v>
      </c>
      <c r="U421" s="453">
        <v>0</v>
      </c>
      <c r="V421" s="453">
        <v>0</v>
      </c>
      <c r="W421" s="453">
        <v>0</v>
      </c>
      <c r="X421" s="453">
        <v>0</v>
      </c>
      <c r="Y421" s="453">
        <v>0</v>
      </c>
      <c r="Z421" s="453">
        <v>0</v>
      </c>
      <c r="AA421" s="14">
        <v>0</v>
      </c>
      <c r="AB421" s="14">
        <v>0</v>
      </c>
      <c r="AC421" s="453">
        <v>0</v>
      </c>
      <c r="AD421" s="14">
        <v>0</v>
      </c>
      <c r="AE421" s="14">
        <v>0</v>
      </c>
      <c r="AF421" s="14">
        <v>0</v>
      </c>
      <c r="AG421" s="14">
        <v>0</v>
      </c>
      <c r="AH421" s="14">
        <v>0</v>
      </c>
      <c r="AI421" s="14">
        <v>0</v>
      </c>
      <c r="AJ421" s="14">
        <v>0</v>
      </c>
      <c r="AK421" s="14">
        <v>0</v>
      </c>
      <c r="AL421" s="14">
        <v>0</v>
      </c>
      <c r="AM421" s="453">
        <v>0</v>
      </c>
      <c r="AN421" s="453">
        <v>0</v>
      </c>
      <c r="AO421" s="453">
        <v>0</v>
      </c>
      <c r="AP421" s="453">
        <v>0</v>
      </c>
      <c r="AQ421" s="453">
        <v>0</v>
      </c>
      <c r="AR421" s="453">
        <v>0</v>
      </c>
      <c r="AS421" s="453">
        <v>0</v>
      </c>
      <c r="AT421" s="453">
        <v>0</v>
      </c>
      <c r="AU421" s="453">
        <v>0</v>
      </c>
      <c r="AV421" s="453">
        <v>0</v>
      </c>
      <c r="AW421" s="453">
        <v>0</v>
      </c>
      <c r="AX421" s="453">
        <v>0</v>
      </c>
      <c r="AY421" s="453">
        <v>0</v>
      </c>
      <c r="AZ421" s="453">
        <v>0</v>
      </c>
      <c r="BA421" s="453">
        <v>0</v>
      </c>
      <c r="BB421" s="453">
        <v>0</v>
      </c>
      <c r="BC421" s="453">
        <v>0</v>
      </c>
      <c r="BD421" s="453">
        <v>0</v>
      </c>
      <c r="BE421" s="105">
        <v>0</v>
      </c>
      <c r="BF421" s="453">
        <v>0</v>
      </c>
      <c r="BG421" s="453">
        <v>0</v>
      </c>
      <c r="BH421" s="105">
        <v>0</v>
      </c>
      <c r="BI421" s="453">
        <v>0</v>
      </c>
      <c r="BJ421" s="453">
        <v>0</v>
      </c>
      <c r="BK421" s="105">
        <v>0</v>
      </c>
      <c r="BL421" s="453">
        <v>0</v>
      </c>
      <c r="BM421" s="453">
        <v>0</v>
      </c>
      <c r="BN421" s="453">
        <v>0</v>
      </c>
      <c r="BO421" s="453">
        <v>0</v>
      </c>
      <c r="BP421" s="453">
        <v>0</v>
      </c>
      <c r="BQ421" s="453">
        <v>0</v>
      </c>
      <c r="BR421" s="14">
        <v>0</v>
      </c>
      <c r="BS421" s="14">
        <v>0</v>
      </c>
      <c r="BT421" s="377" t="str">
        <v/>
      </c>
      <c r="BU421" s="105" t="str">
        <v/>
      </c>
      <c r="BV421" s="453" t="str">
        <v/>
      </c>
      <c r="BW421" s="105" t="str">
        <f ca="1"/>
        <v/>
      </c>
    </row>
    <row r="422" spans="1:75" x14ac:dyDescent="0.3">
      <c r="A422" s="1">
        <v>0</v>
      </c>
      <c r="B422" s="106">
        <v>0</v>
      </c>
      <c r="C422" s="14">
        <v>0</v>
      </c>
      <c r="D422" s="14">
        <v>0</v>
      </c>
      <c r="E422" s="14">
        <v>0</v>
      </c>
      <c r="F422" s="453">
        <v>0</v>
      </c>
      <c r="G422" s="377">
        <v>0</v>
      </c>
      <c r="H422" s="453">
        <v>0</v>
      </c>
      <c r="I422" s="453">
        <v>0</v>
      </c>
      <c r="J422" s="453">
        <v>0</v>
      </c>
      <c r="K422" s="453">
        <v>0</v>
      </c>
      <c r="L422" s="453">
        <v>0</v>
      </c>
      <c r="M422" s="453">
        <v>0</v>
      </c>
      <c r="N422" s="453">
        <v>0</v>
      </c>
      <c r="O422" s="453">
        <v>0</v>
      </c>
      <c r="P422" s="14">
        <v>0</v>
      </c>
      <c r="Q422" s="14">
        <v>0</v>
      </c>
      <c r="R422" s="453">
        <v>0</v>
      </c>
      <c r="S422" s="453">
        <v>0</v>
      </c>
      <c r="T422" s="453">
        <v>0</v>
      </c>
      <c r="U422" s="453">
        <v>0</v>
      </c>
      <c r="V422" s="453">
        <v>0</v>
      </c>
      <c r="W422" s="453">
        <v>0</v>
      </c>
      <c r="X422" s="453">
        <v>0</v>
      </c>
      <c r="Y422" s="453">
        <v>0</v>
      </c>
      <c r="Z422" s="453">
        <v>0</v>
      </c>
      <c r="AA422" s="14">
        <v>0</v>
      </c>
      <c r="AB422" s="14">
        <v>0</v>
      </c>
      <c r="AC422" s="453">
        <v>0</v>
      </c>
      <c r="AD422" s="14">
        <v>0</v>
      </c>
      <c r="AE422" s="14">
        <v>0</v>
      </c>
      <c r="AF422" s="14">
        <v>0</v>
      </c>
      <c r="AG422" s="14">
        <v>0</v>
      </c>
      <c r="AH422" s="14">
        <v>0</v>
      </c>
      <c r="AI422" s="14">
        <v>0</v>
      </c>
      <c r="AJ422" s="14">
        <v>0</v>
      </c>
      <c r="AK422" s="14">
        <v>0</v>
      </c>
      <c r="AL422" s="14">
        <v>0</v>
      </c>
      <c r="AM422" s="453">
        <v>0</v>
      </c>
      <c r="AN422" s="453">
        <v>0</v>
      </c>
      <c r="AO422" s="453">
        <v>0</v>
      </c>
      <c r="AP422" s="453">
        <v>0</v>
      </c>
      <c r="AQ422" s="453">
        <v>0</v>
      </c>
      <c r="AR422" s="453">
        <v>0</v>
      </c>
      <c r="AS422" s="453">
        <v>0</v>
      </c>
      <c r="AT422" s="453">
        <v>0</v>
      </c>
      <c r="AU422" s="453">
        <v>0</v>
      </c>
      <c r="AV422" s="453">
        <v>0</v>
      </c>
      <c r="AW422" s="453">
        <v>0</v>
      </c>
      <c r="AX422" s="453">
        <v>0</v>
      </c>
      <c r="AY422" s="453">
        <v>0</v>
      </c>
      <c r="AZ422" s="453">
        <v>0</v>
      </c>
      <c r="BA422" s="453">
        <v>0</v>
      </c>
      <c r="BB422" s="453">
        <v>0</v>
      </c>
      <c r="BC422" s="453">
        <v>0</v>
      </c>
      <c r="BD422" s="453">
        <v>0</v>
      </c>
      <c r="BE422" s="105">
        <v>0</v>
      </c>
      <c r="BF422" s="453">
        <v>0</v>
      </c>
      <c r="BG422" s="453">
        <v>0</v>
      </c>
      <c r="BH422" s="105">
        <v>0</v>
      </c>
      <c r="BI422" s="453">
        <v>0</v>
      </c>
      <c r="BJ422" s="453">
        <v>0</v>
      </c>
      <c r="BK422" s="105">
        <v>0</v>
      </c>
      <c r="BL422" s="453">
        <v>0</v>
      </c>
      <c r="BM422" s="453">
        <v>0</v>
      </c>
      <c r="BN422" s="453">
        <v>0</v>
      </c>
      <c r="BO422" s="453">
        <v>0</v>
      </c>
      <c r="BP422" s="453">
        <v>0</v>
      </c>
      <c r="BQ422" s="453">
        <v>0</v>
      </c>
      <c r="BR422" s="14">
        <v>0</v>
      </c>
      <c r="BS422" s="14">
        <v>0</v>
      </c>
      <c r="BT422" s="377" t="str">
        <v/>
      </c>
      <c r="BU422" s="105" t="str">
        <v/>
      </c>
      <c r="BV422" s="453" t="str">
        <v/>
      </c>
      <c r="BW422" s="105" t="str">
        <f ca="1"/>
        <v/>
      </c>
    </row>
    <row r="423" spans="1:75" x14ac:dyDescent="0.3">
      <c r="A423" s="1">
        <v>0</v>
      </c>
      <c r="B423" s="106">
        <v>0</v>
      </c>
      <c r="C423" s="14">
        <v>0</v>
      </c>
      <c r="D423" s="14">
        <v>0</v>
      </c>
      <c r="E423" s="14">
        <v>0</v>
      </c>
      <c r="F423" s="453">
        <v>0</v>
      </c>
      <c r="G423" s="377">
        <v>0</v>
      </c>
      <c r="H423" s="453">
        <v>0</v>
      </c>
      <c r="I423" s="453">
        <v>0</v>
      </c>
      <c r="J423" s="453">
        <v>0</v>
      </c>
      <c r="K423" s="453">
        <v>0</v>
      </c>
      <c r="L423" s="453">
        <v>0</v>
      </c>
      <c r="M423" s="453">
        <v>0</v>
      </c>
      <c r="N423" s="453">
        <v>0</v>
      </c>
      <c r="O423" s="453">
        <v>0</v>
      </c>
      <c r="P423" s="14">
        <v>0</v>
      </c>
      <c r="Q423" s="14">
        <v>0</v>
      </c>
      <c r="R423" s="453">
        <v>0</v>
      </c>
      <c r="S423" s="453">
        <v>0</v>
      </c>
      <c r="T423" s="453">
        <v>0</v>
      </c>
      <c r="U423" s="453">
        <v>0</v>
      </c>
      <c r="V423" s="453">
        <v>0</v>
      </c>
      <c r="W423" s="453">
        <v>0</v>
      </c>
      <c r="X423" s="453">
        <v>0</v>
      </c>
      <c r="Y423" s="453">
        <v>0</v>
      </c>
      <c r="Z423" s="453">
        <v>0</v>
      </c>
      <c r="AA423" s="14">
        <v>0</v>
      </c>
      <c r="AB423" s="14">
        <v>0</v>
      </c>
      <c r="AC423" s="453">
        <v>0</v>
      </c>
      <c r="AD423" s="14">
        <v>0</v>
      </c>
      <c r="AE423" s="14">
        <v>0</v>
      </c>
      <c r="AF423" s="14">
        <v>0</v>
      </c>
      <c r="AG423" s="14">
        <v>0</v>
      </c>
      <c r="AH423" s="14">
        <v>0</v>
      </c>
      <c r="AI423" s="14">
        <v>0</v>
      </c>
      <c r="AJ423" s="14">
        <v>0</v>
      </c>
      <c r="AK423" s="14">
        <v>0</v>
      </c>
      <c r="AL423" s="14">
        <v>0</v>
      </c>
      <c r="AM423" s="453">
        <v>0</v>
      </c>
      <c r="AN423" s="453">
        <v>0</v>
      </c>
      <c r="AO423" s="453">
        <v>0</v>
      </c>
      <c r="AP423" s="453">
        <v>0</v>
      </c>
      <c r="AQ423" s="453">
        <v>0</v>
      </c>
      <c r="AR423" s="453">
        <v>0</v>
      </c>
      <c r="AS423" s="453">
        <v>0</v>
      </c>
      <c r="AT423" s="453">
        <v>0</v>
      </c>
      <c r="AU423" s="453">
        <v>0</v>
      </c>
      <c r="AV423" s="453">
        <v>0</v>
      </c>
      <c r="AW423" s="453">
        <v>0</v>
      </c>
      <c r="AX423" s="453">
        <v>0</v>
      </c>
      <c r="AY423" s="453">
        <v>0</v>
      </c>
      <c r="AZ423" s="453">
        <v>0</v>
      </c>
      <c r="BA423" s="453">
        <v>0</v>
      </c>
      <c r="BB423" s="453">
        <v>0</v>
      </c>
      <c r="BC423" s="453">
        <v>0</v>
      </c>
      <c r="BD423" s="453">
        <v>0</v>
      </c>
      <c r="BE423" s="105">
        <v>0</v>
      </c>
      <c r="BF423" s="453">
        <v>0</v>
      </c>
      <c r="BG423" s="453">
        <v>0</v>
      </c>
      <c r="BH423" s="105">
        <v>0</v>
      </c>
      <c r="BI423" s="453">
        <v>0</v>
      </c>
      <c r="BJ423" s="453">
        <v>0</v>
      </c>
      <c r="BK423" s="105">
        <v>0</v>
      </c>
      <c r="BL423" s="453">
        <v>0</v>
      </c>
      <c r="BM423" s="453">
        <v>0</v>
      </c>
      <c r="BN423" s="453">
        <v>0</v>
      </c>
      <c r="BO423" s="453">
        <v>0</v>
      </c>
      <c r="BP423" s="453">
        <v>0</v>
      </c>
      <c r="BQ423" s="453">
        <v>0</v>
      </c>
      <c r="BR423" s="14">
        <v>0</v>
      </c>
      <c r="BS423" s="14">
        <v>0</v>
      </c>
      <c r="BT423" s="377" t="str">
        <v/>
      </c>
      <c r="BU423" s="105" t="str">
        <v/>
      </c>
      <c r="BV423" s="453" t="str">
        <v/>
      </c>
      <c r="BW423" s="105" t="str">
        <f ca="1"/>
        <v/>
      </c>
    </row>
    <row r="424" spans="1:75" x14ac:dyDescent="0.3">
      <c r="A424" s="1">
        <v>0</v>
      </c>
      <c r="B424" s="106">
        <v>0</v>
      </c>
      <c r="C424" s="14">
        <v>0</v>
      </c>
      <c r="D424" s="14">
        <v>0</v>
      </c>
      <c r="E424" s="14">
        <v>0</v>
      </c>
      <c r="F424" s="453">
        <v>0</v>
      </c>
      <c r="G424" s="377">
        <v>0</v>
      </c>
      <c r="H424" s="453">
        <v>0</v>
      </c>
      <c r="I424" s="453">
        <v>0</v>
      </c>
      <c r="J424" s="453">
        <v>0</v>
      </c>
      <c r="K424" s="453">
        <v>0</v>
      </c>
      <c r="L424" s="453">
        <v>0</v>
      </c>
      <c r="M424" s="453">
        <v>0</v>
      </c>
      <c r="N424" s="453">
        <v>0</v>
      </c>
      <c r="O424" s="453">
        <v>0</v>
      </c>
      <c r="P424" s="14">
        <v>0</v>
      </c>
      <c r="Q424" s="14">
        <v>0</v>
      </c>
      <c r="R424" s="453">
        <v>0</v>
      </c>
      <c r="S424" s="453">
        <v>0</v>
      </c>
      <c r="T424" s="453">
        <v>0</v>
      </c>
      <c r="U424" s="453">
        <v>0</v>
      </c>
      <c r="V424" s="453">
        <v>0</v>
      </c>
      <c r="W424" s="453">
        <v>0</v>
      </c>
      <c r="X424" s="453">
        <v>0</v>
      </c>
      <c r="Y424" s="453">
        <v>0</v>
      </c>
      <c r="Z424" s="453">
        <v>0</v>
      </c>
      <c r="AA424" s="14">
        <v>0</v>
      </c>
      <c r="AB424" s="14">
        <v>0</v>
      </c>
      <c r="AC424" s="453">
        <v>0</v>
      </c>
      <c r="AD424" s="14">
        <v>0</v>
      </c>
      <c r="AE424" s="14">
        <v>0</v>
      </c>
      <c r="AF424" s="14">
        <v>0</v>
      </c>
      <c r="AG424" s="14">
        <v>0</v>
      </c>
      <c r="AH424" s="14">
        <v>0</v>
      </c>
      <c r="AI424" s="14">
        <v>0</v>
      </c>
      <c r="AJ424" s="14">
        <v>0</v>
      </c>
      <c r="AK424" s="14">
        <v>0</v>
      </c>
      <c r="AL424" s="14">
        <v>0</v>
      </c>
      <c r="AM424" s="453">
        <v>0</v>
      </c>
      <c r="AN424" s="453">
        <v>0</v>
      </c>
      <c r="AO424" s="453">
        <v>0</v>
      </c>
      <c r="AP424" s="453">
        <v>0</v>
      </c>
      <c r="AQ424" s="453">
        <v>0</v>
      </c>
      <c r="AR424" s="453">
        <v>0</v>
      </c>
      <c r="AS424" s="453">
        <v>0</v>
      </c>
      <c r="AT424" s="453">
        <v>0</v>
      </c>
      <c r="AU424" s="453">
        <v>0</v>
      </c>
      <c r="AV424" s="453">
        <v>0</v>
      </c>
      <c r="AW424" s="453">
        <v>0</v>
      </c>
      <c r="AX424" s="453">
        <v>0</v>
      </c>
      <c r="AY424" s="453">
        <v>0</v>
      </c>
      <c r="AZ424" s="453">
        <v>0</v>
      </c>
      <c r="BA424" s="453">
        <v>0</v>
      </c>
      <c r="BB424" s="453">
        <v>0</v>
      </c>
      <c r="BC424" s="453">
        <v>0</v>
      </c>
      <c r="BD424" s="453">
        <v>0</v>
      </c>
      <c r="BE424" s="105">
        <v>0</v>
      </c>
      <c r="BF424" s="453">
        <v>0</v>
      </c>
      <c r="BG424" s="453">
        <v>0</v>
      </c>
      <c r="BH424" s="105">
        <v>0</v>
      </c>
      <c r="BI424" s="453">
        <v>0</v>
      </c>
      <c r="BJ424" s="453">
        <v>0</v>
      </c>
      <c r="BK424" s="105">
        <v>0</v>
      </c>
      <c r="BL424" s="453">
        <v>0</v>
      </c>
      <c r="BM424" s="453">
        <v>0</v>
      </c>
      <c r="BN424" s="453">
        <v>0</v>
      </c>
      <c r="BO424" s="453">
        <v>0</v>
      </c>
      <c r="BP424" s="453">
        <v>0</v>
      </c>
      <c r="BQ424" s="453">
        <v>0</v>
      </c>
      <c r="BR424" s="14">
        <v>0</v>
      </c>
      <c r="BS424" s="14">
        <v>0</v>
      </c>
      <c r="BT424" s="377" t="str">
        <v/>
      </c>
      <c r="BU424" s="105" t="str">
        <v/>
      </c>
      <c r="BV424" s="453" t="str">
        <v/>
      </c>
      <c r="BW424" s="105" t="str">
        <f ca="1"/>
        <v/>
      </c>
    </row>
    <row r="425" spans="1:75" x14ac:dyDescent="0.3">
      <c r="A425" s="1">
        <v>0</v>
      </c>
      <c r="B425" s="106">
        <v>0</v>
      </c>
      <c r="C425" s="14">
        <v>0</v>
      </c>
      <c r="D425" s="14">
        <v>0</v>
      </c>
      <c r="E425" s="14">
        <v>0</v>
      </c>
      <c r="F425" s="453">
        <v>0</v>
      </c>
      <c r="G425" s="377">
        <v>0</v>
      </c>
      <c r="H425" s="453">
        <v>0</v>
      </c>
      <c r="I425" s="453">
        <v>0</v>
      </c>
      <c r="J425" s="453">
        <v>0</v>
      </c>
      <c r="K425" s="453">
        <v>0</v>
      </c>
      <c r="L425" s="453">
        <v>0</v>
      </c>
      <c r="M425" s="453">
        <v>0</v>
      </c>
      <c r="N425" s="453">
        <v>0</v>
      </c>
      <c r="O425" s="453">
        <v>0</v>
      </c>
      <c r="P425" s="14">
        <v>0</v>
      </c>
      <c r="Q425" s="14">
        <v>0</v>
      </c>
      <c r="R425" s="453">
        <v>0</v>
      </c>
      <c r="S425" s="453">
        <v>0</v>
      </c>
      <c r="T425" s="453">
        <v>0</v>
      </c>
      <c r="U425" s="453">
        <v>0</v>
      </c>
      <c r="V425" s="453">
        <v>0</v>
      </c>
      <c r="W425" s="453">
        <v>0</v>
      </c>
      <c r="X425" s="453">
        <v>0</v>
      </c>
      <c r="Y425" s="453">
        <v>0</v>
      </c>
      <c r="Z425" s="453">
        <v>0</v>
      </c>
      <c r="AA425" s="14">
        <v>0</v>
      </c>
      <c r="AB425" s="14">
        <v>0</v>
      </c>
      <c r="AC425" s="453">
        <v>0</v>
      </c>
      <c r="AD425" s="14">
        <v>0</v>
      </c>
      <c r="AE425" s="14">
        <v>0</v>
      </c>
      <c r="AF425" s="14">
        <v>0</v>
      </c>
      <c r="AG425" s="14">
        <v>0</v>
      </c>
      <c r="AH425" s="14">
        <v>0</v>
      </c>
      <c r="AI425" s="14">
        <v>0</v>
      </c>
      <c r="AJ425" s="14">
        <v>0</v>
      </c>
      <c r="AK425" s="14">
        <v>0</v>
      </c>
      <c r="AL425" s="14">
        <v>0</v>
      </c>
      <c r="AM425" s="453">
        <v>0</v>
      </c>
      <c r="AN425" s="453">
        <v>0</v>
      </c>
      <c r="AO425" s="453">
        <v>0</v>
      </c>
      <c r="AP425" s="453">
        <v>0</v>
      </c>
      <c r="AQ425" s="453">
        <v>0</v>
      </c>
      <c r="AR425" s="453">
        <v>0</v>
      </c>
      <c r="AS425" s="453">
        <v>0</v>
      </c>
      <c r="AT425" s="453">
        <v>0</v>
      </c>
      <c r="AU425" s="453">
        <v>0</v>
      </c>
      <c r="AV425" s="453">
        <v>0</v>
      </c>
      <c r="AW425" s="453">
        <v>0</v>
      </c>
      <c r="AX425" s="453">
        <v>0</v>
      </c>
      <c r="AY425" s="453">
        <v>0</v>
      </c>
      <c r="AZ425" s="453">
        <v>0</v>
      </c>
      <c r="BA425" s="453">
        <v>0</v>
      </c>
      <c r="BB425" s="453">
        <v>0</v>
      </c>
      <c r="BC425" s="453">
        <v>0</v>
      </c>
      <c r="BD425" s="453">
        <v>0</v>
      </c>
      <c r="BE425" s="105">
        <v>0</v>
      </c>
      <c r="BF425" s="453">
        <v>0</v>
      </c>
      <c r="BG425" s="453">
        <v>0</v>
      </c>
      <c r="BH425" s="105">
        <v>0</v>
      </c>
      <c r="BI425" s="453">
        <v>0</v>
      </c>
      <c r="BJ425" s="453">
        <v>0</v>
      </c>
      <c r="BK425" s="105">
        <v>0</v>
      </c>
      <c r="BL425" s="453">
        <v>0</v>
      </c>
      <c r="BM425" s="453">
        <v>0</v>
      </c>
      <c r="BN425" s="453">
        <v>0</v>
      </c>
      <c r="BO425" s="453">
        <v>0</v>
      </c>
      <c r="BP425" s="453">
        <v>0</v>
      </c>
      <c r="BQ425" s="453">
        <v>0</v>
      </c>
      <c r="BR425" s="14">
        <v>0</v>
      </c>
      <c r="BS425" s="14">
        <v>0</v>
      </c>
      <c r="BT425" s="377" t="str">
        <v/>
      </c>
      <c r="BU425" s="105" t="str">
        <v/>
      </c>
      <c r="BV425" s="453" t="str">
        <v/>
      </c>
      <c r="BW425" s="105" t="str">
        <f ca="1"/>
        <v/>
      </c>
    </row>
    <row r="426" spans="1:75" x14ac:dyDescent="0.3">
      <c r="A426" s="1">
        <v>0</v>
      </c>
      <c r="B426" s="106">
        <v>0</v>
      </c>
      <c r="C426" s="14">
        <v>0</v>
      </c>
      <c r="D426" s="14">
        <v>0</v>
      </c>
      <c r="E426" s="14">
        <v>0</v>
      </c>
      <c r="F426" s="453">
        <v>0</v>
      </c>
      <c r="G426" s="377">
        <v>0</v>
      </c>
      <c r="H426" s="453">
        <v>0</v>
      </c>
      <c r="I426" s="453">
        <v>0</v>
      </c>
      <c r="J426" s="453">
        <v>0</v>
      </c>
      <c r="K426" s="453">
        <v>0</v>
      </c>
      <c r="L426" s="453">
        <v>0</v>
      </c>
      <c r="M426" s="453">
        <v>0</v>
      </c>
      <c r="N426" s="453">
        <v>0</v>
      </c>
      <c r="O426" s="453">
        <v>0</v>
      </c>
      <c r="P426" s="14">
        <v>0</v>
      </c>
      <c r="Q426" s="14">
        <v>0</v>
      </c>
      <c r="R426" s="453">
        <v>0</v>
      </c>
      <c r="S426" s="453">
        <v>0</v>
      </c>
      <c r="T426" s="453">
        <v>0</v>
      </c>
      <c r="U426" s="453">
        <v>0</v>
      </c>
      <c r="V426" s="453">
        <v>0</v>
      </c>
      <c r="W426" s="453">
        <v>0</v>
      </c>
      <c r="X426" s="453">
        <v>0</v>
      </c>
      <c r="Y426" s="453">
        <v>0</v>
      </c>
      <c r="Z426" s="453">
        <v>0</v>
      </c>
      <c r="AA426" s="14">
        <v>0</v>
      </c>
      <c r="AB426" s="14">
        <v>0</v>
      </c>
      <c r="AC426" s="453">
        <v>0</v>
      </c>
      <c r="AD426" s="14">
        <v>0</v>
      </c>
      <c r="AE426" s="14">
        <v>0</v>
      </c>
      <c r="AF426" s="14">
        <v>0</v>
      </c>
      <c r="AG426" s="14">
        <v>0</v>
      </c>
      <c r="AH426" s="14">
        <v>0</v>
      </c>
      <c r="AI426" s="14">
        <v>0</v>
      </c>
      <c r="AJ426" s="14">
        <v>0</v>
      </c>
      <c r="AK426" s="14">
        <v>0</v>
      </c>
      <c r="AL426" s="14">
        <v>0</v>
      </c>
      <c r="AM426" s="453">
        <v>0</v>
      </c>
      <c r="AN426" s="453">
        <v>0</v>
      </c>
      <c r="AO426" s="453">
        <v>0</v>
      </c>
      <c r="AP426" s="453">
        <v>0</v>
      </c>
      <c r="AQ426" s="453">
        <v>0</v>
      </c>
      <c r="AR426" s="453">
        <v>0</v>
      </c>
      <c r="AS426" s="453">
        <v>0</v>
      </c>
      <c r="AT426" s="453">
        <v>0</v>
      </c>
      <c r="AU426" s="453">
        <v>0</v>
      </c>
      <c r="AV426" s="453">
        <v>0</v>
      </c>
      <c r="AW426" s="453">
        <v>0</v>
      </c>
      <c r="AX426" s="453">
        <v>0</v>
      </c>
      <c r="AY426" s="453">
        <v>0</v>
      </c>
      <c r="AZ426" s="453">
        <v>0</v>
      </c>
      <c r="BA426" s="453">
        <v>0</v>
      </c>
      <c r="BB426" s="453">
        <v>0</v>
      </c>
      <c r="BC426" s="453">
        <v>0</v>
      </c>
      <c r="BD426" s="453">
        <v>0</v>
      </c>
      <c r="BE426" s="105">
        <v>0</v>
      </c>
      <c r="BF426" s="453">
        <v>0</v>
      </c>
      <c r="BG426" s="453">
        <v>0</v>
      </c>
      <c r="BH426" s="105">
        <v>0</v>
      </c>
      <c r="BI426" s="453">
        <v>0</v>
      </c>
      <c r="BJ426" s="453">
        <v>0</v>
      </c>
      <c r="BK426" s="105">
        <v>0</v>
      </c>
      <c r="BL426" s="453">
        <v>0</v>
      </c>
      <c r="BM426" s="453">
        <v>0</v>
      </c>
      <c r="BN426" s="453">
        <v>0</v>
      </c>
      <c r="BO426" s="453">
        <v>0</v>
      </c>
      <c r="BP426" s="453">
        <v>0</v>
      </c>
      <c r="BQ426" s="453">
        <v>0</v>
      </c>
      <c r="BR426" s="14">
        <v>0</v>
      </c>
      <c r="BS426" s="14">
        <v>0</v>
      </c>
      <c r="BT426" s="377" t="str">
        <v/>
      </c>
      <c r="BU426" s="105" t="str">
        <v/>
      </c>
      <c r="BV426" s="453" t="str">
        <v/>
      </c>
      <c r="BW426" s="105" t="str">
        <f ca="1"/>
        <v/>
      </c>
    </row>
    <row r="427" spans="1:75" x14ac:dyDescent="0.3">
      <c r="A427" s="1">
        <v>0</v>
      </c>
      <c r="B427" s="106">
        <v>0</v>
      </c>
      <c r="C427" s="14">
        <v>0</v>
      </c>
      <c r="D427" s="14">
        <v>0</v>
      </c>
      <c r="E427" s="14">
        <v>0</v>
      </c>
      <c r="F427" s="453">
        <v>0</v>
      </c>
      <c r="G427" s="377">
        <v>0</v>
      </c>
      <c r="H427" s="453">
        <v>0</v>
      </c>
      <c r="I427" s="453">
        <v>0</v>
      </c>
      <c r="J427" s="453">
        <v>0</v>
      </c>
      <c r="K427" s="453">
        <v>0</v>
      </c>
      <c r="L427" s="453">
        <v>0</v>
      </c>
      <c r="M427" s="453">
        <v>0</v>
      </c>
      <c r="N427" s="453">
        <v>0</v>
      </c>
      <c r="O427" s="453">
        <v>0</v>
      </c>
      <c r="P427" s="14">
        <v>0</v>
      </c>
      <c r="Q427" s="14">
        <v>0</v>
      </c>
      <c r="R427" s="453">
        <v>0</v>
      </c>
      <c r="S427" s="453">
        <v>0</v>
      </c>
      <c r="T427" s="453">
        <v>0</v>
      </c>
      <c r="U427" s="453">
        <v>0</v>
      </c>
      <c r="V427" s="453">
        <v>0</v>
      </c>
      <c r="W427" s="453">
        <v>0</v>
      </c>
      <c r="X427" s="453">
        <v>0</v>
      </c>
      <c r="Y427" s="453">
        <v>0</v>
      </c>
      <c r="Z427" s="453">
        <v>0</v>
      </c>
      <c r="AA427" s="14">
        <v>0</v>
      </c>
      <c r="AB427" s="14">
        <v>0</v>
      </c>
      <c r="AC427" s="453">
        <v>0</v>
      </c>
      <c r="AD427" s="14">
        <v>0</v>
      </c>
      <c r="AE427" s="14">
        <v>0</v>
      </c>
      <c r="AF427" s="14">
        <v>0</v>
      </c>
      <c r="AG427" s="14">
        <v>0</v>
      </c>
      <c r="AH427" s="14">
        <v>0</v>
      </c>
      <c r="AI427" s="14">
        <v>0</v>
      </c>
      <c r="AJ427" s="14">
        <v>0</v>
      </c>
      <c r="AK427" s="14">
        <v>0</v>
      </c>
      <c r="AL427" s="14">
        <v>0</v>
      </c>
      <c r="AM427" s="453">
        <v>0</v>
      </c>
      <c r="AN427" s="453">
        <v>0</v>
      </c>
      <c r="AO427" s="453">
        <v>0</v>
      </c>
      <c r="AP427" s="453">
        <v>0</v>
      </c>
      <c r="AQ427" s="453">
        <v>0</v>
      </c>
      <c r="AR427" s="453">
        <v>0</v>
      </c>
      <c r="AS427" s="453">
        <v>0</v>
      </c>
      <c r="AT427" s="453">
        <v>0</v>
      </c>
      <c r="AU427" s="453">
        <v>0</v>
      </c>
      <c r="AV427" s="453">
        <v>0</v>
      </c>
      <c r="AW427" s="453">
        <v>0</v>
      </c>
      <c r="AX427" s="453">
        <v>0</v>
      </c>
      <c r="AY427" s="453">
        <v>0</v>
      </c>
      <c r="AZ427" s="453">
        <v>0</v>
      </c>
      <c r="BA427" s="453">
        <v>0</v>
      </c>
      <c r="BB427" s="453">
        <v>0</v>
      </c>
      <c r="BC427" s="453">
        <v>0</v>
      </c>
      <c r="BD427" s="453">
        <v>0</v>
      </c>
      <c r="BE427" s="105">
        <v>0</v>
      </c>
      <c r="BF427" s="453">
        <v>0</v>
      </c>
      <c r="BG427" s="453">
        <v>0</v>
      </c>
      <c r="BH427" s="105">
        <v>0</v>
      </c>
      <c r="BI427" s="453">
        <v>0</v>
      </c>
      <c r="BJ427" s="453">
        <v>0</v>
      </c>
      <c r="BK427" s="105">
        <v>0</v>
      </c>
      <c r="BL427" s="453">
        <v>0</v>
      </c>
      <c r="BM427" s="453">
        <v>0</v>
      </c>
      <c r="BN427" s="453">
        <v>0</v>
      </c>
      <c r="BO427" s="453">
        <v>0</v>
      </c>
      <c r="BP427" s="453">
        <v>0</v>
      </c>
      <c r="BQ427" s="453">
        <v>0</v>
      </c>
      <c r="BR427" s="14">
        <v>0</v>
      </c>
      <c r="BS427" s="14">
        <v>0</v>
      </c>
      <c r="BT427" s="377" t="str">
        <v/>
      </c>
      <c r="BU427" s="105" t="str">
        <v/>
      </c>
      <c r="BV427" s="453" t="str">
        <v/>
      </c>
      <c r="BW427" s="105" t="str">
        <f ca="1"/>
        <v/>
      </c>
    </row>
    <row r="428" spans="1:75" x14ac:dyDescent="0.3">
      <c r="A428" s="1">
        <v>0</v>
      </c>
      <c r="B428" s="106">
        <v>0</v>
      </c>
      <c r="C428" s="14">
        <v>0</v>
      </c>
      <c r="D428" s="14">
        <v>0</v>
      </c>
      <c r="E428" s="14">
        <v>0</v>
      </c>
      <c r="F428" s="453">
        <v>0</v>
      </c>
      <c r="G428" s="377">
        <v>0</v>
      </c>
      <c r="H428" s="453">
        <v>0</v>
      </c>
      <c r="I428" s="453">
        <v>0</v>
      </c>
      <c r="J428" s="453">
        <v>0</v>
      </c>
      <c r="K428" s="453">
        <v>0</v>
      </c>
      <c r="L428" s="453">
        <v>0</v>
      </c>
      <c r="M428" s="453">
        <v>0</v>
      </c>
      <c r="N428" s="453">
        <v>0</v>
      </c>
      <c r="O428" s="453">
        <v>0</v>
      </c>
      <c r="P428" s="14">
        <v>0</v>
      </c>
      <c r="Q428" s="14">
        <v>0</v>
      </c>
      <c r="R428" s="453">
        <v>0</v>
      </c>
      <c r="S428" s="453">
        <v>0</v>
      </c>
      <c r="T428" s="453">
        <v>0</v>
      </c>
      <c r="U428" s="453">
        <v>0</v>
      </c>
      <c r="V428" s="453">
        <v>0</v>
      </c>
      <c r="W428" s="453">
        <v>0</v>
      </c>
      <c r="X428" s="453">
        <v>0</v>
      </c>
      <c r="Y428" s="453">
        <v>0</v>
      </c>
      <c r="Z428" s="453">
        <v>0</v>
      </c>
      <c r="AA428" s="14">
        <v>0</v>
      </c>
      <c r="AB428" s="14">
        <v>0</v>
      </c>
      <c r="AC428" s="453">
        <v>0</v>
      </c>
      <c r="AD428" s="14">
        <v>0</v>
      </c>
      <c r="AE428" s="14">
        <v>0</v>
      </c>
      <c r="AF428" s="14">
        <v>0</v>
      </c>
      <c r="AG428" s="14">
        <v>0</v>
      </c>
      <c r="AH428" s="14">
        <v>0</v>
      </c>
      <c r="AI428" s="14">
        <v>0</v>
      </c>
      <c r="AJ428" s="14">
        <v>0</v>
      </c>
      <c r="AK428" s="14">
        <v>0</v>
      </c>
      <c r="AL428" s="14">
        <v>0</v>
      </c>
      <c r="AM428" s="453">
        <v>0</v>
      </c>
      <c r="AN428" s="453">
        <v>0</v>
      </c>
      <c r="AO428" s="453">
        <v>0</v>
      </c>
      <c r="AP428" s="453">
        <v>0</v>
      </c>
      <c r="AQ428" s="453">
        <v>0</v>
      </c>
      <c r="AR428" s="453">
        <v>0</v>
      </c>
      <c r="AS428" s="453">
        <v>0</v>
      </c>
      <c r="AT428" s="453">
        <v>0</v>
      </c>
      <c r="AU428" s="453">
        <v>0</v>
      </c>
      <c r="AV428" s="453">
        <v>0</v>
      </c>
      <c r="AW428" s="453">
        <v>0</v>
      </c>
      <c r="AX428" s="453">
        <v>0</v>
      </c>
      <c r="AY428" s="453">
        <v>0</v>
      </c>
      <c r="AZ428" s="453">
        <v>0</v>
      </c>
      <c r="BA428" s="453">
        <v>0</v>
      </c>
      <c r="BB428" s="453">
        <v>0</v>
      </c>
      <c r="BC428" s="453">
        <v>0</v>
      </c>
      <c r="BD428" s="453">
        <v>0</v>
      </c>
      <c r="BE428" s="105">
        <v>0</v>
      </c>
      <c r="BF428" s="453">
        <v>0</v>
      </c>
      <c r="BG428" s="453">
        <v>0</v>
      </c>
      <c r="BH428" s="105">
        <v>0</v>
      </c>
      <c r="BI428" s="453">
        <v>0</v>
      </c>
      <c r="BJ428" s="453">
        <v>0</v>
      </c>
      <c r="BK428" s="105">
        <v>0</v>
      </c>
      <c r="BL428" s="453">
        <v>0</v>
      </c>
      <c r="BM428" s="453">
        <v>0</v>
      </c>
      <c r="BN428" s="453">
        <v>0</v>
      </c>
      <c r="BO428" s="453">
        <v>0</v>
      </c>
      <c r="BP428" s="453">
        <v>0</v>
      </c>
      <c r="BQ428" s="453">
        <v>0</v>
      </c>
      <c r="BR428" s="14">
        <v>0</v>
      </c>
      <c r="BS428" s="14">
        <v>0</v>
      </c>
      <c r="BT428" s="377" t="str">
        <v/>
      </c>
      <c r="BU428" s="105" t="str">
        <v/>
      </c>
      <c r="BV428" s="453" t="str">
        <v/>
      </c>
      <c r="BW428" s="105" t="str">
        <f ca="1"/>
        <v/>
      </c>
    </row>
    <row r="429" spans="1:75" x14ac:dyDescent="0.3">
      <c r="A429" s="1">
        <v>0</v>
      </c>
      <c r="B429" s="106">
        <v>0</v>
      </c>
      <c r="C429" s="14">
        <v>0</v>
      </c>
      <c r="D429" s="14">
        <v>0</v>
      </c>
      <c r="E429" s="14">
        <v>0</v>
      </c>
      <c r="F429" s="453">
        <v>0</v>
      </c>
      <c r="G429" s="377">
        <v>0</v>
      </c>
      <c r="H429" s="453">
        <v>0</v>
      </c>
      <c r="I429" s="453">
        <v>0</v>
      </c>
      <c r="J429" s="453">
        <v>0</v>
      </c>
      <c r="K429" s="453">
        <v>0</v>
      </c>
      <c r="L429" s="453">
        <v>0</v>
      </c>
      <c r="M429" s="453">
        <v>0</v>
      </c>
      <c r="N429" s="453">
        <v>0</v>
      </c>
      <c r="O429" s="453">
        <v>0</v>
      </c>
      <c r="P429" s="14">
        <v>0</v>
      </c>
      <c r="Q429" s="14">
        <v>0</v>
      </c>
      <c r="R429" s="453">
        <v>0</v>
      </c>
      <c r="S429" s="453">
        <v>0</v>
      </c>
      <c r="T429" s="453">
        <v>0</v>
      </c>
      <c r="U429" s="453">
        <v>0</v>
      </c>
      <c r="V429" s="453">
        <v>0</v>
      </c>
      <c r="W429" s="453">
        <v>0</v>
      </c>
      <c r="X429" s="453">
        <v>0</v>
      </c>
      <c r="Y429" s="453">
        <v>0</v>
      </c>
      <c r="Z429" s="453">
        <v>0</v>
      </c>
      <c r="AA429" s="14">
        <v>0</v>
      </c>
      <c r="AB429" s="14">
        <v>0</v>
      </c>
      <c r="AC429" s="453">
        <v>0</v>
      </c>
      <c r="AD429" s="14">
        <v>0</v>
      </c>
      <c r="AE429" s="14">
        <v>0</v>
      </c>
      <c r="AF429" s="14">
        <v>0</v>
      </c>
      <c r="AG429" s="14">
        <v>0</v>
      </c>
      <c r="AH429" s="14">
        <v>0</v>
      </c>
      <c r="AI429" s="14">
        <v>0</v>
      </c>
      <c r="AJ429" s="14">
        <v>0</v>
      </c>
      <c r="AK429" s="14">
        <v>0</v>
      </c>
      <c r="AL429" s="14">
        <v>0</v>
      </c>
      <c r="AM429" s="453">
        <v>0</v>
      </c>
      <c r="AN429" s="453">
        <v>0</v>
      </c>
      <c r="AO429" s="453">
        <v>0</v>
      </c>
      <c r="AP429" s="453">
        <v>0</v>
      </c>
      <c r="AQ429" s="453">
        <v>0</v>
      </c>
      <c r="AR429" s="453">
        <v>0</v>
      </c>
      <c r="AS429" s="453">
        <v>0</v>
      </c>
      <c r="AT429" s="453">
        <v>0</v>
      </c>
      <c r="AU429" s="453">
        <v>0</v>
      </c>
      <c r="AV429" s="453">
        <v>0</v>
      </c>
      <c r="AW429" s="453">
        <v>0</v>
      </c>
      <c r="AX429" s="453">
        <v>0</v>
      </c>
      <c r="AY429" s="453">
        <v>0</v>
      </c>
      <c r="AZ429" s="453">
        <v>0</v>
      </c>
      <c r="BA429" s="453">
        <v>0</v>
      </c>
      <c r="BB429" s="453">
        <v>0</v>
      </c>
      <c r="BC429" s="453">
        <v>0</v>
      </c>
      <c r="BD429" s="453">
        <v>0</v>
      </c>
      <c r="BE429" s="105">
        <v>0</v>
      </c>
      <c r="BF429" s="453">
        <v>0</v>
      </c>
      <c r="BG429" s="453">
        <v>0</v>
      </c>
      <c r="BH429" s="105">
        <v>0</v>
      </c>
      <c r="BI429" s="453">
        <v>0</v>
      </c>
      <c r="BJ429" s="453">
        <v>0</v>
      </c>
      <c r="BK429" s="105">
        <v>0</v>
      </c>
      <c r="BL429" s="453">
        <v>0</v>
      </c>
      <c r="BM429" s="453">
        <v>0</v>
      </c>
      <c r="BN429" s="453">
        <v>0</v>
      </c>
      <c r="BO429" s="453">
        <v>0</v>
      </c>
      <c r="BP429" s="453">
        <v>0</v>
      </c>
      <c r="BQ429" s="453">
        <v>0</v>
      </c>
      <c r="BR429" s="14">
        <v>0</v>
      </c>
      <c r="BS429" s="14">
        <v>0</v>
      </c>
      <c r="BT429" s="377" t="str">
        <v/>
      </c>
      <c r="BU429" s="105" t="str">
        <v/>
      </c>
      <c r="BV429" s="453" t="str">
        <v/>
      </c>
      <c r="BW429" s="105" t="str">
        <f ca="1"/>
        <v/>
      </c>
    </row>
    <row r="430" spans="1:75" x14ac:dyDescent="0.3">
      <c r="A430" s="1">
        <v>0</v>
      </c>
      <c r="B430" s="106">
        <v>0</v>
      </c>
      <c r="C430" s="14">
        <v>0</v>
      </c>
      <c r="D430" s="14">
        <v>0</v>
      </c>
      <c r="E430" s="14">
        <v>0</v>
      </c>
      <c r="F430" s="453">
        <v>0</v>
      </c>
      <c r="G430" s="377">
        <v>0</v>
      </c>
      <c r="H430" s="453">
        <v>0</v>
      </c>
      <c r="I430" s="453">
        <v>0</v>
      </c>
      <c r="J430" s="453">
        <v>0</v>
      </c>
      <c r="K430" s="453">
        <v>0</v>
      </c>
      <c r="L430" s="453">
        <v>0</v>
      </c>
      <c r="M430" s="453">
        <v>0</v>
      </c>
      <c r="N430" s="453">
        <v>0</v>
      </c>
      <c r="O430" s="453">
        <v>0</v>
      </c>
      <c r="P430" s="14">
        <v>0</v>
      </c>
      <c r="Q430" s="14">
        <v>0</v>
      </c>
      <c r="R430" s="453">
        <v>0</v>
      </c>
      <c r="S430" s="453">
        <v>0</v>
      </c>
      <c r="T430" s="453">
        <v>0</v>
      </c>
      <c r="U430" s="453">
        <v>0</v>
      </c>
      <c r="V430" s="453">
        <v>0</v>
      </c>
      <c r="W430" s="453">
        <v>0</v>
      </c>
      <c r="X430" s="453">
        <v>0</v>
      </c>
      <c r="Y430" s="453">
        <v>0</v>
      </c>
      <c r="Z430" s="453">
        <v>0</v>
      </c>
      <c r="AA430" s="14">
        <v>0</v>
      </c>
      <c r="AB430" s="14">
        <v>0</v>
      </c>
      <c r="AC430" s="453">
        <v>0</v>
      </c>
      <c r="AD430" s="14">
        <v>0</v>
      </c>
      <c r="AE430" s="14">
        <v>0</v>
      </c>
      <c r="AF430" s="14">
        <v>0</v>
      </c>
      <c r="AG430" s="14">
        <v>0</v>
      </c>
      <c r="AH430" s="14">
        <v>0</v>
      </c>
      <c r="AI430" s="14">
        <v>0</v>
      </c>
      <c r="AJ430" s="14">
        <v>0</v>
      </c>
      <c r="AK430" s="14">
        <v>0</v>
      </c>
      <c r="AL430" s="14">
        <v>0</v>
      </c>
      <c r="AM430" s="453">
        <v>0</v>
      </c>
      <c r="AN430" s="453">
        <v>0</v>
      </c>
      <c r="AO430" s="453">
        <v>0</v>
      </c>
      <c r="AP430" s="453">
        <v>0</v>
      </c>
      <c r="AQ430" s="453">
        <v>0</v>
      </c>
      <c r="AR430" s="453">
        <v>0</v>
      </c>
      <c r="AS430" s="453">
        <v>0</v>
      </c>
      <c r="AT430" s="453">
        <v>0</v>
      </c>
      <c r="AU430" s="453">
        <v>0</v>
      </c>
      <c r="AV430" s="453">
        <v>0</v>
      </c>
      <c r="AW430" s="453">
        <v>0</v>
      </c>
      <c r="AX430" s="453">
        <v>0</v>
      </c>
      <c r="AY430" s="453">
        <v>0</v>
      </c>
      <c r="AZ430" s="453">
        <v>0</v>
      </c>
      <c r="BA430" s="453">
        <v>0</v>
      </c>
      <c r="BB430" s="453">
        <v>0</v>
      </c>
      <c r="BC430" s="453">
        <v>0</v>
      </c>
      <c r="BD430" s="453">
        <v>0</v>
      </c>
      <c r="BE430" s="105">
        <v>0</v>
      </c>
      <c r="BF430" s="453">
        <v>0</v>
      </c>
      <c r="BG430" s="453">
        <v>0</v>
      </c>
      <c r="BH430" s="105">
        <v>0</v>
      </c>
      <c r="BI430" s="453">
        <v>0</v>
      </c>
      <c r="BJ430" s="453">
        <v>0</v>
      </c>
      <c r="BK430" s="105">
        <v>0</v>
      </c>
      <c r="BL430" s="453">
        <v>0</v>
      </c>
      <c r="BM430" s="453">
        <v>0</v>
      </c>
      <c r="BN430" s="453">
        <v>0</v>
      </c>
      <c r="BO430" s="453">
        <v>0</v>
      </c>
      <c r="BP430" s="453">
        <v>0</v>
      </c>
      <c r="BQ430" s="453">
        <v>0</v>
      </c>
      <c r="BR430" s="14">
        <v>0</v>
      </c>
      <c r="BS430" s="14">
        <v>0</v>
      </c>
      <c r="BT430" s="377" t="str">
        <v/>
      </c>
      <c r="BU430" s="105" t="str">
        <v/>
      </c>
      <c r="BV430" s="453" t="str">
        <v/>
      </c>
      <c r="BW430" s="105" t="str">
        <f ca="1"/>
        <v/>
      </c>
    </row>
    <row r="431" spans="1:75" x14ac:dyDescent="0.3">
      <c r="A431" s="1">
        <v>0</v>
      </c>
      <c r="B431" s="106">
        <v>0</v>
      </c>
      <c r="C431" s="14">
        <v>0</v>
      </c>
      <c r="D431" s="14">
        <v>0</v>
      </c>
      <c r="E431" s="14">
        <v>0</v>
      </c>
      <c r="F431" s="453">
        <v>0</v>
      </c>
      <c r="G431" s="377">
        <v>0</v>
      </c>
      <c r="H431" s="453">
        <v>0</v>
      </c>
      <c r="I431" s="453">
        <v>0</v>
      </c>
      <c r="J431" s="453">
        <v>0</v>
      </c>
      <c r="K431" s="453">
        <v>0</v>
      </c>
      <c r="L431" s="453">
        <v>0</v>
      </c>
      <c r="M431" s="453">
        <v>0</v>
      </c>
      <c r="N431" s="453">
        <v>0</v>
      </c>
      <c r="O431" s="453">
        <v>0</v>
      </c>
      <c r="P431" s="14">
        <v>0</v>
      </c>
      <c r="Q431" s="14">
        <v>0</v>
      </c>
      <c r="R431" s="453">
        <v>0</v>
      </c>
      <c r="S431" s="453">
        <v>0</v>
      </c>
      <c r="T431" s="453">
        <v>0</v>
      </c>
      <c r="U431" s="453">
        <v>0</v>
      </c>
      <c r="V431" s="453">
        <v>0</v>
      </c>
      <c r="W431" s="453">
        <v>0</v>
      </c>
      <c r="X431" s="453">
        <v>0</v>
      </c>
      <c r="Y431" s="453">
        <v>0</v>
      </c>
      <c r="Z431" s="453">
        <v>0</v>
      </c>
      <c r="AA431" s="14">
        <v>0</v>
      </c>
      <c r="AB431" s="14">
        <v>0</v>
      </c>
      <c r="AC431" s="453">
        <v>0</v>
      </c>
      <c r="AD431" s="14">
        <v>0</v>
      </c>
      <c r="AE431" s="14">
        <v>0</v>
      </c>
      <c r="AF431" s="14">
        <v>0</v>
      </c>
      <c r="AG431" s="14">
        <v>0</v>
      </c>
      <c r="AH431" s="14">
        <v>0</v>
      </c>
      <c r="AI431" s="14">
        <v>0</v>
      </c>
      <c r="AJ431" s="14">
        <v>0</v>
      </c>
      <c r="AK431" s="14">
        <v>0</v>
      </c>
      <c r="AL431" s="14">
        <v>0</v>
      </c>
      <c r="AM431" s="453">
        <v>0</v>
      </c>
      <c r="AN431" s="453">
        <v>0</v>
      </c>
      <c r="AO431" s="453">
        <v>0</v>
      </c>
      <c r="AP431" s="453">
        <v>0</v>
      </c>
      <c r="AQ431" s="453">
        <v>0</v>
      </c>
      <c r="AR431" s="453">
        <v>0</v>
      </c>
      <c r="AS431" s="453">
        <v>0</v>
      </c>
      <c r="AT431" s="453">
        <v>0</v>
      </c>
      <c r="AU431" s="453">
        <v>0</v>
      </c>
      <c r="AV431" s="453">
        <v>0</v>
      </c>
      <c r="AW431" s="453">
        <v>0</v>
      </c>
      <c r="AX431" s="453">
        <v>0</v>
      </c>
      <c r="AY431" s="453">
        <v>0</v>
      </c>
      <c r="AZ431" s="453">
        <v>0</v>
      </c>
      <c r="BA431" s="453">
        <v>0</v>
      </c>
      <c r="BB431" s="453">
        <v>0</v>
      </c>
      <c r="BC431" s="453">
        <v>0</v>
      </c>
      <c r="BD431" s="453">
        <v>0</v>
      </c>
      <c r="BE431" s="105">
        <v>0</v>
      </c>
      <c r="BF431" s="453">
        <v>0</v>
      </c>
      <c r="BG431" s="453">
        <v>0</v>
      </c>
      <c r="BH431" s="105">
        <v>0</v>
      </c>
      <c r="BI431" s="453">
        <v>0</v>
      </c>
      <c r="BJ431" s="453">
        <v>0</v>
      </c>
      <c r="BK431" s="105">
        <v>0</v>
      </c>
      <c r="BL431" s="453">
        <v>0</v>
      </c>
      <c r="BM431" s="453">
        <v>0</v>
      </c>
      <c r="BN431" s="453">
        <v>0</v>
      </c>
      <c r="BO431" s="453">
        <v>0</v>
      </c>
      <c r="BP431" s="453">
        <v>0</v>
      </c>
      <c r="BQ431" s="453">
        <v>0</v>
      </c>
      <c r="BR431" s="14">
        <v>0</v>
      </c>
      <c r="BS431" s="14">
        <v>0</v>
      </c>
      <c r="BT431" s="377" t="str">
        <v/>
      </c>
      <c r="BU431" s="105" t="str">
        <v/>
      </c>
      <c r="BV431" s="453" t="str">
        <v/>
      </c>
      <c r="BW431" s="105" t="str">
        <f ca="1"/>
        <v/>
      </c>
    </row>
    <row r="432" spans="1:75" x14ac:dyDescent="0.3">
      <c r="A432" s="1">
        <v>0</v>
      </c>
      <c r="B432" s="106">
        <v>0</v>
      </c>
      <c r="C432" s="14">
        <v>0</v>
      </c>
      <c r="D432" s="14">
        <v>0</v>
      </c>
      <c r="E432" s="14">
        <v>0</v>
      </c>
      <c r="F432" s="453">
        <v>0</v>
      </c>
      <c r="G432" s="377">
        <v>0</v>
      </c>
      <c r="H432" s="453">
        <v>0</v>
      </c>
      <c r="I432" s="453">
        <v>0</v>
      </c>
      <c r="J432" s="453">
        <v>0</v>
      </c>
      <c r="K432" s="453">
        <v>0</v>
      </c>
      <c r="L432" s="453">
        <v>0</v>
      </c>
      <c r="M432" s="453">
        <v>0</v>
      </c>
      <c r="N432" s="453">
        <v>0</v>
      </c>
      <c r="O432" s="453">
        <v>0</v>
      </c>
      <c r="P432" s="14">
        <v>0</v>
      </c>
      <c r="Q432" s="14">
        <v>0</v>
      </c>
      <c r="R432" s="453">
        <v>0</v>
      </c>
      <c r="S432" s="453">
        <v>0</v>
      </c>
      <c r="T432" s="453">
        <v>0</v>
      </c>
      <c r="U432" s="453">
        <v>0</v>
      </c>
      <c r="V432" s="453">
        <v>0</v>
      </c>
      <c r="W432" s="453">
        <v>0</v>
      </c>
      <c r="X432" s="453">
        <v>0</v>
      </c>
      <c r="Y432" s="453">
        <v>0</v>
      </c>
      <c r="Z432" s="453">
        <v>0</v>
      </c>
      <c r="AA432" s="14">
        <v>0</v>
      </c>
      <c r="AB432" s="14">
        <v>0</v>
      </c>
      <c r="AC432" s="453">
        <v>0</v>
      </c>
      <c r="AD432" s="14">
        <v>0</v>
      </c>
      <c r="AE432" s="14">
        <v>0</v>
      </c>
      <c r="AF432" s="14">
        <v>0</v>
      </c>
      <c r="AG432" s="14">
        <v>0</v>
      </c>
      <c r="AH432" s="14">
        <v>0</v>
      </c>
      <c r="AI432" s="14">
        <v>0</v>
      </c>
      <c r="AJ432" s="14">
        <v>0</v>
      </c>
      <c r="AK432" s="14">
        <v>0</v>
      </c>
      <c r="AL432" s="14">
        <v>0</v>
      </c>
      <c r="AM432" s="453">
        <v>0</v>
      </c>
      <c r="AN432" s="453">
        <v>0</v>
      </c>
      <c r="AO432" s="453">
        <v>0</v>
      </c>
      <c r="AP432" s="453">
        <v>0</v>
      </c>
      <c r="AQ432" s="453">
        <v>0</v>
      </c>
      <c r="AR432" s="453">
        <v>0</v>
      </c>
      <c r="AS432" s="453">
        <v>0</v>
      </c>
      <c r="AT432" s="453">
        <v>0</v>
      </c>
      <c r="AU432" s="453">
        <v>0</v>
      </c>
      <c r="AV432" s="453">
        <v>0</v>
      </c>
      <c r="AW432" s="453">
        <v>0</v>
      </c>
      <c r="AX432" s="453">
        <v>0</v>
      </c>
      <c r="AY432" s="453">
        <v>0</v>
      </c>
      <c r="AZ432" s="453">
        <v>0</v>
      </c>
      <c r="BA432" s="453">
        <v>0</v>
      </c>
      <c r="BB432" s="453">
        <v>0</v>
      </c>
      <c r="BC432" s="453">
        <v>0</v>
      </c>
      <c r="BD432" s="453">
        <v>0</v>
      </c>
      <c r="BE432" s="105">
        <v>0</v>
      </c>
      <c r="BF432" s="453">
        <v>0</v>
      </c>
      <c r="BG432" s="453">
        <v>0</v>
      </c>
      <c r="BH432" s="105">
        <v>0</v>
      </c>
      <c r="BI432" s="453">
        <v>0</v>
      </c>
      <c r="BJ432" s="453">
        <v>0</v>
      </c>
      <c r="BK432" s="105">
        <v>0</v>
      </c>
      <c r="BL432" s="453">
        <v>0</v>
      </c>
      <c r="BM432" s="453">
        <v>0</v>
      </c>
      <c r="BN432" s="453">
        <v>0</v>
      </c>
      <c r="BO432" s="453">
        <v>0</v>
      </c>
      <c r="BP432" s="453">
        <v>0</v>
      </c>
      <c r="BQ432" s="453">
        <v>0</v>
      </c>
      <c r="BR432" s="14">
        <v>0</v>
      </c>
      <c r="BS432" s="14">
        <v>0</v>
      </c>
      <c r="BT432" s="377" t="str">
        <v/>
      </c>
      <c r="BU432" s="105" t="str">
        <v/>
      </c>
      <c r="BV432" s="453" t="str">
        <v/>
      </c>
      <c r="BW432" s="105" t="str">
        <f ca="1"/>
        <v/>
      </c>
    </row>
    <row r="433" spans="1:75" x14ac:dyDescent="0.3">
      <c r="A433" s="1">
        <v>0</v>
      </c>
      <c r="B433" s="106">
        <v>0</v>
      </c>
      <c r="C433" s="14">
        <v>0</v>
      </c>
      <c r="D433" s="14">
        <v>0</v>
      </c>
      <c r="E433" s="14">
        <v>0</v>
      </c>
      <c r="F433" s="453">
        <v>0</v>
      </c>
      <c r="G433" s="377">
        <v>0</v>
      </c>
      <c r="H433" s="453">
        <v>0</v>
      </c>
      <c r="I433" s="453">
        <v>0</v>
      </c>
      <c r="J433" s="453">
        <v>0</v>
      </c>
      <c r="K433" s="453">
        <v>0</v>
      </c>
      <c r="L433" s="453">
        <v>0</v>
      </c>
      <c r="M433" s="453">
        <v>0</v>
      </c>
      <c r="N433" s="453">
        <v>0</v>
      </c>
      <c r="O433" s="453">
        <v>0</v>
      </c>
      <c r="P433" s="14">
        <v>0</v>
      </c>
      <c r="Q433" s="14">
        <v>0</v>
      </c>
      <c r="R433" s="453">
        <v>0</v>
      </c>
      <c r="S433" s="453">
        <v>0</v>
      </c>
      <c r="T433" s="453">
        <v>0</v>
      </c>
      <c r="U433" s="453">
        <v>0</v>
      </c>
      <c r="V433" s="453">
        <v>0</v>
      </c>
      <c r="W433" s="453">
        <v>0</v>
      </c>
      <c r="X433" s="453">
        <v>0</v>
      </c>
      <c r="Y433" s="453">
        <v>0</v>
      </c>
      <c r="Z433" s="453">
        <v>0</v>
      </c>
      <c r="AA433" s="14">
        <v>0</v>
      </c>
      <c r="AB433" s="14">
        <v>0</v>
      </c>
      <c r="AC433" s="453">
        <v>0</v>
      </c>
      <c r="AD433" s="14">
        <v>0</v>
      </c>
      <c r="AE433" s="14">
        <v>0</v>
      </c>
      <c r="AF433" s="14">
        <v>0</v>
      </c>
      <c r="AG433" s="14">
        <v>0</v>
      </c>
      <c r="AH433" s="14">
        <v>0</v>
      </c>
      <c r="AI433" s="14">
        <v>0</v>
      </c>
      <c r="AJ433" s="14">
        <v>0</v>
      </c>
      <c r="AK433" s="14">
        <v>0</v>
      </c>
      <c r="AL433" s="14">
        <v>0</v>
      </c>
      <c r="AM433" s="453">
        <v>0</v>
      </c>
      <c r="AN433" s="453">
        <v>0</v>
      </c>
      <c r="AO433" s="453">
        <v>0</v>
      </c>
      <c r="AP433" s="453">
        <v>0</v>
      </c>
      <c r="AQ433" s="453">
        <v>0</v>
      </c>
      <c r="AR433" s="453">
        <v>0</v>
      </c>
      <c r="AS433" s="453">
        <v>0</v>
      </c>
      <c r="AT433" s="453">
        <v>0</v>
      </c>
      <c r="AU433" s="453">
        <v>0</v>
      </c>
      <c r="AV433" s="453">
        <v>0</v>
      </c>
      <c r="AW433" s="453">
        <v>0</v>
      </c>
      <c r="AX433" s="453">
        <v>0</v>
      </c>
      <c r="AY433" s="453">
        <v>0</v>
      </c>
      <c r="AZ433" s="453">
        <v>0</v>
      </c>
      <c r="BA433" s="453">
        <v>0</v>
      </c>
      <c r="BB433" s="453">
        <v>0</v>
      </c>
      <c r="BC433" s="453">
        <v>0</v>
      </c>
      <c r="BD433" s="453">
        <v>0</v>
      </c>
      <c r="BE433" s="105">
        <v>0</v>
      </c>
      <c r="BF433" s="453">
        <v>0</v>
      </c>
      <c r="BG433" s="453">
        <v>0</v>
      </c>
      <c r="BH433" s="105">
        <v>0</v>
      </c>
      <c r="BI433" s="453">
        <v>0</v>
      </c>
      <c r="BJ433" s="453">
        <v>0</v>
      </c>
      <c r="BK433" s="105">
        <v>0</v>
      </c>
      <c r="BL433" s="453">
        <v>0</v>
      </c>
      <c r="BM433" s="453">
        <v>0</v>
      </c>
      <c r="BN433" s="453">
        <v>0</v>
      </c>
      <c r="BO433" s="453">
        <v>0</v>
      </c>
      <c r="BP433" s="453">
        <v>0</v>
      </c>
      <c r="BQ433" s="453">
        <v>0</v>
      </c>
      <c r="BR433" s="14">
        <v>0</v>
      </c>
      <c r="BS433" s="14">
        <v>0</v>
      </c>
      <c r="BT433" s="377" t="str">
        <v/>
      </c>
      <c r="BU433" s="105" t="str">
        <v/>
      </c>
      <c r="BV433" s="453" t="str">
        <v/>
      </c>
      <c r="BW433" s="105" t="str">
        <f ca="1"/>
        <v/>
      </c>
    </row>
    <row r="434" spans="1:75" x14ac:dyDescent="0.3">
      <c r="A434" s="1">
        <v>0</v>
      </c>
      <c r="B434" s="106">
        <v>0</v>
      </c>
      <c r="C434" s="14">
        <v>0</v>
      </c>
      <c r="D434" s="14">
        <v>0</v>
      </c>
      <c r="E434" s="14">
        <v>0</v>
      </c>
      <c r="F434" s="453">
        <v>0</v>
      </c>
      <c r="G434" s="377">
        <v>0</v>
      </c>
      <c r="H434" s="453">
        <v>0</v>
      </c>
      <c r="I434" s="453">
        <v>0</v>
      </c>
      <c r="J434" s="453">
        <v>0</v>
      </c>
      <c r="K434" s="453">
        <v>0</v>
      </c>
      <c r="L434" s="453">
        <v>0</v>
      </c>
      <c r="M434" s="453">
        <v>0</v>
      </c>
      <c r="N434" s="453">
        <v>0</v>
      </c>
      <c r="O434" s="453">
        <v>0</v>
      </c>
      <c r="P434" s="14">
        <v>0</v>
      </c>
      <c r="Q434" s="14">
        <v>0</v>
      </c>
      <c r="R434" s="453">
        <v>0</v>
      </c>
      <c r="S434" s="453">
        <v>0</v>
      </c>
      <c r="T434" s="453">
        <v>0</v>
      </c>
      <c r="U434" s="453">
        <v>0</v>
      </c>
      <c r="V434" s="453">
        <v>0</v>
      </c>
      <c r="W434" s="453">
        <v>0</v>
      </c>
      <c r="X434" s="453">
        <v>0</v>
      </c>
      <c r="Y434" s="453">
        <v>0</v>
      </c>
      <c r="Z434" s="453">
        <v>0</v>
      </c>
      <c r="AA434" s="14">
        <v>0</v>
      </c>
      <c r="AB434" s="14">
        <v>0</v>
      </c>
      <c r="AC434" s="453">
        <v>0</v>
      </c>
      <c r="AD434" s="14">
        <v>0</v>
      </c>
      <c r="AE434" s="14">
        <v>0</v>
      </c>
      <c r="AF434" s="14">
        <v>0</v>
      </c>
      <c r="AG434" s="14">
        <v>0</v>
      </c>
      <c r="AH434" s="14">
        <v>0</v>
      </c>
      <c r="AI434" s="14">
        <v>0</v>
      </c>
      <c r="AJ434" s="14">
        <v>0</v>
      </c>
      <c r="AK434" s="14">
        <v>0</v>
      </c>
      <c r="AL434" s="14">
        <v>0</v>
      </c>
      <c r="AM434" s="453">
        <v>0</v>
      </c>
      <c r="AN434" s="453">
        <v>0</v>
      </c>
      <c r="AO434" s="453">
        <v>0</v>
      </c>
      <c r="AP434" s="453">
        <v>0</v>
      </c>
      <c r="AQ434" s="453">
        <v>0</v>
      </c>
      <c r="AR434" s="453">
        <v>0</v>
      </c>
      <c r="AS434" s="453">
        <v>0</v>
      </c>
      <c r="AT434" s="453">
        <v>0</v>
      </c>
      <c r="AU434" s="453">
        <v>0</v>
      </c>
      <c r="AV434" s="453">
        <v>0</v>
      </c>
      <c r="AW434" s="453">
        <v>0</v>
      </c>
      <c r="AX434" s="453">
        <v>0</v>
      </c>
      <c r="AY434" s="453">
        <v>0</v>
      </c>
      <c r="AZ434" s="453">
        <v>0</v>
      </c>
      <c r="BA434" s="453">
        <v>0</v>
      </c>
      <c r="BB434" s="453">
        <v>0</v>
      </c>
      <c r="BC434" s="453">
        <v>0</v>
      </c>
      <c r="BD434" s="453">
        <v>0</v>
      </c>
      <c r="BE434" s="105">
        <v>0</v>
      </c>
      <c r="BF434" s="453">
        <v>0</v>
      </c>
      <c r="BG434" s="453">
        <v>0</v>
      </c>
      <c r="BH434" s="105">
        <v>0</v>
      </c>
      <c r="BI434" s="453">
        <v>0</v>
      </c>
      <c r="BJ434" s="453">
        <v>0</v>
      </c>
      <c r="BK434" s="105">
        <v>0</v>
      </c>
      <c r="BL434" s="453">
        <v>0</v>
      </c>
      <c r="BM434" s="453">
        <v>0</v>
      </c>
      <c r="BN434" s="453">
        <v>0</v>
      </c>
      <c r="BO434" s="453">
        <v>0</v>
      </c>
      <c r="BP434" s="453">
        <v>0</v>
      </c>
      <c r="BQ434" s="453">
        <v>0</v>
      </c>
      <c r="BR434" s="14">
        <v>0</v>
      </c>
      <c r="BS434" s="14">
        <v>0</v>
      </c>
      <c r="BT434" s="377" t="str">
        <v/>
      </c>
      <c r="BU434" s="105" t="str">
        <v/>
      </c>
      <c r="BV434" s="453" t="str">
        <v/>
      </c>
      <c r="BW434" s="105" t="str">
        <f ca="1"/>
        <v/>
      </c>
    </row>
    <row r="435" spans="1:75" x14ac:dyDescent="0.3">
      <c r="A435" s="1">
        <v>0</v>
      </c>
      <c r="B435" s="106">
        <v>0</v>
      </c>
      <c r="C435" s="14">
        <v>0</v>
      </c>
      <c r="D435" s="14">
        <v>0</v>
      </c>
      <c r="E435" s="14">
        <v>0</v>
      </c>
      <c r="F435" s="453">
        <v>0</v>
      </c>
      <c r="G435" s="377">
        <v>0</v>
      </c>
      <c r="H435" s="453">
        <v>0</v>
      </c>
      <c r="I435" s="453">
        <v>0</v>
      </c>
      <c r="J435" s="453">
        <v>0</v>
      </c>
      <c r="K435" s="453">
        <v>0</v>
      </c>
      <c r="L435" s="453">
        <v>0</v>
      </c>
      <c r="M435" s="453">
        <v>0</v>
      </c>
      <c r="N435" s="453">
        <v>0</v>
      </c>
      <c r="O435" s="453">
        <v>0</v>
      </c>
      <c r="P435" s="14">
        <v>0</v>
      </c>
      <c r="Q435" s="14">
        <v>0</v>
      </c>
      <c r="R435" s="453">
        <v>0</v>
      </c>
      <c r="S435" s="453">
        <v>0</v>
      </c>
      <c r="T435" s="453">
        <v>0</v>
      </c>
      <c r="U435" s="453">
        <v>0</v>
      </c>
      <c r="V435" s="453">
        <v>0</v>
      </c>
      <c r="W435" s="453">
        <v>0</v>
      </c>
      <c r="X435" s="453">
        <v>0</v>
      </c>
      <c r="Y435" s="453">
        <v>0</v>
      </c>
      <c r="Z435" s="453">
        <v>0</v>
      </c>
      <c r="AA435" s="14">
        <v>0</v>
      </c>
      <c r="AB435" s="14">
        <v>0</v>
      </c>
      <c r="AC435" s="453">
        <v>0</v>
      </c>
      <c r="AD435" s="14">
        <v>0</v>
      </c>
      <c r="AE435" s="14">
        <v>0</v>
      </c>
      <c r="AF435" s="14">
        <v>0</v>
      </c>
      <c r="AG435" s="14">
        <v>0</v>
      </c>
      <c r="AH435" s="14">
        <v>0</v>
      </c>
      <c r="AI435" s="14">
        <v>0</v>
      </c>
      <c r="AJ435" s="14">
        <v>0</v>
      </c>
      <c r="AK435" s="14">
        <v>0</v>
      </c>
      <c r="AL435" s="14">
        <v>0</v>
      </c>
      <c r="AM435" s="453">
        <v>0</v>
      </c>
      <c r="AN435" s="453">
        <v>0</v>
      </c>
      <c r="AO435" s="453">
        <v>0</v>
      </c>
      <c r="AP435" s="453">
        <v>0</v>
      </c>
      <c r="AQ435" s="453">
        <v>0</v>
      </c>
      <c r="AR435" s="453">
        <v>0</v>
      </c>
      <c r="AS435" s="453">
        <v>0</v>
      </c>
      <c r="AT435" s="453">
        <v>0</v>
      </c>
      <c r="AU435" s="453">
        <v>0</v>
      </c>
      <c r="AV435" s="453">
        <v>0</v>
      </c>
      <c r="AW435" s="453">
        <v>0</v>
      </c>
      <c r="AX435" s="453">
        <v>0</v>
      </c>
      <c r="AY435" s="453">
        <v>0</v>
      </c>
      <c r="AZ435" s="453">
        <v>0</v>
      </c>
      <c r="BA435" s="453">
        <v>0</v>
      </c>
      <c r="BB435" s="453">
        <v>0</v>
      </c>
      <c r="BC435" s="453">
        <v>0</v>
      </c>
      <c r="BD435" s="453">
        <v>0</v>
      </c>
      <c r="BE435" s="105">
        <v>0</v>
      </c>
      <c r="BF435" s="453">
        <v>0</v>
      </c>
      <c r="BG435" s="453">
        <v>0</v>
      </c>
      <c r="BH435" s="105">
        <v>0</v>
      </c>
      <c r="BI435" s="453">
        <v>0</v>
      </c>
      <c r="BJ435" s="453">
        <v>0</v>
      </c>
      <c r="BK435" s="105">
        <v>0</v>
      </c>
      <c r="BL435" s="453">
        <v>0</v>
      </c>
      <c r="BM435" s="453">
        <v>0</v>
      </c>
      <c r="BN435" s="453">
        <v>0</v>
      </c>
      <c r="BO435" s="453">
        <v>0</v>
      </c>
      <c r="BP435" s="453">
        <v>0</v>
      </c>
      <c r="BQ435" s="453">
        <v>0</v>
      </c>
      <c r="BR435" s="14">
        <v>0</v>
      </c>
      <c r="BS435" s="14">
        <v>0</v>
      </c>
      <c r="BT435" s="377" t="str">
        <v/>
      </c>
      <c r="BU435" s="105" t="str">
        <v/>
      </c>
      <c r="BV435" s="453" t="str">
        <v/>
      </c>
      <c r="BW435" s="105" t="str">
        <f ca="1"/>
        <v/>
      </c>
    </row>
    <row r="436" spans="1:75" x14ac:dyDescent="0.3">
      <c r="A436" s="1">
        <v>0</v>
      </c>
      <c r="B436" s="106">
        <v>0</v>
      </c>
      <c r="C436" s="14">
        <v>0</v>
      </c>
      <c r="D436" s="14">
        <v>0</v>
      </c>
      <c r="E436" s="14">
        <v>0</v>
      </c>
      <c r="F436" s="453">
        <v>0</v>
      </c>
      <c r="G436" s="377">
        <v>0</v>
      </c>
      <c r="H436" s="453">
        <v>0</v>
      </c>
      <c r="I436" s="453">
        <v>0</v>
      </c>
      <c r="J436" s="453">
        <v>0</v>
      </c>
      <c r="K436" s="453">
        <v>0</v>
      </c>
      <c r="L436" s="453">
        <v>0</v>
      </c>
      <c r="M436" s="453">
        <v>0</v>
      </c>
      <c r="N436" s="453">
        <v>0</v>
      </c>
      <c r="O436" s="453">
        <v>0</v>
      </c>
      <c r="P436" s="14">
        <v>0</v>
      </c>
      <c r="Q436" s="14">
        <v>0</v>
      </c>
      <c r="R436" s="453">
        <v>0</v>
      </c>
      <c r="S436" s="453">
        <v>0</v>
      </c>
      <c r="T436" s="453">
        <v>0</v>
      </c>
      <c r="U436" s="453">
        <v>0</v>
      </c>
      <c r="V436" s="453">
        <v>0</v>
      </c>
      <c r="W436" s="453">
        <v>0</v>
      </c>
      <c r="X436" s="453">
        <v>0</v>
      </c>
      <c r="Y436" s="453">
        <v>0</v>
      </c>
      <c r="Z436" s="453">
        <v>0</v>
      </c>
      <c r="AA436" s="14">
        <v>0</v>
      </c>
      <c r="AB436" s="14">
        <v>0</v>
      </c>
      <c r="AC436" s="453">
        <v>0</v>
      </c>
      <c r="AD436" s="14">
        <v>0</v>
      </c>
      <c r="AE436" s="14">
        <v>0</v>
      </c>
      <c r="AF436" s="14">
        <v>0</v>
      </c>
      <c r="AG436" s="14">
        <v>0</v>
      </c>
      <c r="AH436" s="14">
        <v>0</v>
      </c>
      <c r="AI436" s="14">
        <v>0</v>
      </c>
      <c r="AJ436" s="14">
        <v>0</v>
      </c>
      <c r="AK436" s="14">
        <v>0</v>
      </c>
      <c r="AL436" s="14">
        <v>0</v>
      </c>
      <c r="AM436" s="453">
        <v>0</v>
      </c>
      <c r="AN436" s="453">
        <v>0</v>
      </c>
      <c r="AO436" s="453">
        <v>0</v>
      </c>
      <c r="AP436" s="453">
        <v>0</v>
      </c>
      <c r="AQ436" s="453">
        <v>0</v>
      </c>
      <c r="AR436" s="453">
        <v>0</v>
      </c>
      <c r="AS436" s="453">
        <v>0</v>
      </c>
      <c r="AT436" s="453">
        <v>0</v>
      </c>
      <c r="AU436" s="453">
        <v>0</v>
      </c>
      <c r="AV436" s="453">
        <v>0</v>
      </c>
      <c r="AW436" s="453">
        <v>0</v>
      </c>
      <c r="AX436" s="453">
        <v>0</v>
      </c>
      <c r="AY436" s="453">
        <v>0</v>
      </c>
      <c r="AZ436" s="453">
        <v>0</v>
      </c>
      <c r="BA436" s="453">
        <v>0</v>
      </c>
      <c r="BB436" s="453">
        <v>0</v>
      </c>
      <c r="BC436" s="453">
        <v>0</v>
      </c>
      <c r="BD436" s="453">
        <v>0</v>
      </c>
      <c r="BE436" s="105">
        <v>0</v>
      </c>
      <c r="BF436" s="453">
        <v>0</v>
      </c>
      <c r="BG436" s="453">
        <v>0</v>
      </c>
      <c r="BH436" s="105">
        <v>0</v>
      </c>
      <c r="BI436" s="453">
        <v>0</v>
      </c>
      <c r="BJ436" s="453">
        <v>0</v>
      </c>
      <c r="BK436" s="105">
        <v>0</v>
      </c>
      <c r="BL436" s="453">
        <v>0</v>
      </c>
      <c r="BM436" s="453">
        <v>0</v>
      </c>
      <c r="BN436" s="453">
        <v>0</v>
      </c>
      <c r="BO436" s="453">
        <v>0</v>
      </c>
      <c r="BP436" s="453">
        <v>0</v>
      </c>
      <c r="BQ436" s="453">
        <v>0</v>
      </c>
      <c r="BR436" s="14">
        <v>0</v>
      </c>
      <c r="BS436" s="14">
        <v>0</v>
      </c>
      <c r="BT436" s="377" t="str">
        <v/>
      </c>
      <c r="BU436" s="105" t="str">
        <v/>
      </c>
      <c r="BV436" s="453" t="str">
        <v/>
      </c>
      <c r="BW436" s="105" t="str">
        <f ca="1"/>
        <v/>
      </c>
    </row>
    <row r="437" spans="1:75" x14ac:dyDescent="0.3">
      <c r="A437" s="1">
        <v>0</v>
      </c>
      <c r="B437" s="106">
        <v>0</v>
      </c>
      <c r="C437" s="14">
        <v>0</v>
      </c>
      <c r="D437" s="14">
        <v>0</v>
      </c>
      <c r="E437" s="14">
        <v>0</v>
      </c>
      <c r="F437" s="453">
        <v>0</v>
      </c>
      <c r="G437" s="377">
        <v>0</v>
      </c>
      <c r="H437" s="453">
        <v>0</v>
      </c>
      <c r="I437" s="453">
        <v>0</v>
      </c>
      <c r="J437" s="453">
        <v>0</v>
      </c>
      <c r="K437" s="453">
        <v>0</v>
      </c>
      <c r="L437" s="453">
        <v>0</v>
      </c>
      <c r="M437" s="453">
        <v>0</v>
      </c>
      <c r="N437" s="453">
        <v>0</v>
      </c>
      <c r="O437" s="453">
        <v>0</v>
      </c>
      <c r="P437" s="14">
        <v>0</v>
      </c>
      <c r="Q437" s="14">
        <v>0</v>
      </c>
      <c r="R437" s="453">
        <v>0</v>
      </c>
      <c r="S437" s="453">
        <v>0</v>
      </c>
      <c r="T437" s="453">
        <v>0</v>
      </c>
      <c r="U437" s="453">
        <v>0</v>
      </c>
      <c r="V437" s="453">
        <v>0</v>
      </c>
      <c r="W437" s="453">
        <v>0</v>
      </c>
      <c r="X437" s="453">
        <v>0</v>
      </c>
      <c r="Y437" s="453">
        <v>0</v>
      </c>
      <c r="Z437" s="453">
        <v>0</v>
      </c>
      <c r="AA437" s="14">
        <v>0</v>
      </c>
      <c r="AB437" s="14">
        <v>0</v>
      </c>
      <c r="AC437" s="453">
        <v>0</v>
      </c>
      <c r="AD437" s="14">
        <v>0</v>
      </c>
      <c r="AE437" s="14">
        <v>0</v>
      </c>
      <c r="AF437" s="14">
        <v>0</v>
      </c>
      <c r="AG437" s="14">
        <v>0</v>
      </c>
      <c r="AH437" s="14">
        <v>0</v>
      </c>
      <c r="AI437" s="14">
        <v>0</v>
      </c>
      <c r="AJ437" s="14">
        <v>0</v>
      </c>
      <c r="AK437" s="14">
        <v>0</v>
      </c>
      <c r="AL437" s="14">
        <v>0</v>
      </c>
      <c r="AM437" s="453">
        <v>0</v>
      </c>
      <c r="AN437" s="453">
        <v>0</v>
      </c>
      <c r="AO437" s="453">
        <v>0</v>
      </c>
      <c r="AP437" s="453">
        <v>0</v>
      </c>
      <c r="AQ437" s="453">
        <v>0</v>
      </c>
      <c r="AR437" s="453">
        <v>0</v>
      </c>
      <c r="AS437" s="453">
        <v>0</v>
      </c>
      <c r="AT437" s="453">
        <v>0</v>
      </c>
      <c r="AU437" s="453">
        <v>0</v>
      </c>
      <c r="AV437" s="453">
        <v>0</v>
      </c>
      <c r="AW437" s="453">
        <v>0</v>
      </c>
      <c r="AX437" s="453">
        <v>0</v>
      </c>
      <c r="AY437" s="453">
        <v>0</v>
      </c>
      <c r="AZ437" s="453">
        <v>0</v>
      </c>
      <c r="BA437" s="453">
        <v>0</v>
      </c>
      <c r="BB437" s="453">
        <v>0</v>
      </c>
      <c r="BC437" s="453">
        <v>0</v>
      </c>
      <c r="BD437" s="453">
        <v>0</v>
      </c>
      <c r="BE437" s="105">
        <v>0</v>
      </c>
      <c r="BF437" s="453">
        <v>0</v>
      </c>
      <c r="BG437" s="453">
        <v>0</v>
      </c>
      <c r="BH437" s="105">
        <v>0</v>
      </c>
      <c r="BI437" s="453">
        <v>0</v>
      </c>
      <c r="BJ437" s="453">
        <v>0</v>
      </c>
      <c r="BK437" s="105">
        <v>0</v>
      </c>
      <c r="BL437" s="453">
        <v>0</v>
      </c>
      <c r="BM437" s="453">
        <v>0</v>
      </c>
      <c r="BN437" s="453">
        <v>0</v>
      </c>
      <c r="BO437" s="453">
        <v>0</v>
      </c>
      <c r="BP437" s="453">
        <v>0</v>
      </c>
      <c r="BQ437" s="453">
        <v>0</v>
      </c>
      <c r="BR437" s="14">
        <v>0</v>
      </c>
      <c r="BS437" s="14">
        <v>0</v>
      </c>
      <c r="BT437" s="377" t="str">
        <v/>
      </c>
      <c r="BU437" s="105" t="str">
        <v/>
      </c>
      <c r="BV437" s="453" t="str">
        <v/>
      </c>
      <c r="BW437" s="105" t="str">
        <f ca="1"/>
        <v/>
      </c>
    </row>
    <row r="438" spans="1:75" x14ac:dyDescent="0.3">
      <c r="A438" s="1">
        <v>0</v>
      </c>
      <c r="B438" s="106">
        <v>0</v>
      </c>
      <c r="C438" s="14">
        <v>0</v>
      </c>
      <c r="D438" s="14">
        <v>0</v>
      </c>
      <c r="E438" s="14">
        <v>0</v>
      </c>
      <c r="F438" s="453">
        <v>0</v>
      </c>
      <c r="G438" s="377">
        <v>0</v>
      </c>
      <c r="H438" s="453">
        <v>0</v>
      </c>
      <c r="I438" s="453">
        <v>0</v>
      </c>
      <c r="J438" s="453">
        <v>0</v>
      </c>
      <c r="K438" s="453">
        <v>0</v>
      </c>
      <c r="L438" s="453">
        <v>0</v>
      </c>
      <c r="M438" s="453">
        <v>0</v>
      </c>
      <c r="N438" s="453">
        <v>0</v>
      </c>
      <c r="O438" s="453">
        <v>0</v>
      </c>
      <c r="P438" s="14">
        <v>0</v>
      </c>
      <c r="Q438" s="14">
        <v>0</v>
      </c>
      <c r="R438" s="453">
        <v>0</v>
      </c>
      <c r="S438" s="453">
        <v>0</v>
      </c>
      <c r="T438" s="453">
        <v>0</v>
      </c>
      <c r="U438" s="453">
        <v>0</v>
      </c>
      <c r="V438" s="453">
        <v>0</v>
      </c>
      <c r="W438" s="453">
        <v>0</v>
      </c>
      <c r="X438" s="453">
        <v>0</v>
      </c>
      <c r="Y438" s="453">
        <v>0</v>
      </c>
      <c r="Z438" s="453">
        <v>0</v>
      </c>
      <c r="AA438" s="14">
        <v>0</v>
      </c>
      <c r="AB438" s="14">
        <v>0</v>
      </c>
      <c r="AC438" s="453">
        <v>0</v>
      </c>
      <c r="AD438" s="14">
        <v>0</v>
      </c>
      <c r="AE438" s="14">
        <v>0</v>
      </c>
      <c r="AF438" s="14">
        <v>0</v>
      </c>
      <c r="AG438" s="14">
        <v>0</v>
      </c>
      <c r="AH438" s="14">
        <v>0</v>
      </c>
      <c r="AI438" s="14">
        <v>0</v>
      </c>
      <c r="AJ438" s="14">
        <v>0</v>
      </c>
      <c r="AK438" s="14">
        <v>0</v>
      </c>
      <c r="AL438" s="14">
        <v>0</v>
      </c>
      <c r="AM438" s="453">
        <v>0</v>
      </c>
      <c r="AN438" s="453">
        <v>0</v>
      </c>
      <c r="AO438" s="453">
        <v>0</v>
      </c>
      <c r="AP438" s="453">
        <v>0</v>
      </c>
      <c r="AQ438" s="453">
        <v>0</v>
      </c>
      <c r="AR438" s="453">
        <v>0</v>
      </c>
      <c r="AS438" s="453">
        <v>0</v>
      </c>
      <c r="AT438" s="453">
        <v>0</v>
      </c>
      <c r="AU438" s="453">
        <v>0</v>
      </c>
      <c r="AV438" s="453">
        <v>0</v>
      </c>
      <c r="AW438" s="453">
        <v>0</v>
      </c>
      <c r="AX438" s="453">
        <v>0</v>
      </c>
      <c r="AY438" s="453">
        <v>0</v>
      </c>
      <c r="AZ438" s="453">
        <v>0</v>
      </c>
      <c r="BA438" s="453">
        <v>0</v>
      </c>
      <c r="BB438" s="453">
        <v>0</v>
      </c>
      <c r="BC438" s="453">
        <v>0</v>
      </c>
      <c r="BD438" s="453">
        <v>0</v>
      </c>
      <c r="BE438" s="105">
        <v>0</v>
      </c>
      <c r="BF438" s="453">
        <v>0</v>
      </c>
      <c r="BG438" s="453">
        <v>0</v>
      </c>
      <c r="BH438" s="105">
        <v>0</v>
      </c>
      <c r="BI438" s="453">
        <v>0</v>
      </c>
      <c r="BJ438" s="453">
        <v>0</v>
      </c>
      <c r="BK438" s="105">
        <v>0</v>
      </c>
      <c r="BL438" s="453">
        <v>0</v>
      </c>
      <c r="BM438" s="453">
        <v>0</v>
      </c>
      <c r="BN438" s="453">
        <v>0</v>
      </c>
      <c r="BO438" s="453">
        <v>0</v>
      </c>
      <c r="BP438" s="453">
        <v>0</v>
      </c>
      <c r="BQ438" s="453">
        <v>0</v>
      </c>
      <c r="BR438" s="14">
        <v>0</v>
      </c>
      <c r="BS438" s="14">
        <v>0</v>
      </c>
      <c r="BT438" s="377" t="str">
        <v/>
      </c>
      <c r="BU438" s="105" t="str">
        <v/>
      </c>
      <c r="BV438" s="453" t="str">
        <v/>
      </c>
      <c r="BW438" s="105" t="str">
        <f ca="1"/>
        <v/>
      </c>
    </row>
    <row r="439" spans="1:75" x14ac:dyDescent="0.3">
      <c r="A439" s="1">
        <v>0</v>
      </c>
      <c r="B439" s="106">
        <v>0</v>
      </c>
      <c r="C439" s="14">
        <v>0</v>
      </c>
      <c r="D439" s="14">
        <v>0</v>
      </c>
      <c r="E439" s="14">
        <v>0</v>
      </c>
      <c r="F439" s="453">
        <v>0</v>
      </c>
      <c r="G439" s="377">
        <v>0</v>
      </c>
      <c r="H439" s="453">
        <v>0</v>
      </c>
      <c r="I439" s="453">
        <v>0</v>
      </c>
      <c r="J439" s="453">
        <v>0</v>
      </c>
      <c r="K439" s="453">
        <v>0</v>
      </c>
      <c r="L439" s="453">
        <v>0</v>
      </c>
      <c r="M439" s="453">
        <v>0</v>
      </c>
      <c r="N439" s="453">
        <v>0</v>
      </c>
      <c r="O439" s="453">
        <v>0</v>
      </c>
      <c r="P439" s="14">
        <v>0</v>
      </c>
      <c r="Q439" s="14">
        <v>0</v>
      </c>
      <c r="R439" s="453">
        <v>0</v>
      </c>
      <c r="S439" s="453">
        <v>0</v>
      </c>
      <c r="T439" s="453">
        <v>0</v>
      </c>
      <c r="U439" s="453">
        <v>0</v>
      </c>
      <c r="V439" s="453">
        <v>0</v>
      </c>
      <c r="W439" s="453">
        <v>0</v>
      </c>
      <c r="X439" s="453">
        <v>0</v>
      </c>
      <c r="Y439" s="453">
        <v>0</v>
      </c>
      <c r="Z439" s="453">
        <v>0</v>
      </c>
      <c r="AA439" s="14">
        <v>0</v>
      </c>
      <c r="AB439" s="14">
        <v>0</v>
      </c>
      <c r="AC439" s="453">
        <v>0</v>
      </c>
      <c r="AD439" s="14">
        <v>0</v>
      </c>
      <c r="AE439" s="14">
        <v>0</v>
      </c>
      <c r="AF439" s="14">
        <v>0</v>
      </c>
      <c r="AG439" s="14">
        <v>0</v>
      </c>
      <c r="AH439" s="14">
        <v>0</v>
      </c>
      <c r="AI439" s="14">
        <v>0</v>
      </c>
      <c r="AJ439" s="14">
        <v>0</v>
      </c>
      <c r="AK439" s="14">
        <v>0</v>
      </c>
      <c r="AL439" s="14">
        <v>0</v>
      </c>
      <c r="AM439" s="453">
        <v>0</v>
      </c>
      <c r="AN439" s="453">
        <v>0</v>
      </c>
      <c r="AO439" s="453">
        <v>0</v>
      </c>
      <c r="AP439" s="453">
        <v>0</v>
      </c>
      <c r="AQ439" s="453">
        <v>0</v>
      </c>
      <c r="AR439" s="453">
        <v>0</v>
      </c>
      <c r="AS439" s="453">
        <v>0</v>
      </c>
      <c r="AT439" s="453">
        <v>0</v>
      </c>
      <c r="AU439" s="453">
        <v>0</v>
      </c>
      <c r="AV439" s="453">
        <v>0</v>
      </c>
      <c r="AW439" s="453">
        <v>0</v>
      </c>
      <c r="AX439" s="453">
        <v>0</v>
      </c>
      <c r="AY439" s="453">
        <v>0</v>
      </c>
      <c r="AZ439" s="453">
        <v>0</v>
      </c>
      <c r="BA439" s="453">
        <v>0</v>
      </c>
      <c r="BB439" s="453">
        <v>0</v>
      </c>
      <c r="BC439" s="453">
        <v>0</v>
      </c>
      <c r="BD439" s="453">
        <v>0</v>
      </c>
      <c r="BE439" s="105">
        <v>0</v>
      </c>
      <c r="BF439" s="453">
        <v>0</v>
      </c>
      <c r="BG439" s="453">
        <v>0</v>
      </c>
      <c r="BH439" s="105">
        <v>0</v>
      </c>
      <c r="BI439" s="453">
        <v>0</v>
      </c>
      <c r="BJ439" s="453">
        <v>0</v>
      </c>
      <c r="BK439" s="105">
        <v>0</v>
      </c>
      <c r="BL439" s="453">
        <v>0</v>
      </c>
      <c r="BM439" s="453">
        <v>0</v>
      </c>
      <c r="BN439" s="453">
        <v>0</v>
      </c>
      <c r="BO439" s="453">
        <v>0</v>
      </c>
      <c r="BP439" s="453">
        <v>0</v>
      </c>
      <c r="BQ439" s="453">
        <v>0</v>
      </c>
      <c r="BR439" s="14">
        <v>0</v>
      </c>
      <c r="BS439" s="14">
        <v>0</v>
      </c>
      <c r="BT439" s="377" t="str">
        <v/>
      </c>
      <c r="BU439" s="105" t="str">
        <v/>
      </c>
      <c r="BV439" s="453" t="str">
        <v/>
      </c>
      <c r="BW439" s="105" t="str">
        <f ca="1"/>
        <v/>
      </c>
    </row>
    <row r="440" spans="1:75" x14ac:dyDescent="0.3">
      <c r="A440" s="1">
        <v>0</v>
      </c>
      <c r="B440" s="106">
        <v>0</v>
      </c>
      <c r="C440" s="14">
        <v>0</v>
      </c>
      <c r="D440" s="14">
        <v>0</v>
      </c>
      <c r="E440" s="14">
        <v>0</v>
      </c>
      <c r="F440" s="453">
        <v>0</v>
      </c>
      <c r="G440" s="377">
        <v>0</v>
      </c>
      <c r="H440" s="453">
        <v>0</v>
      </c>
      <c r="I440" s="453">
        <v>0</v>
      </c>
      <c r="J440" s="453">
        <v>0</v>
      </c>
      <c r="K440" s="453">
        <v>0</v>
      </c>
      <c r="L440" s="453">
        <v>0</v>
      </c>
      <c r="M440" s="453">
        <v>0</v>
      </c>
      <c r="N440" s="453">
        <v>0</v>
      </c>
      <c r="O440" s="453">
        <v>0</v>
      </c>
      <c r="P440" s="14">
        <v>0</v>
      </c>
      <c r="Q440" s="14">
        <v>0</v>
      </c>
      <c r="R440" s="453">
        <v>0</v>
      </c>
      <c r="S440" s="453">
        <v>0</v>
      </c>
      <c r="T440" s="453">
        <v>0</v>
      </c>
      <c r="U440" s="453">
        <v>0</v>
      </c>
      <c r="V440" s="453">
        <v>0</v>
      </c>
      <c r="W440" s="453">
        <v>0</v>
      </c>
      <c r="X440" s="453">
        <v>0</v>
      </c>
      <c r="Y440" s="453">
        <v>0</v>
      </c>
      <c r="Z440" s="453">
        <v>0</v>
      </c>
      <c r="AA440" s="14">
        <v>0</v>
      </c>
      <c r="AB440" s="14">
        <v>0</v>
      </c>
      <c r="AC440" s="453">
        <v>0</v>
      </c>
      <c r="AD440" s="14">
        <v>0</v>
      </c>
      <c r="AE440" s="14">
        <v>0</v>
      </c>
      <c r="AF440" s="14">
        <v>0</v>
      </c>
      <c r="AG440" s="14">
        <v>0</v>
      </c>
      <c r="AH440" s="14">
        <v>0</v>
      </c>
      <c r="AI440" s="14">
        <v>0</v>
      </c>
      <c r="AJ440" s="14">
        <v>0</v>
      </c>
      <c r="AK440" s="14">
        <v>0</v>
      </c>
      <c r="AL440" s="14">
        <v>0</v>
      </c>
      <c r="AM440" s="453">
        <v>0</v>
      </c>
      <c r="AN440" s="453">
        <v>0</v>
      </c>
      <c r="AO440" s="453">
        <v>0</v>
      </c>
      <c r="AP440" s="453">
        <v>0</v>
      </c>
      <c r="AQ440" s="453">
        <v>0</v>
      </c>
      <c r="AR440" s="453">
        <v>0</v>
      </c>
      <c r="AS440" s="453">
        <v>0</v>
      </c>
      <c r="AT440" s="453">
        <v>0</v>
      </c>
      <c r="AU440" s="453">
        <v>0</v>
      </c>
      <c r="AV440" s="453">
        <v>0</v>
      </c>
      <c r="AW440" s="453">
        <v>0</v>
      </c>
      <c r="AX440" s="453">
        <v>0</v>
      </c>
      <c r="AY440" s="453">
        <v>0</v>
      </c>
      <c r="AZ440" s="453">
        <v>0</v>
      </c>
      <c r="BA440" s="453">
        <v>0</v>
      </c>
      <c r="BB440" s="453">
        <v>0</v>
      </c>
      <c r="BC440" s="453">
        <v>0</v>
      </c>
      <c r="BD440" s="453">
        <v>0</v>
      </c>
      <c r="BE440" s="105">
        <v>0</v>
      </c>
      <c r="BF440" s="453">
        <v>0</v>
      </c>
      <c r="BG440" s="453">
        <v>0</v>
      </c>
      <c r="BH440" s="105">
        <v>0</v>
      </c>
      <c r="BI440" s="453">
        <v>0</v>
      </c>
      <c r="BJ440" s="453">
        <v>0</v>
      </c>
      <c r="BK440" s="105">
        <v>0</v>
      </c>
      <c r="BL440" s="453">
        <v>0</v>
      </c>
      <c r="BM440" s="453">
        <v>0</v>
      </c>
      <c r="BN440" s="453">
        <v>0</v>
      </c>
      <c r="BO440" s="453">
        <v>0</v>
      </c>
      <c r="BP440" s="453">
        <v>0</v>
      </c>
      <c r="BQ440" s="453">
        <v>0</v>
      </c>
      <c r="BR440" s="14">
        <v>0</v>
      </c>
      <c r="BS440" s="14">
        <v>0</v>
      </c>
      <c r="BT440" s="377" t="str">
        <v/>
      </c>
      <c r="BU440" s="105" t="str">
        <v/>
      </c>
      <c r="BV440" s="453" t="str">
        <v/>
      </c>
      <c r="BW440" s="105" t="str">
        <f ca="1"/>
        <v/>
      </c>
    </row>
    <row r="441" spans="1:75" x14ac:dyDescent="0.3">
      <c r="A441" s="1">
        <v>0</v>
      </c>
      <c r="B441" s="106">
        <v>0</v>
      </c>
      <c r="C441" s="14">
        <v>0</v>
      </c>
      <c r="D441" s="14">
        <v>0</v>
      </c>
      <c r="E441" s="14">
        <v>0</v>
      </c>
      <c r="F441" s="453">
        <v>0</v>
      </c>
      <c r="G441" s="377">
        <v>0</v>
      </c>
      <c r="H441" s="453">
        <v>0</v>
      </c>
      <c r="I441" s="453">
        <v>0</v>
      </c>
      <c r="J441" s="453">
        <v>0</v>
      </c>
      <c r="K441" s="453">
        <v>0</v>
      </c>
      <c r="L441" s="453">
        <v>0</v>
      </c>
      <c r="M441" s="453">
        <v>0</v>
      </c>
      <c r="N441" s="453">
        <v>0</v>
      </c>
      <c r="O441" s="453">
        <v>0</v>
      </c>
      <c r="P441" s="14">
        <v>0</v>
      </c>
      <c r="Q441" s="14">
        <v>0</v>
      </c>
      <c r="R441" s="453">
        <v>0</v>
      </c>
      <c r="S441" s="453">
        <v>0</v>
      </c>
      <c r="T441" s="453">
        <v>0</v>
      </c>
      <c r="U441" s="453">
        <v>0</v>
      </c>
      <c r="V441" s="453">
        <v>0</v>
      </c>
      <c r="W441" s="453">
        <v>0</v>
      </c>
      <c r="X441" s="453">
        <v>0</v>
      </c>
      <c r="Y441" s="453">
        <v>0</v>
      </c>
      <c r="Z441" s="453">
        <v>0</v>
      </c>
      <c r="AA441" s="14">
        <v>0</v>
      </c>
      <c r="AB441" s="14">
        <v>0</v>
      </c>
      <c r="AC441" s="453">
        <v>0</v>
      </c>
      <c r="AD441" s="14">
        <v>0</v>
      </c>
      <c r="AE441" s="14">
        <v>0</v>
      </c>
      <c r="AF441" s="14">
        <v>0</v>
      </c>
      <c r="AG441" s="14">
        <v>0</v>
      </c>
      <c r="AH441" s="14">
        <v>0</v>
      </c>
      <c r="AI441" s="14">
        <v>0</v>
      </c>
      <c r="AJ441" s="14">
        <v>0</v>
      </c>
      <c r="AK441" s="14">
        <v>0</v>
      </c>
      <c r="AL441" s="14">
        <v>0</v>
      </c>
      <c r="AM441" s="453">
        <v>0</v>
      </c>
      <c r="AN441" s="453">
        <v>0</v>
      </c>
      <c r="AO441" s="453">
        <v>0</v>
      </c>
      <c r="AP441" s="453">
        <v>0</v>
      </c>
      <c r="AQ441" s="453">
        <v>0</v>
      </c>
      <c r="AR441" s="453">
        <v>0</v>
      </c>
      <c r="AS441" s="453">
        <v>0</v>
      </c>
      <c r="AT441" s="453">
        <v>0</v>
      </c>
      <c r="AU441" s="453">
        <v>0</v>
      </c>
      <c r="AV441" s="453">
        <v>0</v>
      </c>
      <c r="AW441" s="453">
        <v>0</v>
      </c>
      <c r="AX441" s="453">
        <v>0</v>
      </c>
      <c r="AY441" s="453">
        <v>0</v>
      </c>
      <c r="AZ441" s="453">
        <v>0</v>
      </c>
      <c r="BA441" s="453">
        <v>0</v>
      </c>
      <c r="BB441" s="453">
        <v>0</v>
      </c>
      <c r="BC441" s="453">
        <v>0</v>
      </c>
      <c r="BD441" s="453">
        <v>0</v>
      </c>
      <c r="BE441" s="105">
        <v>0</v>
      </c>
      <c r="BF441" s="453">
        <v>0</v>
      </c>
      <c r="BG441" s="453">
        <v>0</v>
      </c>
      <c r="BH441" s="105">
        <v>0</v>
      </c>
      <c r="BI441" s="453">
        <v>0</v>
      </c>
      <c r="BJ441" s="453">
        <v>0</v>
      </c>
      <c r="BK441" s="105">
        <v>0</v>
      </c>
      <c r="BL441" s="453">
        <v>0</v>
      </c>
      <c r="BM441" s="453">
        <v>0</v>
      </c>
      <c r="BN441" s="453">
        <v>0</v>
      </c>
      <c r="BO441" s="453">
        <v>0</v>
      </c>
      <c r="BP441" s="453">
        <v>0</v>
      </c>
      <c r="BQ441" s="453">
        <v>0</v>
      </c>
      <c r="BR441" s="14">
        <v>0</v>
      </c>
      <c r="BS441" s="14">
        <v>0</v>
      </c>
      <c r="BT441" s="377" t="str">
        <v/>
      </c>
      <c r="BU441" s="105" t="str">
        <v/>
      </c>
      <c r="BV441" s="453" t="str">
        <v/>
      </c>
      <c r="BW441" s="105" t="str">
        <f ca="1"/>
        <v/>
      </c>
    </row>
    <row r="442" spans="1:75" x14ac:dyDescent="0.3">
      <c r="A442" s="1">
        <v>0</v>
      </c>
      <c r="B442" s="106">
        <v>0</v>
      </c>
      <c r="C442" s="14">
        <v>0</v>
      </c>
      <c r="D442" s="14">
        <v>0</v>
      </c>
      <c r="E442" s="14">
        <v>0</v>
      </c>
      <c r="F442" s="453">
        <v>0</v>
      </c>
      <c r="G442" s="377">
        <v>0</v>
      </c>
      <c r="H442" s="453">
        <v>0</v>
      </c>
      <c r="I442" s="453">
        <v>0</v>
      </c>
      <c r="J442" s="453">
        <v>0</v>
      </c>
      <c r="K442" s="453">
        <v>0</v>
      </c>
      <c r="L442" s="453">
        <v>0</v>
      </c>
      <c r="M442" s="453">
        <v>0</v>
      </c>
      <c r="N442" s="453">
        <v>0</v>
      </c>
      <c r="O442" s="453">
        <v>0</v>
      </c>
      <c r="P442" s="14">
        <v>0</v>
      </c>
      <c r="Q442" s="14">
        <v>0</v>
      </c>
      <c r="R442" s="453">
        <v>0</v>
      </c>
      <c r="S442" s="453">
        <v>0</v>
      </c>
      <c r="T442" s="453">
        <v>0</v>
      </c>
      <c r="U442" s="453">
        <v>0</v>
      </c>
      <c r="V442" s="453">
        <v>0</v>
      </c>
      <c r="W442" s="453">
        <v>0</v>
      </c>
      <c r="X442" s="453">
        <v>0</v>
      </c>
      <c r="Y442" s="453">
        <v>0</v>
      </c>
      <c r="Z442" s="453">
        <v>0</v>
      </c>
      <c r="AA442" s="14">
        <v>0</v>
      </c>
      <c r="AB442" s="14">
        <v>0</v>
      </c>
      <c r="AC442" s="453">
        <v>0</v>
      </c>
      <c r="AD442" s="14">
        <v>0</v>
      </c>
      <c r="AE442" s="14">
        <v>0</v>
      </c>
      <c r="AF442" s="14">
        <v>0</v>
      </c>
      <c r="AG442" s="14">
        <v>0</v>
      </c>
      <c r="AH442" s="14">
        <v>0</v>
      </c>
      <c r="AI442" s="14">
        <v>0</v>
      </c>
      <c r="AJ442" s="14">
        <v>0</v>
      </c>
      <c r="AK442" s="14">
        <v>0</v>
      </c>
      <c r="AL442" s="14">
        <v>0</v>
      </c>
      <c r="AM442" s="453">
        <v>0</v>
      </c>
      <c r="AN442" s="453">
        <v>0</v>
      </c>
      <c r="AO442" s="453">
        <v>0</v>
      </c>
      <c r="AP442" s="453">
        <v>0</v>
      </c>
      <c r="AQ442" s="453">
        <v>0</v>
      </c>
      <c r="AR442" s="453">
        <v>0</v>
      </c>
      <c r="AS442" s="453">
        <v>0</v>
      </c>
      <c r="AT442" s="453">
        <v>0</v>
      </c>
      <c r="AU442" s="453">
        <v>0</v>
      </c>
      <c r="AV442" s="453">
        <v>0</v>
      </c>
      <c r="AW442" s="453">
        <v>0</v>
      </c>
      <c r="AX442" s="453">
        <v>0</v>
      </c>
      <c r="AY442" s="453">
        <v>0</v>
      </c>
      <c r="AZ442" s="453">
        <v>0</v>
      </c>
      <c r="BA442" s="453">
        <v>0</v>
      </c>
      <c r="BB442" s="453">
        <v>0</v>
      </c>
      <c r="BC442" s="453">
        <v>0</v>
      </c>
      <c r="BD442" s="453">
        <v>0</v>
      </c>
      <c r="BE442" s="105">
        <v>0</v>
      </c>
      <c r="BF442" s="453">
        <v>0</v>
      </c>
      <c r="BG442" s="453">
        <v>0</v>
      </c>
      <c r="BH442" s="105">
        <v>0</v>
      </c>
      <c r="BI442" s="453">
        <v>0</v>
      </c>
      <c r="BJ442" s="453">
        <v>0</v>
      </c>
      <c r="BK442" s="105">
        <v>0</v>
      </c>
      <c r="BL442" s="453">
        <v>0</v>
      </c>
      <c r="BM442" s="453">
        <v>0</v>
      </c>
      <c r="BN442" s="453">
        <v>0</v>
      </c>
      <c r="BO442" s="453">
        <v>0</v>
      </c>
      <c r="BP442" s="453">
        <v>0</v>
      </c>
      <c r="BQ442" s="453">
        <v>0</v>
      </c>
      <c r="BR442" s="14">
        <v>0</v>
      </c>
      <c r="BS442" s="14">
        <v>0</v>
      </c>
      <c r="BT442" s="377" t="str">
        <v/>
      </c>
      <c r="BU442" s="105" t="str">
        <v/>
      </c>
      <c r="BV442" s="453" t="str">
        <v/>
      </c>
      <c r="BW442" s="105" t="str">
        <f ca="1"/>
        <v/>
      </c>
    </row>
    <row r="443" spans="1:75" x14ac:dyDescent="0.3">
      <c r="A443" s="1">
        <v>0</v>
      </c>
      <c r="B443" s="106">
        <v>0</v>
      </c>
      <c r="C443" s="14">
        <v>0</v>
      </c>
      <c r="D443" s="14">
        <v>0</v>
      </c>
      <c r="E443" s="14">
        <v>0</v>
      </c>
      <c r="F443" s="453">
        <v>0</v>
      </c>
      <c r="G443" s="377">
        <v>0</v>
      </c>
      <c r="H443" s="453">
        <v>0</v>
      </c>
      <c r="I443" s="453">
        <v>0</v>
      </c>
      <c r="J443" s="453">
        <v>0</v>
      </c>
      <c r="K443" s="453">
        <v>0</v>
      </c>
      <c r="L443" s="453">
        <v>0</v>
      </c>
      <c r="M443" s="453">
        <v>0</v>
      </c>
      <c r="N443" s="453">
        <v>0</v>
      </c>
      <c r="O443" s="453">
        <v>0</v>
      </c>
      <c r="P443" s="14">
        <v>0</v>
      </c>
      <c r="Q443" s="14">
        <v>0</v>
      </c>
      <c r="R443" s="453">
        <v>0</v>
      </c>
      <c r="S443" s="453">
        <v>0</v>
      </c>
      <c r="T443" s="453">
        <v>0</v>
      </c>
      <c r="U443" s="453">
        <v>0</v>
      </c>
      <c r="V443" s="453">
        <v>0</v>
      </c>
      <c r="W443" s="453">
        <v>0</v>
      </c>
      <c r="X443" s="453">
        <v>0</v>
      </c>
      <c r="Y443" s="453">
        <v>0</v>
      </c>
      <c r="Z443" s="453">
        <v>0</v>
      </c>
      <c r="AA443" s="14">
        <v>0</v>
      </c>
      <c r="AB443" s="14">
        <v>0</v>
      </c>
      <c r="AC443" s="453">
        <v>0</v>
      </c>
      <c r="AD443" s="14">
        <v>0</v>
      </c>
      <c r="AE443" s="14">
        <v>0</v>
      </c>
      <c r="AF443" s="14">
        <v>0</v>
      </c>
      <c r="AG443" s="14">
        <v>0</v>
      </c>
      <c r="AH443" s="14">
        <v>0</v>
      </c>
      <c r="AI443" s="14">
        <v>0</v>
      </c>
      <c r="AJ443" s="14">
        <v>0</v>
      </c>
      <c r="AK443" s="14">
        <v>0</v>
      </c>
      <c r="AL443" s="14">
        <v>0</v>
      </c>
      <c r="AM443" s="453">
        <v>0</v>
      </c>
      <c r="AN443" s="453">
        <v>0</v>
      </c>
      <c r="AO443" s="453">
        <v>0</v>
      </c>
      <c r="AP443" s="453">
        <v>0</v>
      </c>
      <c r="AQ443" s="453">
        <v>0</v>
      </c>
      <c r="AR443" s="453">
        <v>0</v>
      </c>
      <c r="AS443" s="453">
        <v>0</v>
      </c>
      <c r="AT443" s="453">
        <v>0</v>
      </c>
      <c r="AU443" s="453">
        <v>0</v>
      </c>
      <c r="AV443" s="453">
        <v>0</v>
      </c>
      <c r="AW443" s="453">
        <v>0</v>
      </c>
      <c r="AX443" s="453">
        <v>0</v>
      </c>
      <c r="AY443" s="453">
        <v>0</v>
      </c>
      <c r="AZ443" s="453">
        <v>0</v>
      </c>
      <c r="BA443" s="453">
        <v>0</v>
      </c>
      <c r="BB443" s="453">
        <v>0</v>
      </c>
      <c r="BC443" s="453">
        <v>0</v>
      </c>
      <c r="BD443" s="453">
        <v>0</v>
      </c>
      <c r="BE443" s="105">
        <v>0</v>
      </c>
      <c r="BF443" s="453">
        <v>0</v>
      </c>
      <c r="BG443" s="453">
        <v>0</v>
      </c>
      <c r="BH443" s="105">
        <v>0</v>
      </c>
      <c r="BI443" s="453">
        <v>0</v>
      </c>
      <c r="BJ443" s="453">
        <v>0</v>
      </c>
      <c r="BK443" s="105">
        <v>0</v>
      </c>
      <c r="BL443" s="453">
        <v>0</v>
      </c>
      <c r="BM443" s="453">
        <v>0</v>
      </c>
      <c r="BN443" s="453">
        <v>0</v>
      </c>
      <c r="BO443" s="453">
        <v>0</v>
      </c>
      <c r="BP443" s="453">
        <v>0</v>
      </c>
      <c r="BQ443" s="453">
        <v>0</v>
      </c>
      <c r="BR443" s="14">
        <v>0</v>
      </c>
      <c r="BS443" s="14">
        <v>0</v>
      </c>
      <c r="BT443" s="377" t="str">
        <v/>
      </c>
      <c r="BU443" s="105" t="str">
        <v/>
      </c>
      <c r="BV443" s="453" t="str">
        <v/>
      </c>
      <c r="BW443" s="105" t="str">
        <f ca="1"/>
        <v/>
      </c>
    </row>
    <row r="444" spans="1:75" x14ac:dyDescent="0.3">
      <c r="A444" s="1">
        <v>0</v>
      </c>
      <c r="B444" s="106">
        <v>0</v>
      </c>
      <c r="C444" s="14">
        <v>0</v>
      </c>
      <c r="D444" s="14">
        <v>0</v>
      </c>
      <c r="E444" s="14">
        <v>0</v>
      </c>
      <c r="F444" s="453">
        <v>0</v>
      </c>
      <c r="G444" s="377">
        <v>0</v>
      </c>
      <c r="H444" s="453">
        <v>0</v>
      </c>
      <c r="I444" s="453">
        <v>0</v>
      </c>
      <c r="J444" s="453">
        <v>0</v>
      </c>
      <c r="K444" s="453">
        <v>0</v>
      </c>
      <c r="L444" s="453">
        <v>0</v>
      </c>
      <c r="M444" s="453">
        <v>0</v>
      </c>
      <c r="N444" s="453">
        <v>0</v>
      </c>
      <c r="O444" s="453">
        <v>0</v>
      </c>
      <c r="P444" s="14">
        <v>0</v>
      </c>
      <c r="Q444" s="14">
        <v>0</v>
      </c>
      <c r="R444" s="453">
        <v>0</v>
      </c>
      <c r="S444" s="453">
        <v>0</v>
      </c>
      <c r="T444" s="453">
        <v>0</v>
      </c>
      <c r="U444" s="453">
        <v>0</v>
      </c>
      <c r="V444" s="453">
        <v>0</v>
      </c>
      <c r="W444" s="453">
        <v>0</v>
      </c>
      <c r="X444" s="453">
        <v>0</v>
      </c>
      <c r="Y444" s="453">
        <v>0</v>
      </c>
      <c r="Z444" s="453">
        <v>0</v>
      </c>
      <c r="AA444" s="14">
        <v>0</v>
      </c>
      <c r="AB444" s="14">
        <v>0</v>
      </c>
      <c r="AC444" s="453">
        <v>0</v>
      </c>
      <c r="AD444" s="14">
        <v>0</v>
      </c>
      <c r="AE444" s="14">
        <v>0</v>
      </c>
      <c r="AF444" s="14">
        <v>0</v>
      </c>
      <c r="AG444" s="14">
        <v>0</v>
      </c>
      <c r="AH444" s="14">
        <v>0</v>
      </c>
      <c r="AI444" s="14">
        <v>0</v>
      </c>
      <c r="AJ444" s="14">
        <v>0</v>
      </c>
      <c r="AK444" s="14">
        <v>0</v>
      </c>
      <c r="AL444" s="14">
        <v>0</v>
      </c>
      <c r="AM444" s="453">
        <v>0</v>
      </c>
      <c r="AN444" s="453">
        <v>0</v>
      </c>
      <c r="AO444" s="453">
        <v>0</v>
      </c>
      <c r="AP444" s="453">
        <v>0</v>
      </c>
      <c r="AQ444" s="453">
        <v>0</v>
      </c>
      <c r="AR444" s="453">
        <v>0</v>
      </c>
      <c r="AS444" s="453">
        <v>0</v>
      </c>
      <c r="AT444" s="453">
        <v>0</v>
      </c>
      <c r="AU444" s="453">
        <v>0</v>
      </c>
      <c r="AV444" s="453">
        <v>0</v>
      </c>
      <c r="AW444" s="453">
        <v>0</v>
      </c>
      <c r="AX444" s="453">
        <v>0</v>
      </c>
      <c r="AY444" s="453">
        <v>0</v>
      </c>
      <c r="AZ444" s="453">
        <v>0</v>
      </c>
      <c r="BA444" s="453">
        <v>0</v>
      </c>
      <c r="BB444" s="453">
        <v>0</v>
      </c>
      <c r="BC444" s="453">
        <v>0</v>
      </c>
      <c r="BD444" s="453">
        <v>0</v>
      </c>
      <c r="BE444" s="105">
        <v>0</v>
      </c>
      <c r="BF444" s="453">
        <v>0</v>
      </c>
      <c r="BG444" s="453">
        <v>0</v>
      </c>
      <c r="BH444" s="105">
        <v>0</v>
      </c>
      <c r="BI444" s="453">
        <v>0</v>
      </c>
      <c r="BJ444" s="453">
        <v>0</v>
      </c>
      <c r="BK444" s="105">
        <v>0</v>
      </c>
      <c r="BL444" s="453">
        <v>0</v>
      </c>
      <c r="BM444" s="453">
        <v>0</v>
      </c>
      <c r="BN444" s="453">
        <v>0</v>
      </c>
      <c r="BO444" s="453">
        <v>0</v>
      </c>
      <c r="BP444" s="453">
        <v>0</v>
      </c>
      <c r="BQ444" s="453">
        <v>0</v>
      </c>
      <c r="BR444" s="14">
        <v>0</v>
      </c>
      <c r="BS444" s="14">
        <v>0</v>
      </c>
      <c r="BT444" s="377" t="str">
        <v/>
      </c>
      <c r="BU444" s="105" t="str">
        <v/>
      </c>
      <c r="BV444" s="453" t="str">
        <v/>
      </c>
      <c r="BW444" s="105" t="str">
        <f ca="1"/>
        <v/>
      </c>
    </row>
    <row r="445" spans="1:75" x14ac:dyDescent="0.3">
      <c r="A445" s="1">
        <v>0</v>
      </c>
      <c r="B445" s="106">
        <v>0</v>
      </c>
      <c r="C445" s="14">
        <v>0</v>
      </c>
      <c r="D445" s="14">
        <v>0</v>
      </c>
      <c r="E445" s="14">
        <v>0</v>
      </c>
      <c r="F445" s="453">
        <v>0</v>
      </c>
      <c r="G445" s="377">
        <v>0</v>
      </c>
      <c r="H445" s="453">
        <v>0</v>
      </c>
      <c r="I445" s="453">
        <v>0</v>
      </c>
      <c r="J445" s="453">
        <v>0</v>
      </c>
      <c r="K445" s="453">
        <v>0</v>
      </c>
      <c r="L445" s="453">
        <v>0</v>
      </c>
      <c r="M445" s="453">
        <v>0</v>
      </c>
      <c r="N445" s="453">
        <v>0</v>
      </c>
      <c r="O445" s="453">
        <v>0</v>
      </c>
      <c r="P445" s="14">
        <v>0</v>
      </c>
      <c r="Q445" s="14">
        <v>0</v>
      </c>
      <c r="R445" s="453">
        <v>0</v>
      </c>
      <c r="S445" s="453">
        <v>0</v>
      </c>
      <c r="T445" s="453">
        <v>0</v>
      </c>
      <c r="U445" s="453">
        <v>0</v>
      </c>
      <c r="V445" s="453">
        <v>0</v>
      </c>
      <c r="W445" s="453">
        <v>0</v>
      </c>
      <c r="X445" s="453">
        <v>0</v>
      </c>
      <c r="Y445" s="453">
        <v>0</v>
      </c>
      <c r="Z445" s="453">
        <v>0</v>
      </c>
      <c r="AA445" s="14">
        <v>0</v>
      </c>
      <c r="AB445" s="14">
        <v>0</v>
      </c>
      <c r="AC445" s="453">
        <v>0</v>
      </c>
      <c r="AD445" s="14">
        <v>0</v>
      </c>
      <c r="AE445" s="14">
        <v>0</v>
      </c>
      <c r="AF445" s="14">
        <v>0</v>
      </c>
      <c r="AG445" s="14">
        <v>0</v>
      </c>
      <c r="AH445" s="14">
        <v>0</v>
      </c>
      <c r="AI445" s="14">
        <v>0</v>
      </c>
      <c r="AJ445" s="14">
        <v>0</v>
      </c>
      <c r="AK445" s="14">
        <v>0</v>
      </c>
      <c r="AL445" s="14">
        <v>0</v>
      </c>
      <c r="AM445" s="453">
        <v>0</v>
      </c>
      <c r="AN445" s="453">
        <v>0</v>
      </c>
      <c r="AO445" s="453">
        <v>0</v>
      </c>
      <c r="AP445" s="453">
        <v>0</v>
      </c>
      <c r="AQ445" s="453">
        <v>0</v>
      </c>
      <c r="AR445" s="453">
        <v>0</v>
      </c>
      <c r="AS445" s="453">
        <v>0</v>
      </c>
      <c r="AT445" s="453">
        <v>0</v>
      </c>
      <c r="AU445" s="453">
        <v>0</v>
      </c>
      <c r="AV445" s="453">
        <v>0</v>
      </c>
      <c r="AW445" s="453">
        <v>0</v>
      </c>
      <c r="AX445" s="453">
        <v>0</v>
      </c>
      <c r="AY445" s="453">
        <v>0</v>
      </c>
      <c r="AZ445" s="453">
        <v>0</v>
      </c>
      <c r="BA445" s="453">
        <v>0</v>
      </c>
      <c r="BB445" s="453">
        <v>0</v>
      </c>
      <c r="BC445" s="453">
        <v>0</v>
      </c>
      <c r="BD445" s="453">
        <v>0</v>
      </c>
      <c r="BE445" s="105">
        <v>0</v>
      </c>
      <c r="BF445" s="453">
        <v>0</v>
      </c>
      <c r="BG445" s="453">
        <v>0</v>
      </c>
      <c r="BH445" s="105">
        <v>0</v>
      </c>
      <c r="BI445" s="453">
        <v>0</v>
      </c>
      <c r="BJ445" s="453">
        <v>0</v>
      </c>
      <c r="BK445" s="105">
        <v>0</v>
      </c>
      <c r="BL445" s="453">
        <v>0</v>
      </c>
      <c r="BM445" s="453">
        <v>0</v>
      </c>
      <c r="BN445" s="453">
        <v>0</v>
      </c>
      <c r="BO445" s="453">
        <v>0</v>
      </c>
      <c r="BP445" s="453">
        <v>0</v>
      </c>
      <c r="BQ445" s="453">
        <v>0</v>
      </c>
      <c r="BR445" s="14">
        <v>0</v>
      </c>
      <c r="BS445" s="14">
        <v>0</v>
      </c>
      <c r="BT445" s="377" t="str">
        <v/>
      </c>
      <c r="BU445" s="105" t="str">
        <v/>
      </c>
      <c r="BV445" s="453" t="str">
        <v/>
      </c>
      <c r="BW445" s="105" t="str">
        <f ca="1"/>
        <v/>
      </c>
    </row>
    <row r="446" spans="1:75" x14ac:dyDescent="0.3">
      <c r="A446" s="1">
        <v>0</v>
      </c>
      <c r="B446" s="106">
        <v>0</v>
      </c>
      <c r="C446" s="14">
        <v>0</v>
      </c>
      <c r="D446" s="14">
        <v>0</v>
      </c>
      <c r="E446" s="14">
        <v>0</v>
      </c>
      <c r="F446" s="453">
        <v>0</v>
      </c>
      <c r="G446" s="377">
        <v>0</v>
      </c>
      <c r="H446" s="453">
        <v>0</v>
      </c>
      <c r="I446" s="453">
        <v>0</v>
      </c>
      <c r="J446" s="453">
        <v>0</v>
      </c>
      <c r="K446" s="453">
        <v>0</v>
      </c>
      <c r="L446" s="453">
        <v>0</v>
      </c>
      <c r="M446" s="453">
        <v>0</v>
      </c>
      <c r="N446" s="453">
        <v>0</v>
      </c>
      <c r="O446" s="453">
        <v>0</v>
      </c>
      <c r="P446" s="14">
        <v>0</v>
      </c>
      <c r="Q446" s="14">
        <v>0</v>
      </c>
      <c r="R446" s="453">
        <v>0</v>
      </c>
      <c r="S446" s="453">
        <v>0</v>
      </c>
      <c r="T446" s="453">
        <v>0</v>
      </c>
      <c r="U446" s="453">
        <v>0</v>
      </c>
      <c r="V446" s="453">
        <v>0</v>
      </c>
      <c r="W446" s="453">
        <v>0</v>
      </c>
      <c r="X446" s="453">
        <v>0</v>
      </c>
      <c r="Y446" s="453">
        <v>0</v>
      </c>
      <c r="Z446" s="453">
        <v>0</v>
      </c>
      <c r="AA446" s="14">
        <v>0</v>
      </c>
      <c r="AB446" s="14">
        <v>0</v>
      </c>
      <c r="AC446" s="453">
        <v>0</v>
      </c>
      <c r="AD446" s="14">
        <v>0</v>
      </c>
      <c r="AE446" s="14">
        <v>0</v>
      </c>
      <c r="AF446" s="14">
        <v>0</v>
      </c>
      <c r="AG446" s="14">
        <v>0</v>
      </c>
      <c r="AH446" s="14">
        <v>0</v>
      </c>
      <c r="AI446" s="14">
        <v>0</v>
      </c>
      <c r="AJ446" s="14">
        <v>0</v>
      </c>
      <c r="AK446" s="14">
        <v>0</v>
      </c>
      <c r="AL446" s="14">
        <v>0</v>
      </c>
      <c r="AM446" s="453">
        <v>0</v>
      </c>
      <c r="AN446" s="453">
        <v>0</v>
      </c>
      <c r="AO446" s="453">
        <v>0</v>
      </c>
      <c r="AP446" s="453">
        <v>0</v>
      </c>
      <c r="AQ446" s="453">
        <v>0</v>
      </c>
      <c r="AR446" s="453">
        <v>0</v>
      </c>
      <c r="AS446" s="453">
        <v>0</v>
      </c>
      <c r="AT446" s="453">
        <v>0</v>
      </c>
      <c r="AU446" s="453">
        <v>0</v>
      </c>
      <c r="AV446" s="453">
        <v>0</v>
      </c>
      <c r="AW446" s="453">
        <v>0</v>
      </c>
      <c r="AX446" s="453">
        <v>0</v>
      </c>
      <c r="AY446" s="453">
        <v>0</v>
      </c>
      <c r="AZ446" s="453">
        <v>0</v>
      </c>
      <c r="BA446" s="453">
        <v>0</v>
      </c>
      <c r="BB446" s="453">
        <v>0</v>
      </c>
      <c r="BC446" s="453">
        <v>0</v>
      </c>
      <c r="BD446" s="453">
        <v>0</v>
      </c>
      <c r="BE446" s="105">
        <v>0</v>
      </c>
      <c r="BF446" s="453">
        <v>0</v>
      </c>
      <c r="BG446" s="453">
        <v>0</v>
      </c>
      <c r="BH446" s="105">
        <v>0</v>
      </c>
      <c r="BI446" s="453">
        <v>0</v>
      </c>
      <c r="BJ446" s="453">
        <v>0</v>
      </c>
      <c r="BK446" s="105">
        <v>0</v>
      </c>
      <c r="BL446" s="453">
        <v>0</v>
      </c>
      <c r="BM446" s="453">
        <v>0</v>
      </c>
      <c r="BN446" s="453">
        <v>0</v>
      </c>
      <c r="BO446" s="453">
        <v>0</v>
      </c>
      <c r="BP446" s="453">
        <v>0</v>
      </c>
      <c r="BQ446" s="453">
        <v>0</v>
      </c>
      <c r="BR446" s="14">
        <v>0</v>
      </c>
      <c r="BS446" s="14">
        <v>0</v>
      </c>
      <c r="BT446" s="377" t="str">
        <v/>
      </c>
      <c r="BU446" s="105" t="str">
        <v/>
      </c>
      <c r="BV446" s="453" t="str">
        <v/>
      </c>
      <c r="BW446" s="105" t="str">
        <f ca="1"/>
        <v/>
      </c>
    </row>
    <row r="447" spans="1:75" x14ac:dyDescent="0.3">
      <c r="A447" s="1">
        <v>0</v>
      </c>
      <c r="B447" s="106">
        <v>0</v>
      </c>
      <c r="C447" s="14">
        <v>0</v>
      </c>
      <c r="D447" s="14">
        <v>0</v>
      </c>
      <c r="E447" s="14">
        <v>0</v>
      </c>
      <c r="F447" s="453">
        <v>0</v>
      </c>
      <c r="G447" s="377">
        <v>0</v>
      </c>
      <c r="H447" s="453">
        <v>0</v>
      </c>
      <c r="I447" s="453">
        <v>0</v>
      </c>
      <c r="J447" s="453">
        <v>0</v>
      </c>
      <c r="K447" s="453">
        <v>0</v>
      </c>
      <c r="L447" s="453">
        <v>0</v>
      </c>
      <c r="M447" s="453">
        <v>0</v>
      </c>
      <c r="N447" s="453">
        <v>0</v>
      </c>
      <c r="O447" s="453">
        <v>0</v>
      </c>
      <c r="P447" s="14">
        <v>0</v>
      </c>
      <c r="Q447" s="14">
        <v>0</v>
      </c>
      <c r="R447" s="453">
        <v>0</v>
      </c>
      <c r="S447" s="453">
        <v>0</v>
      </c>
      <c r="T447" s="453">
        <v>0</v>
      </c>
      <c r="U447" s="453">
        <v>0</v>
      </c>
      <c r="V447" s="453">
        <v>0</v>
      </c>
      <c r="W447" s="453">
        <v>0</v>
      </c>
      <c r="X447" s="453">
        <v>0</v>
      </c>
      <c r="Y447" s="453">
        <v>0</v>
      </c>
      <c r="Z447" s="453">
        <v>0</v>
      </c>
      <c r="AA447" s="14">
        <v>0</v>
      </c>
      <c r="AB447" s="14">
        <v>0</v>
      </c>
      <c r="AC447" s="453">
        <v>0</v>
      </c>
      <c r="AD447" s="14">
        <v>0</v>
      </c>
      <c r="AE447" s="14">
        <v>0</v>
      </c>
      <c r="AF447" s="14">
        <v>0</v>
      </c>
      <c r="AG447" s="14">
        <v>0</v>
      </c>
      <c r="AH447" s="14">
        <v>0</v>
      </c>
      <c r="AI447" s="14">
        <v>0</v>
      </c>
      <c r="AJ447" s="14">
        <v>0</v>
      </c>
      <c r="AK447" s="14">
        <v>0</v>
      </c>
      <c r="AL447" s="14">
        <v>0</v>
      </c>
      <c r="AM447" s="453">
        <v>0</v>
      </c>
      <c r="AN447" s="453">
        <v>0</v>
      </c>
      <c r="AO447" s="453">
        <v>0</v>
      </c>
      <c r="AP447" s="453">
        <v>0</v>
      </c>
      <c r="AQ447" s="453">
        <v>0</v>
      </c>
      <c r="AR447" s="453">
        <v>0</v>
      </c>
      <c r="AS447" s="453">
        <v>0</v>
      </c>
      <c r="AT447" s="453">
        <v>0</v>
      </c>
      <c r="AU447" s="453">
        <v>0</v>
      </c>
      <c r="AV447" s="453">
        <v>0</v>
      </c>
      <c r="AW447" s="453">
        <v>0</v>
      </c>
      <c r="AX447" s="453">
        <v>0</v>
      </c>
      <c r="AY447" s="453">
        <v>0</v>
      </c>
      <c r="AZ447" s="453">
        <v>0</v>
      </c>
      <c r="BA447" s="453">
        <v>0</v>
      </c>
      <c r="BB447" s="453">
        <v>0</v>
      </c>
      <c r="BC447" s="453">
        <v>0</v>
      </c>
      <c r="BD447" s="453">
        <v>0</v>
      </c>
      <c r="BE447" s="105">
        <v>0</v>
      </c>
      <c r="BF447" s="453">
        <v>0</v>
      </c>
      <c r="BG447" s="453">
        <v>0</v>
      </c>
      <c r="BH447" s="105">
        <v>0</v>
      </c>
      <c r="BI447" s="453">
        <v>0</v>
      </c>
      <c r="BJ447" s="453">
        <v>0</v>
      </c>
      <c r="BK447" s="105">
        <v>0</v>
      </c>
      <c r="BL447" s="453">
        <v>0</v>
      </c>
      <c r="BM447" s="453">
        <v>0</v>
      </c>
      <c r="BN447" s="453">
        <v>0</v>
      </c>
      <c r="BO447" s="453">
        <v>0</v>
      </c>
      <c r="BP447" s="453">
        <v>0</v>
      </c>
      <c r="BQ447" s="453">
        <v>0</v>
      </c>
      <c r="BR447" s="14">
        <v>0</v>
      </c>
      <c r="BS447" s="14">
        <v>0</v>
      </c>
      <c r="BT447" s="377" t="str">
        <v/>
      </c>
      <c r="BU447" s="105" t="str">
        <v/>
      </c>
      <c r="BV447" s="453" t="str">
        <v/>
      </c>
      <c r="BW447" s="105" t="str">
        <f ca="1"/>
        <v/>
      </c>
    </row>
    <row r="448" spans="1:75" x14ac:dyDescent="0.3">
      <c r="A448" s="1">
        <v>0</v>
      </c>
      <c r="B448" s="106">
        <v>0</v>
      </c>
      <c r="C448" s="14">
        <v>0</v>
      </c>
      <c r="D448" s="14">
        <v>0</v>
      </c>
      <c r="E448" s="14">
        <v>0</v>
      </c>
      <c r="F448" s="453">
        <v>0</v>
      </c>
      <c r="G448" s="377">
        <v>0</v>
      </c>
      <c r="H448" s="453">
        <v>0</v>
      </c>
      <c r="I448" s="453">
        <v>0</v>
      </c>
      <c r="J448" s="453">
        <v>0</v>
      </c>
      <c r="K448" s="453">
        <v>0</v>
      </c>
      <c r="L448" s="453">
        <v>0</v>
      </c>
      <c r="M448" s="453">
        <v>0</v>
      </c>
      <c r="N448" s="453">
        <v>0</v>
      </c>
      <c r="O448" s="453">
        <v>0</v>
      </c>
      <c r="P448" s="14">
        <v>0</v>
      </c>
      <c r="Q448" s="14">
        <v>0</v>
      </c>
      <c r="R448" s="453">
        <v>0</v>
      </c>
      <c r="S448" s="453">
        <v>0</v>
      </c>
      <c r="T448" s="453">
        <v>0</v>
      </c>
      <c r="U448" s="453">
        <v>0</v>
      </c>
      <c r="V448" s="453">
        <v>0</v>
      </c>
      <c r="W448" s="453">
        <v>0</v>
      </c>
      <c r="X448" s="453">
        <v>0</v>
      </c>
      <c r="Y448" s="453">
        <v>0</v>
      </c>
      <c r="Z448" s="453">
        <v>0</v>
      </c>
      <c r="AA448" s="14">
        <v>0</v>
      </c>
      <c r="AB448" s="14">
        <v>0</v>
      </c>
      <c r="AC448" s="453">
        <v>0</v>
      </c>
      <c r="AD448" s="14">
        <v>0</v>
      </c>
      <c r="AE448" s="14">
        <v>0</v>
      </c>
      <c r="AF448" s="14">
        <v>0</v>
      </c>
      <c r="AG448" s="14">
        <v>0</v>
      </c>
      <c r="AH448" s="14">
        <v>0</v>
      </c>
      <c r="AI448" s="14">
        <v>0</v>
      </c>
      <c r="AJ448" s="14">
        <v>0</v>
      </c>
      <c r="AK448" s="14">
        <v>0</v>
      </c>
      <c r="AL448" s="14">
        <v>0</v>
      </c>
      <c r="AM448" s="453">
        <v>0</v>
      </c>
      <c r="AN448" s="453">
        <v>0</v>
      </c>
      <c r="AO448" s="453">
        <v>0</v>
      </c>
      <c r="AP448" s="453">
        <v>0</v>
      </c>
      <c r="AQ448" s="453">
        <v>0</v>
      </c>
      <c r="AR448" s="453">
        <v>0</v>
      </c>
      <c r="AS448" s="453">
        <v>0</v>
      </c>
      <c r="AT448" s="453">
        <v>0</v>
      </c>
      <c r="AU448" s="453">
        <v>0</v>
      </c>
      <c r="AV448" s="453">
        <v>0</v>
      </c>
      <c r="AW448" s="453">
        <v>0</v>
      </c>
      <c r="AX448" s="453">
        <v>0</v>
      </c>
      <c r="AY448" s="453">
        <v>0</v>
      </c>
      <c r="AZ448" s="453">
        <v>0</v>
      </c>
      <c r="BA448" s="453">
        <v>0</v>
      </c>
      <c r="BB448" s="453">
        <v>0</v>
      </c>
      <c r="BC448" s="453">
        <v>0</v>
      </c>
      <c r="BD448" s="453">
        <v>0</v>
      </c>
      <c r="BE448" s="105">
        <v>0</v>
      </c>
      <c r="BF448" s="453">
        <v>0</v>
      </c>
      <c r="BG448" s="453">
        <v>0</v>
      </c>
      <c r="BH448" s="105">
        <v>0</v>
      </c>
      <c r="BI448" s="453">
        <v>0</v>
      </c>
      <c r="BJ448" s="453">
        <v>0</v>
      </c>
      <c r="BK448" s="105">
        <v>0</v>
      </c>
      <c r="BL448" s="453">
        <v>0</v>
      </c>
      <c r="BM448" s="453">
        <v>0</v>
      </c>
      <c r="BN448" s="453">
        <v>0</v>
      </c>
      <c r="BO448" s="453">
        <v>0</v>
      </c>
      <c r="BP448" s="453">
        <v>0</v>
      </c>
      <c r="BQ448" s="453">
        <v>0</v>
      </c>
      <c r="BR448" s="14">
        <v>0</v>
      </c>
      <c r="BS448" s="14">
        <v>0</v>
      </c>
      <c r="BT448" s="377" t="str">
        <v/>
      </c>
      <c r="BU448" s="105" t="str">
        <v/>
      </c>
      <c r="BV448" s="453" t="str">
        <v/>
      </c>
      <c r="BW448" s="105" t="str">
        <f ca="1"/>
        <v/>
      </c>
    </row>
    <row r="449" spans="1:75" x14ac:dyDescent="0.3">
      <c r="A449" s="1">
        <v>0</v>
      </c>
      <c r="B449" s="106">
        <v>0</v>
      </c>
      <c r="C449" s="14">
        <v>0</v>
      </c>
      <c r="D449" s="14">
        <v>0</v>
      </c>
      <c r="E449" s="14">
        <v>0</v>
      </c>
      <c r="F449" s="453">
        <v>0</v>
      </c>
      <c r="G449" s="377">
        <v>0</v>
      </c>
      <c r="H449" s="453">
        <v>0</v>
      </c>
      <c r="I449" s="453">
        <v>0</v>
      </c>
      <c r="J449" s="453">
        <v>0</v>
      </c>
      <c r="K449" s="453">
        <v>0</v>
      </c>
      <c r="L449" s="453">
        <v>0</v>
      </c>
      <c r="M449" s="453">
        <v>0</v>
      </c>
      <c r="N449" s="453">
        <v>0</v>
      </c>
      <c r="O449" s="453">
        <v>0</v>
      </c>
      <c r="P449" s="14">
        <v>0</v>
      </c>
      <c r="Q449" s="14">
        <v>0</v>
      </c>
      <c r="R449" s="453">
        <v>0</v>
      </c>
      <c r="S449" s="453">
        <v>0</v>
      </c>
      <c r="T449" s="453">
        <v>0</v>
      </c>
      <c r="U449" s="453">
        <v>0</v>
      </c>
      <c r="V449" s="453">
        <v>0</v>
      </c>
      <c r="W449" s="453">
        <v>0</v>
      </c>
      <c r="X449" s="453">
        <v>0</v>
      </c>
      <c r="Y449" s="453">
        <v>0</v>
      </c>
      <c r="Z449" s="453">
        <v>0</v>
      </c>
      <c r="AA449" s="14">
        <v>0</v>
      </c>
      <c r="AB449" s="14">
        <v>0</v>
      </c>
      <c r="AC449" s="453">
        <v>0</v>
      </c>
      <c r="AD449" s="14">
        <v>0</v>
      </c>
      <c r="AE449" s="14">
        <v>0</v>
      </c>
      <c r="AF449" s="14">
        <v>0</v>
      </c>
      <c r="AG449" s="14">
        <v>0</v>
      </c>
      <c r="AH449" s="14">
        <v>0</v>
      </c>
      <c r="AI449" s="14">
        <v>0</v>
      </c>
      <c r="AJ449" s="14">
        <v>0</v>
      </c>
      <c r="AK449" s="14">
        <v>0</v>
      </c>
      <c r="AL449" s="14">
        <v>0</v>
      </c>
      <c r="AM449" s="453">
        <v>0</v>
      </c>
      <c r="AN449" s="453">
        <v>0</v>
      </c>
      <c r="AO449" s="453">
        <v>0</v>
      </c>
      <c r="AP449" s="453">
        <v>0</v>
      </c>
      <c r="AQ449" s="453">
        <v>0</v>
      </c>
      <c r="AR449" s="453">
        <v>0</v>
      </c>
      <c r="AS449" s="453">
        <v>0</v>
      </c>
      <c r="AT449" s="453">
        <v>0</v>
      </c>
      <c r="AU449" s="453">
        <v>0</v>
      </c>
      <c r="AV449" s="453">
        <v>0</v>
      </c>
      <c r="AW449" s="453">
        <v>0</v>
      </c>
      <c r="AX449" s="453">
        <v>0</v>
      </c>
      <c r="AY449" s="453">
        <v>0</v>
      </c>
      <c r="AZ449" s="453">
        <v>0</v>
      </c>
      <c r="BA449" s="453">
        <v>0</v>
      </c>
      <c r="BB449" s="453">
        <v>0</v>
      </c>
      <c r="BC449" s="453">
        <v>0</v>
      </c>
      <c r="BD449" s="453">
        <v>0</v>
      </c>
      <c r="BE449" s="105">
        <v>0</v>
      </c>
      <c r="BF449" s="453">
        <v>0</v>
      </c>
      <c r="BG449" s="453">
        <v>0</v>
      </c>
      <c r="BH449" s="105">
        <v>0</v>
      </c>
      <c r="BI449" s="453">
        <v>0</v>
      </c>
      <c r="BJ449" s="453">
        <v>0</v>
      </c>
      <c r="BK449" s="105">
        <v>0</v>
      </c>
      <c r="BL449" s="453">
        <v>0</v>
      </c>
      <c r="BM449" s="453">
        <v>0</v>
      </c>
      <c r="BN449" s="453">
        <v>0</v>
      </c>
      <c r="BO449" s="453">
        <v>0</v>
      </c>
      <c r="BP449" s="453">
        <v>0</v>
      </c>
      <c r="BQ449" s="453">
        <v>0</v>
      </c>
      <c r="BR449" s="14">
        <v>0</v>
      </c>
      <c r="BS449" s="14">
        <v>0</v>
      </c>
      <c r="BT449" s="377" t="str">
        <v/>
      </c>
      <c r="BU449" s="105" t="str">
        <v/>
      </c>
      <c r="BV449" s="453" t="str">
        <v/>
      </c>
      <c r="BW449" s="105" t="str">
        <f ca="1"/>
        <v/>
      </c>
    </row>
    <row r="450" spans="1:75" x14ac:dyDescent="0.3">
      <c r="A450" s="1">
        <v>0</v>
      </c>
      <c r="B450" s="106">
        <v>0</v>
      </c>
      <c r="C450" s="14">
        <v>0</v>
      </c>
      <c r="D450" s="14">
        <v>0</v>
      </c>
      <c r="E450" s="14">
        <v>0</v>
      </c>
      <c r="F450" s="453">
        <v>0</v>
      </c>
      <c r="G450" s="377">
        <v>0</v>
      </c>
      <c r="H450" s="453">
        <v>0</v>
      </c>
      <c r="I450" s="453">
        <v>0</v>
      </c>
      <c r="J450" s="453">
        <v>0</v>
      </c>
      <c r="K450" s="453">
        <v>0</v>
      </c>
      <c r="L450" s="453">
        <v>0</v>
      </c>
      <c r="M450" s="453">
        <v>0</v>
      </c>
      <c r="N450" s="453">
        <v>0</v>
      </c>
      <c r="O450" s="453">
        <v>0</v>
      </c>
      <c r="P450" s="14">
        <v>0</v>
      </c>
      <c r="Q450" s="14">
        <v>0</v>
      </c>
      <c r="R450" s="453">
        <v>0</v>
      </c>
      <c r="S450" s="453">
        <v>0</v>
      </c>
      <c r="T450" s="453">
        <v>0</v>
      </c>
      <c r="U450" s="453">
        <v>0</v>
      </c>
      <c r="V450" s="453">
        <v>0</v>
      </c>
      <c r="W450" s="453">
        <v>0</v>
      </c>
      <c r="X450" s="453">
        <v>0</v>
      </c>
      <c r="Y450" s="453">
        <v>0</v>
      </c>
      <c r="Z450" s="453">
        <v>0</v>
      </c>
      <c r="AA450" s="14">
        <v>0</v>
      </c>
      <c r="AB450" s="14">
        <v>0</v>
      </c>
      <c r="AC450" s="453">
        <v>0</v>
      </c>
      <c r="AD450" s="14">
        <v>0</v>
      </c>
      <c r="AE450" s="14">
        <v>0</v>
      </c>
      <c r="AF450" s="14">
        <v>0</v>
      </c>
      <c r="AG450" s="14">
        <v>0</v>
      </c>
      <c r="AH450" s="14">
        <v>0</v>
      </c>
      <c r="AI450" s="14">
        <v>0</v>
      </c>
      <c r="AJ450" s="14">
        <v>0</v>
      </c>
      <c r="AK450" s="14">
        <v>0</v>
      </c>
      <c r="AL450" s="14">
        <v>0</v>
      </c>
      <c r="AM450" s="453">
        <v>0</v>
      </c>
      <c r="AN450" s="453">
        <v>0</v>
      </c>
      <c r="AO450" s="453">
        <v>0</v>
      </c>
      <c r="AP450" s="453">
        <v>0</v>
      </c>
      <c r="AQ450" s="453">
        <v>0</v>
      </c>
      <c r="AR450" s="453">
        <v>0</v>
      </c>
      <c r="AS450" s="453">
        <v>0</v>
      </c>
      <c r="AT450" s="453">
        <v>0</v>
      </c>
      <c r="AU450" s="453">
        <v>0</v>
      </c>
      <c r="AV450" s="453">
        <v>0</v>
      </c>
      <c r="AW450" s="453">
        <v>0</v>
      </c>
      <c r="AX450" s="453">
        <v>0</v>
      </c>
      <c r="AY450" s="453">
        <v>0</v>
      </c>
      <c r="AZ450" s="453">
        <v>0</v>
      </c>
      <c r="BA450" s="453">
        <v>0</v>
      </c>
      <c r="BB450" s="453">
        <v>0</v>
      </c>
      <c r="BC450" s="453">
        <v>0</v>
      </c>
      <c r="BD450" s="453">
        <v>0</v>
      </c>
      <c r="BE450" s="105">
        <v>0</v>
      </c>
      <c r="BF450" s="453">
        <v>0</v>
      </c>
      <c r="BG450" s="453">
        <v>0</v>
      </c>
      <c r="BH450" s="105">
        <v>0</v>
      </c>
      <c r="BI450" s="453">
        <v>0</v>
      </c>
      <c r="BJ450" s="453">
        <v>0</v>
      </c>
      <c r="BK450" s="105">
        <v>0</v>
      </c>
      <c r="BL450" s="453">
        <v>0</v>
      </c>
      <c r="BM450" s="453">
        <v>0</v>
      </c>
      <c r="BN450" s="453">
        <v>0</v>
      </c>
      <c r="BO450" s="453">
        <v>0</v>
      </c>
      <c r="BP450" s="453">
        <v>0</v>
      </c>
      <c r="BQ450" s="453">
        <v>0</v>
      </c>
      <c r="BR450" s="14">
        <v>0</v>
      </c>
      <c r="BS450" s="14">
        <v>0</v>
      </c>
      <c r="BT450" s="377" t="str">
        <v/>
      </c>
      <c r="BU450" s="105" t="str">
        <v/>
      </c>
      <c r="BV450" s="453" t="str">
        <v/>
      </c>
      <c r="BW450" s="105" t="str">
        <f ca="1"/>
        <v/>
      </c>
    </row>
    <row r="451" spans="1:75" x14ac:dyDescent="0.3">
      <c r="A451" s="1">
        <v>0</v>
      </c>
      <c r="B451" s="106">
        <v>0</v>
      </c>
      <c r="C451" s="14">
        <v>0</v>
      </c>
      <c r="D451" s="14">
        <v>0</v>
      </c>
      <c r="E451" s="14">
        <v>0</v>
      </c>
      <c r="F451" s="453">
        <v>0</v>
      </c>
      <c r="G451" s="377">
        <v>0</v>
      </c>
      <c r="H451" s="453">
        <v>0</v>
      </c>
      <c r="I451" s="453">
        <v>0</v>
      </c>
      <c r="J451" s="453">
        <v>0</v>
      </c>
      <c r="K451" s="453">
        <v>0</v>
      </c>
      <c r="L451" s="453">
        <v>0</v>
      </c>
      <c r="M451" s="453">
        <v>0</v>
      </c>
      <c r="N451" s="453">
        <v>0</v>
      </c>
      <c r="O451" s="453">
        <v>0</v>
      </c>
      <c r="P451" s="14">
        <v>0</v>
      </c>
      <c r="Q451" s="14">
        <v>0</v>
      </c>
      <c r="R451" s="453">
        <v>0</v>
      </c>
      <c r="S451" s="453">
        <v>0</v>
      </c>
      <c r="T451" s="453">
        <v>0</v>
      </c>
      <c r="U451" s="453">
        <v>0</v>
      </c>
      <c r="V451" s="453">
        <v>0</v>
      </c>
      <c r="W451" s="453">
        <v>0</v>
      </c>
      <c r="X451" s="453">
        <v>0</v>
      </c>
      <c r="Y451" s="453">
        <v>0</v>
      </c>
      <c r="Z451" s="453">
        <v>0</v>
      </c>
      <c r="AA451" s="14">
        <v>0</v>
      </c>
      <c r="AB451" s="14">
        <v>0</v>
      </c>
      <c r="AC451" s="453">
        <v>0</v>
      </c>
      <c r="AD451" s="14">
        <v>0</v>
      </c>
      <c r="AE451" s="14">
        <v>0</v>
      </c>
      <c r="AF451" s="14">
        <v>0</v>
      </c>
      <c r="AG451" s="14">
        <v>0</v>
      </c>
      <c r="AH451" s="14">
        <v>0</v>
      </c>
      <c r="AI451" s="14">
        <v>0</v>
      </c>
      <c r="AJ451" s="14">
        <v>0</v>
      </c>
      <c r="AK451" s="14">
        <v>0</v>
      </c>
      <c r="AL451" s="14">
        <v>0</v>
      </c>
      <c r="AM451" s="453">
        <v>0</v>
      </c>
      <c r="AN451" s="453">
        <v>0</v>
      </c>
      <c r="AO451" s="453">
        <v>0</v>
      </c>
      <c r="AP451" s="453">
        <v>0</v>
      </c>
      <c r="AQ451" s="453">
        <v>0</v>
      </c>
      <c r="AR451" s="453">
        <v>0</v>
      </c>
      <c r="AS451" s="453">
        <v>0</v>
      </c>
      <c r="AT451" s="453">
        <v>0</v>
      </c>
      <c r="AU451" s="453">
        <v>0</v>
      </c>
      <c r="AV451" s="453">
        <v>0</v>
      </c>
      <c r="AW451" s="453">
        <v>0</v>
      </c>
      <c r="AX451" s="453">
        <v>0</v>
      </c>
      <c r="AY451" s="453">
        <v>0</v>
      </c>
      <c r="AZ451" s="453">
        <v>0</v>
      </c>
      <c r="BA451" s="453">
        <v>0</v>
      </c>
      <c r="BB451" s="453">
        <v>0</v>
      </c>
      <c r="BC451" s="453">
        <v>0</v>
      </c>
      <c r="BD451" s="453">
        <v>0</v>
      </c>
      <c r="BE451" s="105">
        <v>0</v>
      </c>
      <c r="BF451" s="453">
        <v>0</v>
      </c>
      <c r="BG451" s="453">
        <v>0</v>
      </c>
      <c r="BH451" s="105">
        <v>0</v>
      </c>
      <c r="BI451" s="453">
        <v>0</v>
      </c>
      <c r="BJ451" s="453">
        <v>0</v>
      </c>
      <c r="BK451" s="105">
        <v>0</v>
      </c>
      <c r="BL451" s="453">
        <v>0</v>
      </c>
      <c r="BM451" s="453">
        <v>0</v>
      </c>
      <c r="BN451" s="453">
        <v>0</v>
      </c>
      <c r="BO451" s="453">
        <v>0</v>
      </c>
      <c r="BP451" s="453">
        <v>0</v>
      </c>
      <c r="BQ451" s="453">
        <v>0</v>
      </c>
      <c r="BR451" s="14">
        <v>0</v>
      </c>
      <c r="BS451" s="14">
        <v>0</v>
      </c>
      <c r="BT451" s="377" t="str">
        <v/>
      </c>
      <c r="BU451" s="105" t="str">
        <v/>
      </c>
      <c r="BV451" s="453" t="str">
        <v/>
      </c>
      <c r="BW451" s="105" t="str">
        <f ca="1"/>
        <v/>
      </c>
    </row>
    <row r="452" spans="1:75" x14ac:dyDescent="0.3">
      <c r="A452" s="1">
        <v>0</v>
      </c>
      <c r="B452" s="106">
        <v>0</v>
      </c>
      <c r="C452" s="14">
        <v>0</v>
      </c>
      <c r="D452" s="14">
        <v>0</v>
      </c>
      <c r="E452" s="14">
        <v>0</v>
      </c>
      <c r="F452" s="453">
        <v>0</v>
      </c>
      <c r="G452" s="377">
        <v>0</v>
      </c>
      <c r="H452" s="453">
        <v>0</v>
      </c>
      <c r="I452" s="453">
        <v>0</v>
      </c>
      <c r="J452" s="453">
        <v>0</v>
      </c>
      <c r="K452" s="453">
        <v>0</v>
      </c>
      <c r="L452" s="453">
        <v>0</v>
      </c>
      <c r="M452" s="453">
        <v>0</v>
      </c>
      <c r="N452" s="453">
        <v>0</v>
      </c>
      <c r="O452" s="453">
        <v>0</v>
      </c>
      <c r="P452" s="14">
        <v>0</v>
      </c>
      <c r="Q452" s="14">
        <v>0</v>
      </c>
      <c r="R452" s="453">
        <v>0</v>
      </c>
      <c r="S452" s="453">
        <v>0</v>
      </c>
      <c r="T452" s="453">
        <v>0</v>
      </c>
      <c r="U452" s="453">
        <v>0</v>
      </c>
      <c r="V452" s="453">
        <v>0</v>
      </c>
      <c r="W452" s="453">
        <v>0</v>
      </c>
      <c r="X452" s="453">
        <v>0</v>
      </c>
      <c r="Y452" s="453">
        <v>0</v>
      </c>
      <c r="Z452" s="453">
        <v>0</v>
      </c>
      <c r="AA452" s="14">
        <v>0</v>
      </c>
      <c r="AB452" s="14">
        <v>0</v>
      </c>
      <c r="AC452" s="453">
        <v>0</v>
      </c>
      <c r="AD452" s="14">
        <v>0</v>
      </c>
      <c r="AE452" s="14">
        <v>0</v>
      </c>
      <c r="AF452" s="14">
        <v>0</v>
      </c>
      <c r="AG452" s="14">
        <v>0</v>
      </c>
      <c r="AH452" s="14">
        <v>0</v>
      </c>
      <c r="AI452" s="14">
        <v>0</v>
      </c>
      <c r="AJ452" s="14">
        <v>0</v>
      </c>
      <c r="AK452" s="14">
        <v>0</v>
      </c>
      <c r="AL452" s="14">
        <v>0</v>
      </c>
      <c r="AM452" s="453">
        <v>0</v>
      </c>
      <c r="AN452" s="453">
        <v>0</v>
      </c>
      <c r="AO452" s="453">
        <v>0</v>
      </c>
      <c r="AP452" s="453">
        <v>0</v>
      </c>
      <c r="AQ452" s="453">
        <v>0</v>
      </c>
      <c r="AR452" s="453">
        <v>0</v>
      </c>
      <c r="AS452" s="453">
        <v>0</v>
      </c>
      <c r="AT452" s="453">
        <v>0</v>
      </c>
      <c r="AU452" s="453">
        <v>0</v>
      </c>
      <c r="AV452" s="453">
        <v>0</v>
      </c>
      <c r="AW452" s="453">
        <v>0</v>
      </c>
      <c r="AX452" s="453">
        <v>0</v>
      </c>
      <c r="AY452" s="453">
        <v>0</v>
      </c>
      <c r="AZ452" s="453">
        <v>0</v>
      </c>
      <c r="BA452" s="453">
        <v>0</v>
      </c>
      <c r="BB452" s="453">
        <v>0</v>
      </c>
      <c r="BC452" s="453">
        <v>0</v>
      </c>
      <c r="BD452" s="453">
        <v>0</v>
      </c>
      <c r="BE452" s="105">
        <v>0</v>
      </c>
      <c r="BF452" s="453">
        <v>0</v>
      </c>
      <c r="BG452" s="453">
        <v>0</v>
      </c>
      <c r="BH452" s="105">
        <v>0</v>
      </c>
      <c r="BI452" s="453">
        <v>0</v>
      </c>
      <c r="BJ452" s="453">
        <v>0</v>
      </c>
      <c r="BK452" s="105">
        <v>0</v>
      </c>
      <c r="BL452" s="453">
        <v>0</v>
      </c>
      <c r="BM452" s="453">
        <v>0</v>
      </c>
      <c r="BN452" s="453">
        <v>0</v>
      </c>
      <c r="BO452" s="453">
        <v>0</v>
      </c>
      <c r="BP452" s="453">
        <v>0</v>
      </c>
      <c r="BQ452" s="453">
        <v>0</v>
      </c>
      <c r="BR452" s="14">
        <v>0</v>
      </c>
      <c r="BS452" s="14">
        <v>0</v>
      </c>
      <c r="BT452" s="377" t="str">
        <v/>
      </c>
      <c r="BU452" s="105" t="str">
        <v/>
      </c>
      <c r="BV452" s="453" t="str">
        <v/>
      </c>
      <c r="BW452" s="105" t="str">
        <f ca="1"/>
        <v/>
      </c>
    </row>
    <row r="453" spans="1:75" x14ac:dyDescent="0.3">
      <c r="A453" s="1">
        <v>0</v>
      </c>
      <c r="B453" s="106">
        <v>0</v>
      </c>
      <c r="C453" s="14">
        <v>0</v>
      </c>
      <c r="D453" s="14">
        <v>0</v>
      </c>
      <c r="E453" s="14">
        <v>0</v>
      </c>
      <c r="F453" s="453">
        <v>0</v>
      </c>
      <c r="G453" s="377">
        <v>0</v>
      </c>
      <c r="H453" s="453">
        <v>0</v>
      </c>
      <c r="I453" s="453">
        <v>0</v>
      </c>
      <c r="J453" s="453">
        <v>0</v>
      </c>
      <c r="K453" s="453">
        <v>0</v>
      </c>
      <c r="L453" s="453">
        <v>0</v>
      </c>
      <c r="M453" s="453">
        <v>0</v>
      </c>
      <c r="N453" s="453">
        <v>0</v>
      </c>
      <c r="O453" s="453">
        <v>0</v>
      </c>
      <c r="P453" s="14">
        <v>0</v>
      </c>
      <c r="Q453" s="14">
        <v>0</v>
      </c>
      <c r="R453" s="453">
        <v>0</v>
      </c>
      <c r="S453" s="453">
        <v>0</v>
      </c>
      <c r="T453" s="453">
        <v>0</v>
      </c>
      <c r="U453" s="453">
        <v>0</v>
      </c>
      <c r="V453" s="453">
        <v>0</v>
      </c>
      <c r="W453" s="453">
        <v>0</v>
      </c>
      <c r="X453" s="453">
        <v>0</v>
      </c>
      <c r="Y453" s="453">
        <v>0</v>
      </c>
      <c r="Z453" s="453">
        <v>0</v>
      </c>
      <c r="AA453" s="14">
        <v>0</v>
      </c>
      <c r="AB453" s="14">
        <v>0</v>
      </c>
      <c r="AC453" s="453">
        <v>0</v>
      </c>
      <c r="AD453" s="14">
        <v>0</v>
      </c>
      <c r="AE453" s="14">
        <v>0</v>
      </c>
      <c r="AF453" s="14">
        <v>0</v>
      </c>
      <c r="AG453" s="14">
        <v>0</v>
      </c>
      <c r="AH453" s="14">
        <v>0</v>
      </c>
      <c r="AI453" s="14">
        <v>0</v>
      </c>
      <c r="AJ453" s="14">
        <v>0</v>
      </c>
      <c r="AK453" s="14">
        <v>0</v>
      </c>
      <c r="AL453" s="14">
        <v>0</v>
      </c>
      <c r="AM453" s="453">
        <v>0</v>
      </c>
      <c r="AN453" s="453">
        <v>0</v>
      </c>
      <c r="AO453" s="453">
        <v>0</v>
      </c>
      <c r="AP453" s="453">
        <v>0</v>
      </c>
      <c r="AQ453" s="453">
        <v>0</v>
      </c>
      <c r="AR453" s="453">
        <v>0</v>
      </c>
      <c r="AS453" s="453">
        <v>0</v>
      </c>
      <c r="AT453" s="453">
        <v>0</v>
      </c>
      <c r="AU453" s="453">
        <v>0</v>
      </c>
      <c r="AV453" s="453">
        <v>0</v>
      </c>
      <c r="AW453" s="453">
        <v>0</v>
      </c>
      <c r="AX453" s="453">
        <v>0</v>
      </c>
      <c r="AY453" s="453">
        <v>0</v>
      </c>
      <c r="AZ453" s="453">
        <v>0</v>
      </c>
      <c r="BA453" s="453">
        <v>0</v>
      </c>
      <c r="BB453" s="453">
        <v>0</v>
      </c>
      <c r="BC453" s="453">
        <v>0</v>
      </c>
      <c r="BD453" s="453">
        <v>0</v>
      </c>
      <c r="BE453" s="105">
        <v>0</v>
      </c>
      <c r="BF453" s="453">
        <v>0</v>
      </c>
      <c r="BG453" s="453">
        <v>0</v>
      </c>
      <c r="BH453" s="105">
        <v>0</v>
      </c>
      <c r="BI453" s="453">
        <v>0</v>
      </c>
      <c r="BJ453" s="453">
        <v>0</v>
      </c>
      <c r="BK453" s="105">
        <v>0</v>
      </c>
      <c r="BL453" s="453">
        <v>0</v>
      </c>
      <c r="BM453" s="453">
        <v>0</v>
      </c>
      <c r="BN453" s="453">
        <v>0</v>
      </c>
      <c r="BO453" s="453">
        <v>0</v>
      </c>
      <c r="BP453" s="453">
        <v>0</v>
      </c>
      <c r="BQ453" s="453">
        <v>0</v>
      </c>
      <c r="BR453" s="14">
        <v>0</v>
      </c>
      <c r="BS453" s="14">
        <v>0</v>
      </c>
      <c r="BT453" s="377" t="str">
        <v/>
      </c>
      <c r="BU453" s="105" t="str">
        <v/>
      </c>
      <c r="BV453" s="453" t="str">
        <v/>
      </c>
      <c r="BW453" s="105" t="str">
        <f ca="1"/>
        <v/>
      </c>
    </row>
    <row r="454" spans="1:75" x14ac:dyDescent="0.3">
      <c r="A454" s="1">
        <v>0</v>
      </c>
      <c r="B454" s="106">
        <v>0</v>
      </c>
      <c r="C454" s="14">
        <v>0</v>
      </c>
      <c r="D454" s="14">
        <v>0</v>
      </c>
      <c r="E454" s="14">
        <v>0</v>
      </c>
      <c r="F454" s="453">
        <v>0</v>
      </c>
      <c r="G454" s="377">
        <v>0</v>
      </c>
      <c r="H454" s="453">
        <v>0</v>
      </c>
      <c r="I454" s="453">
        <v>0</v>
      </c>
      <c r="J454" s="453">
        <v>0</v>
      </c>
      <c r="K454" s="453">
        <v>0</v>
      </c>
      <c r="L454" s="453">
        <v>0</v>
      </c>
      <c r="M454" s="453">
        <v>0</v>
      </c>
      <c r="N454" s="453">
        <v>0</v>
      </c>
      <c r="O454" s="453">
        <v>0</v>
      </c>
      <c r="P454" s="14">
        <v>0</v>
      </c>
      <c r="Q454" s="14">
        <v>0</v>
      </c>
      <c r="R454" s="453">
        <v>0</v>
      </c>
      <c r="S454" s="453">
        <v>0</v>
      </c>
      <c r="T454" s="453">
        <v>0</v>
      </c>
      <c r="U454" s="453">
        <v>0</v>
      </c>
      <c r="V454" s="453">
        <v>0</v>
      </c>
      <c r="W454" s="453">
        <v>0</v>
      </c>
      <c r="X454" s="453">
        <v>0</v>
      </c>
      <c r="Y454" s="453">
        <v>0</v>
      </c>
      <c r="Z454" s="453">
        <v>0</v>
      </c>
      <c r="AA454" s="14">
        <v>0</v>
      </c>
      <c r="AB454" s="14">
        <v>0</v>
      </c>
      <c r="AC454" s="453">
        <v>0</v>
      </c>
      <c r="AD454" s="14">
        <v>0</v>
      </c>
      <c r="AE454" s="14">
        <v>0</v>
      </c>
      <c r="AF454" s="14">
        <v>0</v>
      </c>
      <c r="AG454" s="14">
        <v>0</v>
      </c>
      <c r="AH454" s="14">
        <v>0</v>
      </c>
      <c r="AI454" s="14">
        <v>0</v>
      </c>
      <c r="AJ454" s="14">
        <v>0</v>
      </c>
      <c r="AK454" s="14">
        <v>0</v>
      </c>
      <c r="AL454" s="14">
        <v>0</v>
      </c>
      <c r="AM454" s="453">
        <v>0</v>
      </c>
      <c r="AN454" s="453">
        <v>0</v>
      </c>
      <c r="AO454" s="453">
        <v>0</v>
      </c>
      <c r="AP454" s="453">
        <v>0</v>
      </c>
      <c r="AQ454" s="453">
        <v>0</v>
      </c>
      <c r="AR454" s="453">
        <v>0</v>
      </c>
      <c r="AS454" s="453">
        <v>0</v>
      </c>
      <c r="AT454" s="453">
        <v>0</v>
      </c>
      <c r="AU454" s="453">
        <v>0</v>
      </c>
      <c r="AV454" s="453">
        <v>0</v>
      </c>
      <c r="AW454" s="453">
        <v>0</v>
      </c>
      <c r="AX454" s="453">
        <v>0</v>
      </c>
      <c r="AY454" s="453">
        <v>0</v>
      </c>
      <c r="AZ454" s="453">
        <v>0</v>
      </c>
      <c r="BA454" s="453">
        <v>0</v>
      </c>
      <c r="BB454" s="453">
        <v>0</v>
      </c>
      <c r="BC454" s="453">
        <v>0</v>
      </c>
      <c r="BD454" s="453">
        <v>0</v>
      </c>
      <c r="BE454" s="105">
        <v>0</v>
      </c>
      <c r="BF454" s="453">
        <v>0</v>
      </c>
      <c r="BG454" s="453">
        <v>0</v>
      </c>
      <c r="BH454" s="105">
        <v>0</v>
      </c>
      <c r="BI454" s="453">
        <v>0</v>
      </c>
      <c r="BJ454" s="453">
        <v>0</v>
      </c>
      <c r="BK454" s="105">
        <v>0</v>
      </c>
      <c r="BL454" s="453">
        <v>0</v>
      </c>
      <c r="BM454" s="453">
        <v>0</v>
      </c>
      <c r="BN454" s="453">
        <v>0</v>
      </c>
      <c r="BO454" s="453">
        <v>0</v>
      </c>
      <c r="BP454" s="453">
        <v>0</v>
      </c>
      <c r="BQ454" s="453">
        <v>0</v>
      </c>
      <c r="BR454" s="14">
        <v>0</v>
      </c>
      <c r="BS454" s="14">
        <v>0</v>
      </c>
      <c r="BT454" s="377" t="str">
        <v/>
      </c>
      <c r="BU454" s="105" t="str">
        <v/>
      </c>
      <c r="BV454" s="453" t="str">
        <v/>
      </c>
      <c r="BW454" s="105" t="str">
        <f ca="1"/>
        <v/>
      </c>
    </row>
    <row r="455" spans="1:75" x14ac:dyDescent="0.3">
      <c r="A455" s="1">
        <v>0</v>
      </c>
      <c r="B455" s="106">
        <v>0</v>
      </c>
      <c r="C455" s="14">
        <v>0</v>
      </c>
      <c r="D455" s="14">
        <v>0</v>
      </c>
      <c r="E455" s="14">
        <v>0</v>
      </c>
      <c r="F455" s="453">
        <v>0</v>
      </c>
      <c r="G455" s="377">
        <v>0</v>
      </c>
      <c r="H455" s="453">
        <v>0</v>
      </c>
      <c r="I455" s="453">
        <v>0</v>
      </c>
      <c r="J455" s="453">
        <v>0</v>
      </c>
      <c r="K455" s="453">
        <v>0</v>
      </c>
      <c r="L455" s="453">
        <v>0</v>
      </c>
      <c r="M455" s="453">
        <v>0</v>
      </c>
      <c r="N455" s="453">
        <v>0</v>
      </c>
      <c r="O455" s="453">
        <v>0</v>
      </c>
      <c r="P455" s="14">
        <v>0</v>
      </c>
      <c r="Q455" s="14">
        <v>0</v>
      </c>
      <c r="R455" s="453">
        <v>0</v>
      </c>
      <c r="S455" s="453">
        <v>0</v>
      </c>
      <c r="T455" s="453">
        <v>0</v>
      </c>
      <c r="U455" s="453">
        <v>0</v>
      </c>
      <c r="V455" s="453">
        <v>0</v>
      </c>
      <c r="W455" s="453">
        <v>0</v>
      </c>
      <c r="X455" s="453">
        <v>0</v>
      </c>
      <c r="Y455" s="453">
        <v>0</v>
      </c>
      <c r="Z455" s="453">
        <v>0</v>
      </c>
      <c r="AA455" s="14">
        <v>0</v>
      </c>
      <c r="AB455" s="14">
        <v>0</v>
      </c>
      <c r="AC455" s="453">
        <v>0</v>
      </c>
      <c r="AD455" s="14">
        <v>0</v>
      </c>
      <c r="AE455" s="14">
        <v>0</v>
      </c>
      <c r="AF455" s="14">
        <v>0</v>
      </c>
      <c r="AG455" s="14">
        <v>0</v>
      </c>
      <c r="AH455" s="14">
        <v>0</v>
      </c>
      <c r="AI455" s="14">
        <v>0</v>
      </c>
      <c r="AJ455" s="14">
        <v>0</v>
      </c>
      <c r="AK455" s="14">
        <v>0</v>
      </c>
      <c r="AL455" s="14">
        <v>0</v>
      </c>
      <c r="AM455" s="453">
        <v>0</v>
      </c>
      <c r="AN455" s="453">
        <v>0</v>
      </c>
      <c r="AO455" s="453">
        <v>0</v>
      </c>
      <c r="AP455" s="453">
        <v>0</v>
      </c>
      <c r="AQ455" s="453">
        <v>0</v>
      </c>
      <c r="AR455" s="453">
        <v>0</v>
      </c>
      <c r="AS455" s="453">
        <v>0</v>
      </c>
      <c r="AT455" s="453">
        <v>0</v>
      </c>
      <c r="AU455" s="453">
        <v>0</v>
      </c>
      <c r="AV455" s="453">
        <v>0</v>
      </c>
      <c r="AW455" s="453">
        <v>0</v>
      </c>
      <c r="AX455" s="453">
        <v>0</v>
      </c>
      <c r="AY455" s="453">
        <v>0</v>
      </c>
      <c r="AZ455" s="453">
        <v>0</v>
      </c>
      <c r="BA455" s="453">
        <v>0</v>
      </c>
      <c r="BB455" s="453">
        <v>0</v>
      </c>
      <c r="BC455" s="453">
        <v>0</v>
      </c>
      <c r="BD455" s="453">
        <v>0</v>
      </c>
      <c r="BE455" s="105">
        <v>0</v>
      </c>
      <c r="BF455" s="453">
        <v>0</v>
      </c>
      <c r="BG455" s="453">
        <v>0</v>
      </c>
      <c r="BH455" s="105">
        <v>0</v>
      </c>
      <c r="BI455" s="453">
        <v>0</v>
      </c>
      <c r="BJ455" s="453">
        <v>0</v>
      </c>
      <c r="BK455" s="105">
        <v>0</v>
      </c>
      <c r="BL455" s="453">
        <v>0</v>
      </c>
      <c r="BM455" s="453">
        <v>0</v>
      </c>
      <c r="BN455" s="453">
        <v>0</v>
      </c>
      <c r="BO455" s="453">
        <v>0</v>
      </c>
      <c r="BP455" s="453">
        <v>0</v>
      </c>
      <c r="BQ455" s="453">
        <v>0</v>
      </c>
      <c r="BR455" s="14">
        <v>0</v>
      </c>
      <c r="BS455" s="14">
        <v>0</v>
      </c>
      <c r="BT455" s="377" t="str">
        <v/>
      </c>
      <c r="BU455" s="105" t="str">
        <v/>
      </c>
      <c r="BV455" s="453" t="str">
        <v/>
      </c>
      <c r="BW455" s="105" t="str">
        <f ca="1"/>
        <v/>
      </c>
    </row>
    <row r="456" spans="1:75" x14ac:dyDescent="0.3">
      <c r="A456" s="1">
        <v>0</v>
      </c>
      <c r="B456" s="106">
        <v>0</v>
      </c>
      <c r="C456" s="14">
        <v>0</v>
      </c>
      <c r="D456" s="14">
        <v>0</v>
      </c>
      <c r="E456" s="14">
        <v>0</v>
      </c>
      <c r="F456" s="453">
        <v>0</v>
      </c>
      <c r="G456" s="377">
        <v>0</v>
      </c>
      <c r="H456" s="453">
        <v>0</v>
      </c>
      <c r="I456" s="453">
        <v>0</v>
      </c>
      <c r="J456" s="453">
        <v>0</v>
      </c>
      <c r="K456" s="453">
        <v>0</v>
      </c>
      <c r="L456" s="453">
        <v>0</v>
      </c>
      <c r="M456" s="453">
        <v>0</v>
      </c>
      <c r="N456" s="453">
        <v>0</v>
      </c>
      <c r="O456" s="453">
        <v>0</v>
      </c>
      <c r="P456" s="14">
        <v>0</v>
      </c>
      <c r="Q456" s="14">
        <v>0</v>
      </c>
      <c r="R456" s="453">
        <v>0</v>
      </c>
      <c r="S456" s="453">
        <v>0</v>
      </c>
      <c r="T456" s="453">
        <v>0</v>
      </c>
      <c r="U456" s="453">
        <v>0</v>
      </c>
      <c r="V456" s="453">
        <v>0</v>
      </c>
      <c r="W456" s="453">
        <v>0</v>
      </c>
      <c r="X456" s="453">
        <v>0</v>
      </c>
      <c r="Y456" s="453">
        <v>0</v>
      </c>
      <c r="Z456" s="453">
        <v>0</v>
      </c>
      <c r="AA456" s="14">
        <v>0</v>
      </c>
      <c r="AB456" s="14">
        <v>0</v>
      </c>
      <c r="AC456" s="453">
        <v>0</v>
      </c>
      <c r="AD456" s="14">
        <v>0</v>
      </c>
      <c r="AE456" s="14">
        <v>0</v>
      </c>
      <c r="AF456" s="14">
        <v>0</v>
      </c>
      <c r="AG456" s="14">
        <v>0</v>
      </c>
      <c r="AH456" s="14">
        <v>0</v>
      </c>
      <c r="AI456" s="14">
        <v>0</v>
      </c>
      <c r="AJ456" s="14">
        <v>0</v>
      </c>
      <c r="AK456" s="14">
        <v>0</v>
      </c>
      <c r="AL456" s="14">
        <v>0</v>
      </c>
      <c r="AM456" s="453">
        <v>0</v>
      </c>
      <c r="AN456" s="453">
        <v>0</v>
      </c>
      <c r="AO456" s="453">
        <v>0</v>
      </c>
      <c r="AP456" s="453">
        <v>0</v>
      </c>
      <c r="AQ456" s="453">
        <v>0</v>
      </c>
      <c r="AR456" s="453">
        <v>0</v>
      </c>
      <c r="AS456" s="453">
        <v>0</v>
      </c>
      <c r="AT456" s="453">
        <v>0</v>
      </c>
      <c r="AU456" s="453">
        <v>0</v>
      </c>
      <c r="AV456" s="453">
        <v>0</v>
      </c>
      <c r="AW456" s="453">
        <v>0</v>
      </c>
      <c r="AX456" s="453">
        <v>0</v>
      </c>
      <c r="AY456" s="453">
        <v>0</v>
      </c>
      <c r="AZ456" s="453">
        <v>0</v>
      </c>
      <c r="BA456" s="453">
        <v>0</v>
      </c>
      <c r="BB456" s="453">
        <v>0</v>
      </c>
      <c r="BC456" s="453">
        <v>0</v>
      </c>
      <c r="BD456" s="453">
        <v>0</v>
      </c>
      <c r="BE456" s="105">
        <v>0</v>
      </c>
      <c r="BF456" s="453">
        <v>0</v>
      </c>
      <c r="BG456" s="453">
        <v>0</v>
      </c>
      <c r="BH456" s="105">
        <v>0</v>
      </c>
      <c r="BI456" s="453">
        <v>0</v>
      </c>
      <c r="BJ456" s="453">
        <v>0</v>
      </c>
      <c r="BK456" s="105">
        <v>0</v>
      </c>
      <c r="BL456" s="453">
        <v>0</v>
      </c>
      <c r="BM456" s="453">
        <v>0</v>
      </c>
      <c r="BN456" s="453">
        <v>0</v>
      </c>
      <c r="BO456" s="453">
        <v>0</v>
      </c>
      <c r="BP456" s="453">
        <v>0</v>
      </c>
      <c r="BQ456" s="453">
        <v>0</v>
      </c>
      <c r="BR456" s="14">
        <v>0</v>
      </c>
      <c r="BS456" s="14">
        <v>0</v>
      </c>
      <c r="BT456" s="377" t="str">
        <v/>
      </c>
      <c r="BU456" s="105" t="str">
        <v/>
      </c>
      <c r="BV456" s="453" t="str">
        <v/>
      </c>
      <c r="BW456" s="105" t="str">
        <f ca="1"/>
        <v/>
      </c>
    </row>
    <row r="457" spans="1:75" x14ac:dyDescent="0.3">
      <c r="A457" s="1">
        <v>0</v>
      </c>
      <c r="B457" s="106">
        <v>0</v>
      </c>
      <c r="C457" s="14">
        <v>0</v>
      </c>
      <c r="D457" s="14">
        <v>0</v>
      </c>
      <c r="E457" s="14">
        <v>0</v>
      </c>
      <c r="F457" s="453">
        <v>0</v>
      </c>
      <c r="G457" s="377">
        <v>0</v>
      </c>
      <c r="H457" s="453">
        <v>0</v>
      </c>
      <c r="I457" s="453">
        <v>0</v>
      </c>
      <c r="J457" s="453">
        <v>0</v>
      </c>
      <c r="K457" s="453">
        <v>0</v>
      </c>
      <c r="L457" s="453">
        <v>0</v>
      </c>
      <c r="M457" s="453">
        <v>0</v>
      </c>
      <c r="N457" s="453">
        <v>0</v>
      </c>
      <c r="O457" s="453">
        <v>0</v>
      </c>
      <c r="P457" s="14">
        <v>0</v>
      </c>
      <c r="Q457" s="14">
        <v>0</v>
      </c>
      <c r="R457" s="453">
        <v>0</v>
      </c>
      <c r="S457" s="453">
        <v>0</v>
      </c>
      <c r="T457" s="453">
        <v>0</v>
      </c>
      <c r="U457" s="453">
        <v>0</v>
      </c>
      <c r="V457" s="453">
        <v>0</v>
      </c>
      <c r="W457" s="453">
        <v>0</v>
      </c>
      <c r="X457" s="453">
        <v>0</v>
      </c>
      <c r="Y457" s="453">
        <v>0</v>
      </c>
      <c r="Z457" s="453">
        <v>0</v>
      </c>
      <c r="AA457" s="14">
        <v>0</v>
      </c>
      <c r="AB457" s="14">
        <v>0</v>
      </c>
      <c r="AC457" s="453">
        <v>0</v>
      </c>
      <c r="AD457" s="14">
        <v>0</v>
      </c>
      <c r="AE457" s="14">
        <v>0</v>
      </c>
      <c r="AF457" s="14">
        <v>0</v>
      </c>
      <c r="AG457" s="14">
        <v>0</v>
      </c>
      <c r="AH457" s="14">
        <v>0</v>
      </c>
      <c r="AI457" s="14">
        <v>0</v>
      </c>
      <c r="AJ457" s="14">
        <v>0</v>
      </c>
      <c r="AK457" s="14">
        <v>0</v>
      </c>
      <c r="AL457" s="14">
        <v>0</v>
      </c>
      <c r="AM457" s="453">
        <v>0</v>
      </c>
      <c r="AN457" s="453">
        <v>0</v>
      </c>
      <c r="AO457" s="453">
        <v>0</v>
      </c>
      <c r="AP457" s="453">
        <v>0</v>
      </c>
      <c r="AQ457" s="453">
        <v>0</v>
      </c>
      <c r="AR457" s="453">
        <v>0</v>
      </c>
      <c r="AS457" s="453">
        <v>0</v>
      </c>
      <c r="AT457" s="453">
        <v>0</v>
      </c>
      <c r="AU457" s="453">
        <v>0</v>
      </c>
      <c r="AV457" s="453">
        <v>0</v>
      </c>
      <c r="AW457" s="453">
        <v>0</v>
      </c>
      <c r="AX457" s="453">
        <v>0</v>
      </c>
      <c r="AY457" s="453">
        <v>0</v>
      </c>
      <c r="AZ457" s="453">
        <v>0</v>
      </c>
      <c r="BA457" s="453">
        <v>0</v>
      </c>
      <c r="BB457" s="453">
        <v>0</v>
      </c>
      <c r="BC457" s="453">
        <v>0</v>
      </c>
      <c r="BD457" s="453">
        <v>0</v>
      </c>
      <c r="BE457" s="105">
        <v>0</v>
      </c>
      <c r="BF457" s="453">
        <v>0</v>
      </c>
      <c r="BG457" s="453">
        <v>0</v>
      </c>
      <c r="BH457" s="105">
        <v>0</v>
      </c>
      <c r="BI457" s="453">
        <v>0</v>
      </c>
      <c r="BJ457" s="453">
        <v>0</v>
      </c>
      <c r="BK457" s="105">
        <v>0</v>
      </c>
      <c r="BL457" s="453">
        <v>0</v>
      </c>
      <c r="BM457" s="453">
        <v>0</v>
      </c>
      <c r="BN457" s="453">
        <v>0</v>
      </c>
      <c r="BO457" s="453">
        <v>0</v>
      </c>
      <c r="BP457" s="453">
        <v>0</v>
      </c>
      <c r="BQ457" s="453">
        <v>0</v>
      </c>
      <c r="BR457" s="14">
        <v>0</v>
      </c>
      <c r="BS457" s="14">
        <v>0</v>
      </c>
      <c r="BT457" s="377" t="str">
        <v/>
      </c>
      <c r="BU457" s="105" t="str">
        <v/>
      </c>
      <c r="BV457" s="453" t="str">
        <v/>
      </c>
      <c r="BW457" s="105" t="str">
        <f ca="1"/>
        <v/>
      </c>
    </row>
    <row r="458" spans="1:75" x14ac:dyDescent="0.3">
      <c r="A458" s="1">
        <v>0</v>
      </c>
      <c r="B458" s="106">
        <v>0</v>
      </c>
      <c r="C458" s="14">
        <v>0</v>
      </c>
      <c r="D458" s="14">
        <v>0</v>
      </c>
      <c r="E458" s="14">
        <v>0</v>
      </c>
      <c r="F458" s="453">
        <v>0</v>
      </c>
      <c r="G458" s="377">
        <v>0</v>
      </c>
      <c r="H458" s="453">
        <v>0</v>
      </c>
      <c r="I458" s="453">
        <v>0</v>
      </c>
      <c r="J458" s="453">
        <v>0</v>
      </c>
      <c r="K458" s="453">
        <v>0</v>
      </c>
      <c r="L458" s="453">
        <v>0</v>
      </c>
      <c r="M458" s="453">
        <v>0</v>
      </c>
      <c r="N458" s="453">
        <v>0</v>
      </c>
      <c r="O458" s="453">
        <v>0</v>
      </c>
      <c r="P458" s="14">
        <v>0</v>
      </c>
      <c r="Q458" s="14">
        <v>0</v>
      </c>
      <c r="R458" s="453">
        <v>0</v>
      </c>
      <c r="S458" s="453">
        <v>0</v>
      </c>
      <c r="T458" s="453">
        <v>0</v>
      </c>
      <c r="U458" s="453">
        <v>0</v>
      </c>
      <c r="V458" s="453">
        <v>0</v>
      </c>
      <c r="W458" s="453">
        <v>0</v>
      </c>
      <c r="X458" s="453">
        <v>0</v>
      </c>
      <c r="Y458" s="453">
        <v>0</v>
      </c>
      <c r="Z458" s="453">
        <v>0</v>
      </c>
      <c r="AA458" s="14">
        <v>0</v>
      </c>
      <c r="AB458" s="14">
        <v>0</v>
      </c>
      <c r="AC458" s="453">
        <v>0</v>
      </c>
      <c r="AD458" s="14">
        <v>0</v>
      </c>
      <c r="AE458" s="14">
        <v>0</v>
      </c>
      <c r="AF458" s="14">
        <v>0</v>
      </c>
      <c r="AG458" s="14">
        <v>0</v>
      </c>
      <c r="AH458" s="14">
        <v>0</v>
      </c>
      <c r="AI458" s="14">
        <v>0</v>
      </c>
      <c r="AJ458" s="14">
        <v>0</v>
      </c>
      <c r="AK458" s="14">
        <v>0</v>
      </c>
      <c r="AL458" s="14">
        <v>0</v>
      </c>
      <c r="AM458" s="453">
        <v>0</v>
      </c>
      <c r="AN458" s="453">
        <v>0</v>
      </c>
      <c r="AO458" s="453">
        <v>0</v>
      </c>
      <c r="AP458" s="453">
        <v>0</v>
      </c>
      <c r="AQ458" s="453">
        <v>0</v>
      </c>
      <c r="AR458" s="453">
        <v>0</v>
      </c>
      <c r="AS458" s="453">
        <v>0</v>
      </c>
      <c r="AT458" s="453">
        <v>0</v>
      </c>
      <c r="AU458" s="453">
        <v>0</v>
      </c>
      <c r="AV458" s="453">
        <v>0</v>
      </c>
      <c r="AW458" s="453">
        <v>0</v>
      </c>
      <c r="AX458" s="453">
        <v>0</v>
      </c>
      <c r="AY458" s="453">
        <v>0</v>
      </c>
      <c r="AZ458" s="453">
        <v>0</v>
      </c>
      <c r="BA458" s="453">
        <v>0</v>
      </c>
      <c r="BB458" s="453">
        <v>0</v>
      </c>
      <c r="BC458" s="453">
        <v>0</v>
      </c>
      <c r="BD458" s="453">
        <v>0</v>
      </c>
      <c r="BE458" s="105">
        <v>0</v>
      </c>
      <c r="BF458" s="453">
        <v>0</v>
      </c>
      <c r="BG458" s="453">
        <v>0</v>
      </c>
      <c r="BH458" s="105">
        <v>0</v>
      </c>
      <c r="BI458" s="453">
        <v>0</v>
      </c>
      <c r="BJ458" s="453">
        <v>0</v>
      </c>
      <c r="BK458" s="105">
        <v>0</v>
      </c>
      <c r="BL458" s="453">
        <v>0</v>
      </c>
      <c r="BM458" s="453">
        <v>0</v>
      </c>
      <c r="BN458" s="453">
        <v>0</v>
      </c>
      <c r="BO458" s="453">
        <v>0</v>
      </c>
      <c r="BP458" s="453">
        <v>0</v>
      </c>
      <c r="BQ458" s="453">
        <v>0</v>
      </c>
      <c r="BR458" s="14">
        <v>0</v>
      </c>
      <c r="BS458" s="14">
        <v>0</v>
      </c>
      <c r="BT458" s="377" t="str">
        <v/>
      </c>
      <c r="BU458" s="105" t="str">
        <v/>
      </c>
      <c r="BV458" s="453" t="str">
        <v/>
      </c>
      <c r="BW458" s="105" t="str">
        <f ca="1"/>
        <v/>
      </c>
    </row>
    <row r="459" spans="1:75" x14ac:dyDescent="0.3">
      <c r="A459" s="1">
        <v>0</v>
      </c>
      <c r="B459" s="106">
        <v>0</v>
      </c>
      <c r="C459" s="14">
        <v>0</v>
      </c>
      <c r="D459" s="14">
        <v>0</v>
      </c>
      <c r="E459" s="14">
        <v>0</v>
      </c>
      <c r="F459" s="453">
        <v>0</v>
      </c>
      <c r="G459" s="377">
        <v>0</v>
      </c>
      <c r="H459" s="453">
        <v>0</v>
      </c>
      <c r="I459" s="453">
        <v>0</v>
      </c>
      <c r="J459" s="453">
        <v>0</v>
      </c>
      <c r="K459" s="453">
        <v>0</v>
      </c>
      <c r="L459" s="453">
        <v>0</v>
      </c>
      <c r="M459" s="453">
        <v>0</v>
      </c>
      <c r="N459" s="453">
        <v>0</v>
      </c>
      <c r="O459" s="453">
        <v>0</v>
      </c>
      <c r="P459" s="14">
        <v>0</v>
      </c>
      <c r="Q459" s="14">
        <v>0</v>
      </c>
      <c r="R459" s="453">
        <v>0</v>
      </c>
      <c r="S459" s="453">
        <v>0</v>
      </c>
      <c r="T459" s="453">
        <v>0</v>
      </c>
      <c r="U459" s="453">
        <v>0</v>
      </c>
      <c r="V459" s="453">
        <v>0</v>
      </c>
      <c r="W459" s="453">
        <v>0</v>
      </c>
      <c r="X459" s="453">
        <v>0</v>
      </c>
      <c r="Y459" s="453">
        <v>0</v>
      </c>
      <c r="Z459" s="453">
        <v>0</v>
      </c>
      <c r="AA459" s="14">
        <v>0</v>
      </c>
      <c r="AB459" s="14">
        <v>0</v>
      </c>
      <c r="AC459" s="453">
        <v>0</v>
      </c>
      <c r="AD459" s="14">
        <v>0</v>
      </c>
      <c r="AE459" s="14">
        <v>0</v>
      </c>
      <c r="AF459" s="14">
        <v>0</v>
      </c>
      <c r="AG459" s="14">
        <v>0</v>
      </c>
      <c r="AH459" s="14">
        <v>0</v>
      </c>
      <c r="AI459" s="14">
        <v>0</v>
      </c>
      <c r="AJ459" s="14">
        <v>0</v>
      </c>
      <c r="AK459" s="14">
        <v>0</v>
      </c>
      <c r="AL459" s="14">
        <v>0</v>
      </c>
      <c r="AM459" s="453">
        <v>0</v>
      </c>
      <c r="AN459" s="453">
        <v>0</v>
      </c>
      <c r="AO459" s="453">
        <v>0</v>
      </c>
      <c r="AP459" s="453">
        <v>0</v>
      </c>
      <c r="AQ459" s="453">
        <v>0</v>
      </c>
      <c r="AR459" s="453">
        <v>0</v>
      </c>
      <c r="AS459" s="453">
        <v>0</v>
      </c>
      <c r="AT459" s="453">
        <v>0</v>
      </c>
      <c r="AU459" s="453">
        <v>0</v>
      </c>
      <c r="AV459" s="453">
        <v>0</v>
      </c>
      <c r="AW459" s="453">
        <v>0</v>
      </c>
      <c r="AX459" s="453">
        <v>0</v>
      </c>
      <c r="AY459" s="453">
        <v>0</v>
      </c>
      <c r="AZ459" s="453">
        <v>0</v>
      </c>
      <c r="BA459" s="453">
        <v>0</v>
      </c>
      <c r="BB459" s="453">
        <v>0</v>
      </c>
      <c r="BC459" s="453">
        <v>0</v>
      </c>
      <c r="BD459" s="453">
        <v>0</v>
      </c>
      <c r="BE459" s="105">
        <v>0</v>
      </c>
      <c r="BF459" s="453">
        <v>0</v>
      </c>
      <c r="BG459" s="453">
        <v>0</v>
      </c>
      <c r="BH459" s="105">
        <v>0</v>
      </c>
      <c r="BI459" s="453">
        <v>0</v>
      </c>
      <c r="BJ459" s="453">
        <v>0</v>
      </c>
      <c r="BK459" s="105">
        <v>0</v>
      </c>
      <c r="BL459" s="453">
        <v>0</v>
      </c>
      <c r="BM459" s="453">
        <v>0</v>
      </c>
      <c r="BN459" s="453">
        <v>0</v>
      </c>
      <c r="BO459" s="453">
        <v>0</v>
      </c>
      <c r="BP459" s="453">
        <v>0</v>
      </c>
      <c r="BQ459" s="453">
        <v>0</v>
      </c>
      <c r="BR459" s="14">
        <v>0</v>
      </c>
      <c r="BS459" s="14">
        <v>0</v>
      </c>
      <c r="BT459" s="377" t="str">
        <v/>
      </c>
      <c r="BU459" s="105" t="str">
        <v/>
      </c>
      <c r="BV459" s="453" t="str">
        <v/>
      </c>
      <c r="BW459" s="105" t="str">
        <f ca="1"/>
        <v/>
      </c>
    </row>
    <row r="460" spans="1:75" x14ac:dyDescent="0.3">
      <c r="A460" s="1">
        <v>0</v>
      </c>
      <c r="B460" s="106">
        <v>0</v>
      </c>
      <c r="C460" s="14">
        <v>0</v>
      </c>
      <c r="D460" s="14">
        <v>0</v>
      </c>
      <c r="E460" s="14">
        <v>0</v>
      </c>
      <c r="F460" s="453">
        <v>0</v>
      </c>
      <c r="G460" s="377">
        <v>0</v>
      </c>
      <c r="H460" s="453">
        <v>0</v>
      </c>
      <c r="I460" s="453">
        <v>0</v>
      </c>
      <c r="J460" s="453">
        <v>0</v>
      </c>
      <c r="K460" s="453">
        <v>0</v>
      </c>
      <c r="L460" s="453">
        <v>0</v>
      </c>
      <c r="M460" s="453">
        <v>0</v>
      </c>
      <c r="N460" s="453">
        <v>0</v>
      </c>
      <c r="O460" s="453">
        <v>0</v>
      </c>
      <c r="P460" s="14">
        <v>0</v>
      </c>
      <c r="Q460" s="14">
        <v>0</v>
      </c>
      <c r="R460" s="453">
        <v>0</v>
      </c>
      <c r="S460" s="453">
        <v>0</v>
      </c>
      <c r="T460" s="453">
        <v>0</v>
      </c>
      <c r="U460" s="453">
        <v>0</v>
      </c>
      <c r="V460" s="453">
        <v>0</v>
      </c>
      <c r="W460" s="453">
        <v>0</v>
      </c>
      <c r="X460" s="453">
        <v>0</v>
      </c>
      <c r="Y460" s="453">
        <v>0</v>
      </c>
      <c r="Z460" s="453">
        <v>0</v>
      </c>
      <c r="AA460" s="14">
        <v>0</v>
      </c>
      <c r="AB460" s="14">
        <v>0</v>
      </c>
      <c r="AC460" s="453">
        <v>0</v>
      </c>
      <c r="AD460" s="14">
        <v>0</v>
      </c>
      <c r="AE460" s="14">
        <v>0</v>
      </c>
      <c r="AF460" s="14">
        <v>0</v>
      </c>
      <c r="AG460" s="14">
        <v>0</v>
      </c>
      <c r="AH460" s="14">
        <v>0</v>
      </c>
      <c r="AI460" s="14">
        <v>0</v>
      </c>
      <c r="AJ460" s="14">
        <v>0</v>
      </c>
      <c r="AK460" s="14">
        <v>0</v>
      </c>
      <c r="AL460" s="14">
        <v>0</v>
      </c>
      <c r="AM460" s="453">
        <v>0</v>
      </c>
      <c r="AN460" s="453">
        <v>0</v>
      </c>
      <c r="AO460" s="453">
        <v>0</v>
      </c>
      <c r="AP460" s="453">
        <v>0</v>
      </c>
      <c r="AQ460" s="453">
        <v>0</v>
      </c>
      <c r="AR460" s="453">
        <v>0</v>
      </c>
      <c r="AS460" s="453">
        <v>0</v>
      </c>
      <c r="AT460" s="453">
        <v>0</v>
      </c>
      <c r="AU460" s="453">
        <v>0</v>
      </c>
      <c r="AV460" s="453">
        <v>0</v>
      </c>
      <c r="AW460" s="453">
        <v>0</v>
      </c>
      <c r="AX460" s="453">
        <v>0</v>
      </c>
      <c r="AY460" s="453">
        <v>0</v>
      </c>
      <c r="AZ460" s="453">
        <v>0</v>
      </c>
      <c r="BA460" s="453">
        <v>0</v>
      </c>
      <c r="BB460" s="453">
        <v>0</v>
      </c>
      <c r="BC460" s="453">
        <v>0</v>
      </c>
      <c r="BD460" s="453">
        <v>0</v>
      </c>
      <c r="BE460" s="105">
        <v>0</v>
      </c>
      <c r="BF460" s="453">
        <v>0</v>
      </c>
      <c r="BG460" s="453">
        <v>0</v>
      </c>
      <c r="BH460" s="105">
        <v>0</v>
      </c>
      <c r="BI460" s="453">
        <v>0</v>
      </c>
      <c r="BJ460" s="453">
        <v>0</v>
      </c>
      <c r="BK460" s="105">
        <v>0</v>
      </c>
      <c r="BL460" s="453">
        <v>0</v>
      </c>
      <c r="BM460" s="453">
        <v>0</v>
      </c>
      <c r="BN460" s="453">
        <v>0</v>
      </c>
      <c r="BO460" s="453">
        <v>0</v>
      </c>
      <c r="BP460" s="453">
        <v>0</v>
      </c>
      <c r="BQ460" s="453">
        <v>0</v>
      </c>
      <c r="BR460" s="14">
        <v>0</v>
      </c>
      <c r="BS460" s="14">
        <v>0</v>
      </c>
      <c r="BT460" s="377" t="str">
        <v/>
      </c>
      <c r="BU460" s="105" t="str">
        <v/>
      </c>
      <c r="BV460" s="453" t="str">
        <v/>
      </c>
      <c r="BW460" s="105" t="str">
        <f ca="1"/>
        <v/>
      </c>
    </row>
    <row r="461" spans="1:75" x14ac:dyDescent="0.3">
      <c r="A461" s="1">
        <v>0</v>
      </c>
      <c r="B461" s="106">
        <v>0</v>
      </c>
      <c r="C461" s="14">
        <v>0</v>
      </c>
      <c r="D461" s="14">
        <v>0</v>
      </c>
      <c r="E461" s="14">
        <v>0</v>
      </c>
      <c r="F461" s="453">
        <v>0</v>
      </c>
      <c r="G461" s="377">
        <v>0</v>
      </c>
      <c r="H461" s="453">
        <v>0</v>
      </c>
      <c r="I461" s="453">
        <v>0</v>
      </c>
      <c r="J461" s="453">
        <v>0</v>
      </c>
      <c r="K461" s="453">
        <v>0</v>
      </c>
      <c r="L461" s="453">
        <v>0</v>
      </c>
      <c r="M461" s="453">
        <v>0</v>
      </c>
      <c r="N461" s="453">
        <v>0</v>
      </c>
      <c r="O461" s="453">
        <v>0</v>
      </c>
      <c r="P461" s="14">
        <v>0</v>
      </c>
      <c r="Q461" s="14">
        <v>0</v>
      </c>
      <c r="R461" s="453">
        <v>0</v>
      </c>
      <c r="S461" s="453">
        <v>0</v>
      </c>
      <c r="T461" s="453">
        <v>0</v>
      </c>
      <c r="U461" s="453">
        <v>0</v>
      </c>
      <c r="V461" s="453">
        <v>0</v>
      </c>
      <c r="W461" s="453">
        <v>0</v>
      </c>
      <c r="X461" s="453">
        <v>0</v>
      </c>
      <c r="Y461" s="453">
        <v>0</v>
      </c>
      <c r="Z461" s="453">
        <v>0</v>
      </c>
      <c r="AA461" s="14">
        <v>0</v>
      </c>
      <c r="AB461" s="14">
        <v>0</v>
      </c>
      <c r="AC461" s="453">
        <v>0</v>
      </c>
      <c r="AD461" s="14">
        <v>0</v>
      </c>
      <c r="AE461" s="14">
        <v>0</v>
      </c>
      <c r="AF461" s="14">
        <v>0</v>
      </c>
      <c r="AG461" s="14">
        <v>0</v>
      </c>
      <c r="AH461" s="14">
        <v>0</v>
      </c>
      <c r="AI461" s="14">
        <v>0</v>
      </c>
      <c r="AJ461" s="14">
        <v>0</v>
      </c>
      <c r="AK461" s="14">
        <v>0</v>
      </c>
      <c r="AL461" s="14">
        <v>0</v>
      </c>
      <c r="AM461" s="453">
        <v>0</v>
      </c>
      <c r="AN461" s="453">
        <v>0</v>
      </c>
      <c r="AO461" s="453">
        <v>0</v>
      </c>
      <c r="AP461" s="453">
        <v>0</v>
      </c>
      <c r="AQ461" s="453">
        <v>0</v>
      </c>
      <c r="AR461" s="453">
        <v>0</v>
      </c>
      <c r="AS461" s="453">
        <v>0</v>
      </c>
      <c r="AT461" s="453">
        <v>0</v>
      </c>
      <c r="AU461" s="453">
        <v>0</v>
      </c>
      <c r="AV461" s="453">
        <v>0</v>
      </c>
      <c r="AW461" s="453">
        <v>0</v>
      </c>
      <c r="AX461" s="453">
        <v>0</v>
      </c>
      <c r="AY461" s="453">
        <v>0</v>
      </c>
      <c r="AZ461" s="453">
        <v>0</v>
      </c>
      <c r="BA461" s="453">
        <v>0</v>
      </c>
      <c r="BB461" s="453">
        <v>0</v>
      </c>
      <c r="BC461" s="453">
        <v>0</v>
      </c>
      <c r="BD461" s="453">
        <v>0</v>
      </c>
      <c r="BE461" s="105">
        <v>0</v>
      </c>
      <c r="BF461" s="453">
        <v>0</v>
      </c>
      <c r="BG461" s="453">
        <v>0</v>
      </c>
      <c r="BH461" s="105">
        <v>0</v>
      </c>
      <c r="BI461" s="453">
        <v>0</v>
      </c>
      <c r="BJ461" s="453">
        <v>0</v>
      </c>
      <c r="BK461" s="105">
        <v>0</v>
      </c>
      <c r="BL461" s="453">
        <v>0</v>
      </c>
      <c r="BM461" s="453">
        <v>0</v>
      </c>
      <c r="BN461" s="453">
        <v>0</v>
      </c>
      <c r="BO461" s="453">
        <v>0</v>
      </c>
      <c r="BP461" s="453">
        <v>0</v>
      </c>
      <c r="BQ461" s="453">
        <v>0</v>
      </c>
      <c r="BR461" s="14">
        <v>0</v>
      </c>
      <c r="BS461" s="14">
        <v>0</v>
      </c>
      <c r="BT461" s="377" t="str">
        <v/>
      </c>
      <c r="BU461" s="105" t="str">
        <v/>
      </c>
      <c r="BV461" s="453" t="str">
        <v/>
      </c>
      <c r="BW461" s="105" t="str">
        <f ca="1"/>
        <v/>
      </c>
    </row>
    <row r="462" spans="1:75" x14ac:dyDescent="0.3">
      <c r="A462" s="1">
        <v>0</v>
      </c>
      <c r="B462" s="106">
        <v>0</v>
      </c>
      <c r="C462" s="14">
        <v>0</v>
      </c>
      <c r="D462" s="14">
        <v>0</v>
      </c>
      <c r="E462" s="14">
        <v>0</v>
      </c>
      <c r="F462" s="453">
        <v>0</v>
      </c>
      <c r="G462" s="377">
        <v>0</v>
      </c>
      <c r="H462" s="453">
        <v>0</v>
      </c>
      <c r="I462" s="453">
        <v>0</v>
      </c>
      <c r="J462" s="453">
        <v>0</v>
      </c>
      <c r="K462" s="453">
        <v>0</v>
      </c>
      <c r="L462" s="453">
        <v>0</v>
      </c>
      <c r="M462" s="453">
        <v>0</v>
      </c>
      <c r="N462" s="453">
        <v>0</v>
      </c>
      <c r="O462" s="453">
        <v>0</v>
      </c>
      <c r="P462" s="14">
        <v>0</v>
      </c>
      <c r="Q462" s="14">
        <v>0</v>
      </c>
      <c r="R462" s="453">
        <v>0</v>
      </c>
      <c r="S462" s="453">
        <v>0</v>
      </c>
      <c r="T462" s="453">
        <v>0</v>
      </c>
      <c r="U462" s="453">
        <v>0</v>
      </c>
      <c r="V462" s="453">
        <v>0</v>
      </c>
      <c r="W462" s="453">
        <v>0</v>
      </c>
      <c r="X462" s="453">
        <v>0</v>
      </c>
      <c r="Y462" s="453">
        <v>0</v>
      </c>
      <c r="Z462" s="453">
        <v>0</v>
      </c>
      <c r="AA462" s="14">
        <v>0</v>
      </c>
      <c r="AB462" s="14">
        <v>0</v>
      </c>
      <c r="AC462" s="453">
        <v>0</v>
      </c>
      <c r="AD462" s="14">
        <v>0</v>
      </c>
      <c r="AE462" s="14">
        <v>0</v>
      </c>
      <c r="AF462" s="14">
        <v>0</v>
      </c>
      <c r="AG462" s="14">
        <v>0</v>
      </c>
      <c r="AH462" s="14">
        <v>0</v>
      </c>
      <c r="AI462" s="14">
        <v>0</v>
      </c>
      <c r="AJ462" s="14">
        <v>0</v>
      </c>
      <c r="AK462" s="14">
        <v>0</v>
      </c>
      <c r="AL462" s="14">
        <v>0</v>
      </c>
      <c r="AM462" s="453">
        <v>0</v>
      </c>
      <c r="AN462" s="453">
        <v>0</v>
      </c>
      <c r="AO462" s="453">
        <v>0</v>
      </c>
      <c r="AP462" s="453">
        <v>0</v>
      </c>
      <c r="AQ462" s="453">
        <v>0</v>
      </c>
      <c r="AR462" s="453">
        <v>0</v>
      </c>
      <c r="AS462" s="453">
        <v>0</v>
      </c>
      <c r="AT462" s="453">
        <v>0</v>
      </c>
      <c r="AU462" s="453">
        <v>0</v>
      </c>
      <c r="AV462" s="453">
        <v>0</v>
      </c>
      <c r="AW462" s="453">
        <v>0</v>
      </c>
      <c r="AX462" s="453">
        <v>0</v>
      </c>
      <c r="AY462" s="453">
        <v>0</v>
      </c>
      <c r="AZ462" s="453">
        <v>0</v>
      </c>
      <c r="BA462" s="453">
        <v>0</v>
      </c>
      <c r="BB462" s="453">
        <v>0</v>
      </c>
      <c r="BC462" s="453">
        <v>0</v>
      </c>
      <c r="BD462" s="453">
        <v>0</v>
      </c>
      <c r="BE462" s="105">
        <v>0</v>
      </c>
      <c r="BF462" s="453">
        <v>0</v>
      </c>
      <c r="BG462" s="453">
        <v>0</v>
      </c>
      <c r="BH462" s="105">
        <v>0</v>
      </c>
      <c r="BI462" s="453">
        <v>0</v>
      </c>
      <c r="BJ462" s="453">
        <v>0</v>
      </c>
      <c r="BK462" s="105">
        <v>0</v>
      </c>
      <c r="BL462" s="453">
        <v>0</v>
      </c>
      <c r="BM462" s="453">
        <v>0</v>
      </c>
      <c r="BN462" s="453">
        <v>0</v>
      </c>
      <c r="BO462" s="453">
        <v>0</v>
      </c>
      <c r="BP462" s="453">
        <v>0</v>
      </c>
      <c r="BQ462" s="453">
        <v>0</v>
      </c>
      <c r="BR462" s="14">
        <v>0</v>
      </c>
      <c r="BS462" s="14">
        <v>0</v>
      </c>
      <c r="BT462" s="377" t="str">
        <v/>
      </c>
      <c r="BU462" s="105" t="str">
        <v/>
      </c>
      <c r="BV462" s="453" t="str">
        <v/>
      </c>
      <c r="BW462" s="105" t="str">
        <f ca="1"/>
        <v/>
      </c>
    </row>
    <row r="463" spans="1:75" x14ac:dyDescent="0.3">
      <c r="A463" s="1">
        <v>0</v>
      </c>
      <c r="B463" s="106">
        <v>0</v>
      </c>
      <c r="C463" s="14">
        <v>0</v>
      </c>
      <c r="D463" s="14">
        <v>0</v>
      </c>
      <c r="E463" s="14">
        <v>0</v>
      </c>
      <c r="F463" s="453">
        <v>0</v>
      </c>
      <c r="G463" s="377">
        <v>0</v>
      </c>
      <c r="H463" s="453">
        <v>0</v>
      </c>
      <c r="I463" s="453">
        <v>0</v>
      </c>
      <c r="J463" s="453">
        <v>0</v>
      </c>
      <c r="K463" s="453">
        <v>0</v>
      </c>
      <c r="L463" s="453">
        <v>0</v>
      </c>
      <c r="M463" s="453">
        <v>0</v>
      </c>
      <c r="N463" s="453">
        <v>0</v>
      </c>
      <c r="O463" s="453">
        <v>0</v>
      </c>
      <c r="P463" s="14">
        <v>0</v>
      </c>
      <c r="Q463" s="14">
        <v>0</v>
      </c>
      <c r="R463" s="453">
        <v>0</v>
      </c>
      <c r="S463" s="453">
        <v>0</v>
      </c>
      <c r="T463" s="453">
        <v>0</v>
      </c>
      <c r="U463" s="453">
        <v>0</v>
      </c>
      <c r="V463" s="453">
        <v>0</v>
      </c>
      <c r="W463" s="453">
        <v>0</v>
      </c>
      <c r="X463" s="453">
        <v>0</v>
      </c>
      <c r="Y463" s="453">
        <v>0</v>
      </c>
      <c r="Z463" s="453">
        <v>0</v>
      </c>
      <c r="AA463" s="14">
        <v>0</v>
      </c>
      <c r="AB463" s="14">
        <v>0</v>
      </c>
      <c r="AC463" s="453">
        <v>0</v>
      </c>
      <c r="AD463" s="14">
        <v>0</v>
      </c>
      <c r="AE463" s="14">
        <v>0</v>
      </c>
      <c r="AF463" s="14">
        <v>0</v>
      </c>
      <c r="AG463" s="14">
        <v>0</v>
      </c>
      <c r="AH463" s="14">
        <v>0</v>
      </c>
      <c r="AI463" s="14">
        <v>0</v>
      </c>
      <c r="AJ463" s="14">
        <v>0</v>
      </c>
      <c r="AK463" s="14">
        <v>0</v>
      </c>
      <c r="AL463" s="14">
        <v>0</v>
      </c>
      <c r="AM463" s="453">
        <v>0</v>
      </c>
      <c r="AN463" s="453">
        <v>0</v>
      </c>
      <c r="AO463" s="453">
        <v>0</v>
      </c>
      <c r="AP463" s="453">
        <v>0</v>
      </c>
      <c r="AQ463" s="453">
        <v>0</v>
      </c>
      <c r="AR463" s="453">
        <v>0</v>
      </c>
      <c r="AS463" s="453">
        <v>0</v>
      </c>
      <c r="AT463" s="453">
        <v>0</v>
      </c>
      <c r="AU463" s="453">
        <v>0</v>
      </c>
      <c r="AV463" s="453">
        <v>0</v>
      </c>
      <c r="AW463" s="453">
        <v>0</v>
      </c>
      <c r="AX463" s="453">
        <v>0</v>
      </c>
      <c r="AY463" s="453">
        <v>0</v>
      </c>
      <c r="AZ463" s="453">
        <v>0</v>
      </c>
      <c r="BA463" s="453">
        <v>0</v>
      </c>
      <c r="BB463" s="453">
        <v>0</v>
      </c>
      <c r="BC463" s="453">
        <v>0</v>
      </c>
      <c r="BD463" s="453">
        <v>0</v>
      </c>
      <c r="BE463" s="105">
        <v>0</v>
      </c>
      <c r="BF463" s="453">
        <v>0</v>
      </c>
      <c r="BG463" s="453">
        <v>0</v>
      </c>
      <c r="BH463" s="105">
        <v>0</v>
      </c>
      <c r="BI463" s="453">
        <v>0</v>
      </c>
      <c r="BJ463" s="453">
        <v>0</v>
      </c>
      <c r="BK463" s="105">
        <v>0</v>
      </c>
      <c r="BL463" s="453">
        <v>0</v>
      </c>
      <c r="BM463" s="453">
        <v>0</v>
      </c>
      <c r="BN463" s="453">
        <v>0</v>
      </c>
      <c r="BO463" s="453">
        <v>0</v>
      </c>
      <c r="BP463" s="453">
        <v>0</v>
      </c>
      <c r="BQ463" s="453">
        <v>0</v>
      </c>
      <c r="BR463" s="14">
        <v>0</v>
      </c>
      <c r="BS463" s="14">
        <v>0</v>
      </c>
      <c r="BT463" s="377" t="str">
        <v/>
      </c>
      <c r="BU463" s="105" t="str">
        <v/>
      </c>
      <c r="BV463" s="453" t="str">
        <v/>
      </c>
      <c r="BW463" s="105" t="str">
        <f ca="1"/>
        <v/>
      </c>
    </row>
    <row r="464" spans="1:75" x14ac:dyDescent="0.3">
      <c r="A464" s="1">
        <v>0</v>
      </c>
      <c r="B464" s="106">
        <v>0</v>
      </c>
      <c r="C464" s="14">
        <v>0</v>
      </c>
      <c r="D464" s="14">
        <v>0</v>
      </c>
      <c r="E464" s="14">
        <v>0</v>
      </c>
      <c r="F464" s="453">
        <v>0</v>
      </c>
      <c r="G464" s="377">
        <v>0</v>
      </c>
      <c r="H464" s="453">
        <v>0</v>
      </c>
      <c r="I464" s="453">
        <v>0</v>
      </c>
      <c r="J464" s="453">
        <v>0</v>
      </c>
      <c r="K464" s="453">
        <v>0</v>
      </c>
      <c r="L464" s="453">
        <v>0</v>
      </c>
      <c r="M464" s="453">
        <v>0</v>
      </c>
      <c r="N464" s="453">
        <v>0</v>
      </c>
      <c r="O464" s="453">
        <v>0</v>
      </c>
      <c r="P464" s="14">
        <v>0</v>
      </c>
      <c r="Q464" s="14">
        <v>0</v>
      </c>
      <c r="R464" s="453">
        <v>0</v>
      </c>
      <c r="S464" s="453">
        <v>0</v>
      </c>
      <c r="T464" s="453">
        <v>0</v>
      </c>
      <c r="U464" s="453">
        <v>0</v>
      </c>
      <c r="V464" s="453">
        <v>0</v>
      </c>
      <c r="W464" s="453">
        <v>0</v>
      </c>
      <c r="X464" s="453">
        <v>0</v>
      </c>
      <c r="Y464" s="453">
        <v>0</v>
      </c>
      <c r="Z464" s="453">
        <v>0</v>
      </c>
      <c r="AA464" s="14">
        <v>0</v>
      </c>
      <c r="AB464" s="14">
        <v>0</v>
      </c>
      <c r="AC464" s="453">
        <v>0</v>
      </c>
      <c r="AD464" s="14">
        <v>0</v>
      </c>
      <c r="AE464" s="14">
        <v>0</v>
      </c>
      <c r="AF464" s="14">
        <v>0</v>
      </c>
      <c r="AG464" s="14">
        <v>0</v>
      </c>
      <c r="AH464" s="14">
        <v>0</v>
      </c>
      <c r="AI464" s="14">
        <v>0</v>
      </c>
      <c r="AJ464" s="14">
        <v>0</v>
      </c>
      <c r="AK464" s="14">
        <v>0</v>
      </c>
      <c r="AL464" s="14">
        <v>0</v>
      </c>
      <c r="AM464" s="453">
        <v>0</v>
      </c>
      <c r="AN464" s="453">
        <v>0</v>
      </c>
      <c r="AO464" s="453">
        <v>0</v>
      </c>
      <c r="AP464" s="453">
        <v>0</v>
      </c>
      <c r="AQ464" s="453">
        <v>0</v>
      </c>
      <c r="AR464" s="453">
        <v>0</v>
      </c>
      <c r="AS464" s="453">
        <v>0</v>
      </c>
      <c r="AT464" s="453">
        <v>0</v>
      </c>
      <c r="AU464" s="453">
        <v>0</v>
      </c>
      <c r="AV464" s="453">
        <v>0</v>
      </c>
      <c r="AW464" s="453">
        <v>0</v>
      </c>
      <c r="AX464" s="453">
        <v>0</v>
      </c>
      <c r="AY464" s="453">
        <v>0</v>
      </c>
      <c r="AZ464" s="453">
        <v>0</v>
      </c>
      <c r="BA464" s="453">
        <v>0</v>
      </c>
      <c r="BB464" s="453">
        <v>0</v>
      </c>
      <c r="BC464" s="453">
        <v>0</v>
      </c>
      <c r="BD464" s="453">
        <v>0</v>
      </c>
      <c r="BE464" s="105">
        <v>0</v>
      </c>
      <c r="BF464" s="453">
        <v>0</v>
      </c>
      <c r="BG464" s="453">
        <v>0</v>
      </c>
      <c r="BH464" s="105">
        <v>0</v>
      </c>
      <c r="BI464" s="453">
        <v>0</v>
      </c>
      <c r="BJ464" s="453">
        <v>0</v>
      </c>
      <c r="BK464" s="105">
        <v>0</v>
      </c>
      <c r="BL464" s="453">
        <v>0</v>
      </c>
      <c r="BM464" s="453">
        <v>0</v>
      </c>
      <c r="BN464" s="453">
        <v>0</v>
      </c>
      <c r="BO464" s="453">
        <v>0</v>
      </c>
      <c r="BP464" s="453">
        <v>0</v>
      </c>
      <c r="BQ464" s="453">
        <v>0</v>
      </c>
      <c r="BR464" s="14">
        <v>0</v>
      </c>
      <c r="BS464" s="14">
        <v>0</v>
      </c>
      <c r="BT464" s="377" t="str">
        <v/>
      </c>
      <c r="BU464" s="105" t="str">
        <v/>
      </c>
      <c r="BV464" s="453" t="str">
        <v/>
      </c>
      <c r="BW464" s="105" t="str">
        <f ca="1"/>
        <v/>
      </c>
    </row>
    <row r="465" spans="1:75" x14ac:dyDescent="0.3">
      <c r="A465" s="1">
        <v>0</v>
      </c>
      <c r="B465" s="106">
        <v>0</v>
      </c>
      <c r="C465" s="14">
        <v>0</v>
      </c>
      <c r="D465" s="14">
        <v>0</v>
      </c>
      <c r="E465" s="14">
        <v>0</v>
      </c>
      <c r="F465" s="453">
        <v>0</v>
      </c>
      <c r="G465" s="377">
        <v>0</v>
      </c>
      <c r="H465" s="453">
        <v>0</v>
      </c>
      <c r="I465" s="453">
        <v>0</v>
      </c>
      <c r="J465" s="453">
        <v>0</v>
      </c>
      <c r="K465" s="453">
        <v>0</v>
      </c>
      <c r="L465" s="453">
        <v>0</v>
      </c>
      <c r="M465" s="453">
        <v>0</v>
      </c>
      <c r="N465" s="453">
        <v>0</v>
      </c>
      <c r="O465" s="453">
        <v>0</v>
      </c>
      <c r="P465" s="14">
        <v>0</v>
      </c>
      <c r="Q465" s="14">
        <v>0</v>
      </c>
      <c r="R465" s="453">
        <v>0</v>
      </c>
      <c r="S465" s="453">
        <v>0</v>
      </c>
      <c r="T465" s="453">
        <v>0</v>
      </c>
      <c r="U465" s="453">
        <v>0</v>
      </c>
      <c r="V465" s="453">
        <v>0</v>
      </c>
      <c r="W465" s="453">
        <v>0</v>
      </c>
      <c r="X465" s="453">
        <v>0</v>
      </c>
      <c r="Y465" s="453">
        <v>0</v>
      </c>
      <c r="Z465" s="453">
        <v>0</v>
      </c>
      <c r="AA465" s="14">
        <v>0</v>
      </c>
      <c r="AB465" s="14">
        <v>0</v>
      </c>
      <c r="AC465" s="453">
        <v>0</v>
      </c>
      <c r="AD465" s="14">
        <v>0</v>
      </c>
      <c r="AE465" s="14">
        <v>0</v>
      </c>
      <c r="AF465" s="14">
        <v>0</v>
      </c>
      <c r="AG465" s="14">
        <v>0</v>
      </c>
      <c r="AH465" s="14">
        <v>0</v>
      </c>
      <c r="AI465" s="14">
        <v>0</v>
      </c>
      <c r="AJ465" s="14">
        <v>0</v>
      </c>
      <c r="AK465" s="14">
        <v>0</v>
      </c>
      <c r="AL465" s="14">
        <v>0</v>
      </c>
      <c r="AM465" s="453">
        <v>0</v>
      </c>
      <c r="AN465" s="453">
        <v>0</v>
      </c>
      <c r="AO465" s="453">
        <v>0</v>
      </c>
      <c r="AP465" s="453">
        <v>0</v>
      </c>
      <c r="AQ465" s="453">
        <v>0</v>
      </c>
      <c r="AR465" s="453">
        <v>0</v>
      </c>
      <c r="AS465" s="453">
        <v>0</v>
      </c>
      <c r="AT465" s="453">
        <v>0</v>
      </c>
      <c r="AU465" s="453">
        <v>0</v>
      </c>
      <c r="AV465" s="453">
        <v>0</v>
      </c>
      <c r="AW465" s="453">
        <v>0</v>
      </c>
      <c r="AX465" s="453">
        <v>0</v>
      </c>
      <c r="AY465" s="453">
        <v>0</v>
      </c>
      <c r="AZ465" s="453">
        <v>0</v>
      </c>
      <c r="BA465" s="453">
        <v>0</v>
      </c>
      <c r="BB465" s="453">
        <v>0</v>
      </c>
      <c r="BC465" s="453">
        <v>0</v>
      </c>
      <c r="BD465" s="453">
        <v>0</v>
      </c>
      <c r="BE465" s="105">
        <v>0</v>
      </c>
      <c r="BF465" s="453">
        <v>0</v>
      </c>
      <c r="BG465" s="453">
        <v>0</v>
      </c>
      <c r="BH465" s="105">
        <v>0</v>
      </c>
      <c r="BI465" s="453">
        <v>0</v>
      </c>
      <c r="BJ465" s="453">
        <v>0</v>
      </c>
      <c r="BK465" s="105">
        <v>0</v>
      </c>
      <c r="BL465" s="453">
        <v>0</v>
      </c>
      <c r="BM465" s="453">
        <v>0</v>
      </c>
      <c r="BN465" s="453">
        <v>0</v>
      </c>
      <c r="BO465" s="453">
        <v>0</v>
      </c>
      <c r="BP465" s="453">
        <v>0</v>
      </c>
      <c r="BQ465" s="453">
        <v>0</v>
      </c>
      <c r="BR465" s="14">
        <v>0</v>
      </c>
      <c r="BS465" s="14">
        <v>0</v>
      </c>
      <c r="BT465" s="377" t="str">
        <v/>
      </c>
      <c r="BU465" s="105" t="str">
        <v/>
      </c>
      <c r="BV465" s="453" t="str">
        <v/>
      </c>
      <c r="BW465" s="105" t="str">
        <f ca="1"/>
        <v/>
      </c>
    </row>
    <row r="466" spans="1:75" x14ac:dyDescent="0.3">
      <c r="A466" s="1">
        <v>0</v>
      </c>
      <c r="B466" s="106">
        <v>0</v>
      </c>
      <c r="C466" s="14">
        <v>0</v>
      </c>
      <c r="D466" s="14">
        <v>0</v>
      </c>
      <c r="E466" s="14">
        <v>0</v>
      </c>
      <c r="F466" s="453">
        <v>0</v>
      </c>
      <c r="G466" s="377">
        <v>0</v>
      </c>
      <c r="H466" s="453">
        <v>0</v>
      </c>
      <c r="I466" s="453">
        <v>0</v>
      </c>
      <c r="J466" s="453">
        <v>0</v>
      </c>
      <c r="K466" s="453">
        <v>0</v>
      </c>
      <c r="L466" s="453">
        <v>0</v>
      </c>
      <c r="M466" s="453">
        <v>0</v>
      </c>
      <c r="N466" s="453">
        <v>0</v>
      </c>
      <c r="O466" s="453">
        <v>0</v>
      </c>
      <c r="P466" s="14">
        <v>0</v>
      </c>
      <c r="Q466" s="14">
        <v>0</v>
      </c>
      <c r="R466" s="453">
        <v>0</v>
      </c>
      <c r="S466" s="453">
        <v>0</v>
      </c>
      <c r="T466" s="453">
        <v>0</v>
      </c>
      <c r="U466" s="453">
        <v>0</v>
      </c>
      <c r="V466" s="453">
        <v>0</v>
      </c>
      <c r="W466" s="453">
        <v>0</v>
      </c>
      <c r="X466" s="453">
        <v>0</v>
      </c>
      <c r="Y466" s="453">
        <v>0</v>
      </c>
      <c r="Z466" s="453">
        <v>0</v>
      </c>
      <c r="AA466" s="14">
        <v>0</v>
      </c>
      <c r="AB466" s="14">
        <v>0</v>
      </c>
      <c r="AC466" s="453">
        <v>0</v>
      </c>
      <c r="AD466" s="14">
        <v>0</v>
      </c>
      <c r="AE466" s="14">
        <v>0</v>
      </c>
      <c r="AF466" s="14">
        <v>0</v>
      </c>
      <c r="AG466" s="14">
        <v>0</v>
      </c>
      <c r="AH466" s="14">
        <v>0</v>
      </c>
      <c r="AI466" s="14">
        <v>0</v>
      </c>
      <c r="AJ466" s="14">
        <v>0</v>
      </c>
      <c r="AK466" s="14">
        <v>0</v>
      </c>
      <c r="AL466" s="14">
        <v>0</v>
      </c>
      <c r="AM466" s="453">
        <v>0</v>
      </c>
      <c r="AN466" s="453">
        <v>0</v>
      </c>
      <c r="AO466" s="453">
        <v>0</v>
      </c>
      <c r="AP466" s="453">
        <v>0</v>
      </c>
      <c r="AQ466" s="453">
        <v>0</v>
      </c>
      <c r="AR466" s="453">
        <v>0</v>
      </c>
      <c r="AS466" s="453">
        <v>0</v>
      </c>
      <c r="AT466" s="453">
        <v>0</v>
      </c>
      <c r="AU466" s="453">
        <v>0</v>
      </c>
      <c r="AV466" s="453">
        <v>0</v>
      </c>
      <c r="AW466" s="453">
        <v>0</v>
      </c>
      <c r="AX466" s="453">
        <v>0</v>
      </c>
      <c r="AY466" s="453">
        <v>0</v>
      </c>
      <c r="AZ466" s="453">
        <v>0</v>
      </c>
      <c r="BA466" s="453">
        <v>0</v>
      </c>
      <c r="BB466" s="453">
        <v>0</v>
      </c>
      <c r="BC466" s="453">
        <v>0</v>
      </c>
      <c r="BD466" s="453">
        <v>0</v>
      </c>
      <c r="BE466" s="105">
        <v>0</v>
      </c>
      <c r="BF466" s="453">
        <v>0</v>
      </c>
      <c r="BG466" s="453">
        <v>0</v>
      </c>
      <c r="BH466" s="105">
        <v>0</v>
      </c>
      <c r="BI466" s="453">
        <v>0</v>
      </c>
      <c r="BJ466" s="453">
        <v>0</v>
      </c>
      <c r="BK466" s="105">
        <v>0</v>
      </c>
      <c r="BL466" s="453">
        <v>0</v>
      </c>
      <c r="BM466" s="453">
        <v>0</v>
      </c>
      <c r="BN466" s="453">
        <v>0</v>
      </c>
      <c r="BO466" s="453">
        <v>0</v>
      </c>
      <c r="BP466" s="453">
        <v>0</v>
      </c>
      <c r="BQ466" s="453">
        <v>0</v>
      </c>
      <c r="BR466" s="14">
        <v>0</v>
      </c>
      <c r="BS466" s="14">
        <v>0</v>
      </c>
      <c r="BT466" s="377" t="str">
        <v/>
      </c>
      <c r="BU466" s="105" t="str">
        <v/>
      </c>
      <c r="BV466" s="453" t="str">
        <v/>
      </c>
      <c r="BW466" s="105" t="str">
        <f ca="1"/>
        <v/>
      </c>
    </row>
    <row r="467" spans="1:75" x14ac:dyDescent="0.3">
      <c r="A467" s="1">
        <v>0</v>
      </c>
      <c r="B467" s="106">
        <v>0</v>
      </c>
      <c r="C467" s="14">
        <v>0</v>
      </c>
      <c r="D467" s="14">
        <v>0</v>
      </c>
      <c r="E467" s="14">
        <v>0</v>
      </c>
      <c r="F467" s="453">
        <v>0</v>
      </c>
      <c r="G467" s="377">
        <v>0</v>
      </c>
      <c r="H467" s="453">
        <v>0</v>
      </c>
      <c r="I467" s="453">
        <v>0</v>
      </c>
      <c r="J467" s="453">
        <v>0</v>
      </c>
      <c r="K467" s="453">
        <v>0</v>
      </c>
      <c r="L467" s="453">
        <v>0</v>
      </c>
      <c r="M467" s="453">
        <v>0</v>
      </c>
      <c r="N467" s="453">
        <v>0</v>
      </c>
      <c r="O467" s="453">
        <v>0</v>
      </c>
      <c r="P467" s="14">
        <v>0</v>
      </c>
      <c r="Q467" s="14">
        <v>0</v>
      </c>
      <c r="R467" s="453">
        <v>0</v>
      </c>
      <c r="S467" s="453">
        <v>0</v>
      </c>
      <c r="T467" s="453">
        <v>0</v>
      </c>
      <c r="U467" s="453">
        <v>0</v>
      </c>
      <c r="V467" s="453">
        <v>0</v>
      </c>
      <c r="W467" s="453">
        <v>0</v>
      </c>
      <c r="X467" s="453">
        <v>0</v>
      </c>
      <c r="Y467" s="453">
        <v>0</v>
      </c>
      <c r="Z467" s="453">
        <v>0</v>
      </c>
      <c r="AA467" s="14">
        <v>0</v>
      </c>
      <c r="AB467" s="14">
        <v>0</v>
      </c>
      <c r="AC467" s="453">
        <v>0</v>
      </c>
      <c r="AD467" s="14">
        <v>0</v>
      </c>
      <c r="AE467" s="14">
        <v>0</v>
      </c>
      <c r="AF467" s="14">
        <v>0</v>
      </c>
      <c r="AG467" s="14">
        <v>0</v>
      </c>
      <c r="AH467" s="14">
        <v>0</v>
      </c>
      <c r="AI467" s="14">
        <v>0</v>
      </c>
      <c r="AJ467" s="14">
        <v>0</v>
      </c>
      <c r="AK467" s="14">
        <v>0</v>
      </c>
      <c r="AL467" s="14">
        <v>0</v>
      </c>
      <c r="AM467" s="453">
        <v>0</v>
      </c>
      <c r="AN467" s="453">
        <v>0</v>
      </c>
      <c r="AO467" s="453">
        <v>0</v>
      </c>
      <c r="AP467" s="453">
        <v>0</v>
      </c>
      <c r="AQ467" s="453">
        <v>0</v>
      </c>
      <c r="AR467" s="453">
        <v>0</v>
      </c>
      <c r="AS467" s="453">
        <v>0</v>
      </c>
      <c r="AT467" s="453">
        <v>0</v>
      </c>
      <c r="AU467" s="453">
        <v>0</v>
      </c>
      <c r="AV467" s="453">
        <v>0</v>
      </c>
      <c r="AW467" s="453">
        <v>0</v>
      </c>
      <c r="AX467" s="453">
        <v>0</v>
      </c>
      <c r="AY467" s="453">
        <v>0</v>
      </c>
      <c r="AZ467" s="453">
        <v>0</v>
      </c>
      <c r="BA467" s="453">
        <v>0</v>
      </c>
      <c r="BB467" s="453">
        <v>0</v>
      </c>
      <c r="BC467" s="453">
        <v>0</v>
      </c>
      <c r="BD467" s="453">
        <v>0</v>
      </c>
      <c r="BE467" s="105">
        <v>0</v>
      </c>
      <c r="BF467" s="453">
        <v>0</v>
      </c>
      <c r="BG467" s="453">
        <v>0</v>
      </c>
      <c r="BH467" s="105">
        <v>0</v>
      </c>
      <c r="BI467" s="453">
        <v>0</v>
      </c>
      <c r="BJ467" s="453">
        <v>0</v>
      </c>
      <c r="BK467" s="105">
        <v>0</v>
      </c>
      <c r="BL467" s="453">
        <v>0</v>
      </c>
      <c r="BM467" s="453">
        <v>0</v>
      </c>
      <c r="BN467" s="453">
        <v>0</v>
      </c>
      <c r="BO467" s="453">
        <v>0</v>
      </c>
      <c r="BP467" s="453">
        <v>0</v>
      </c>
      <c r="BQ467" s="453">
        <v>0</v>
      </c>
      <c r="BR467" s="14">
        <v>0</v>
      </c>
      <c r="BS467" s="14">
        <v>0</v>
      </c>
      <c r="BT467" s="377" t="str">
        <v/>
      </c>
      <c r="BU467" s="105" t="str">
        <v/>
      </c>
      <c r="BV467" s="453" t="str">
        <v/>
      </c>
      <c r="BW467" s="105" t="str">
        <f ca="1"/>
        <v/>
      </c>
    </row>
    <row r="468" spans="1:75" x14ac:dyDescent="0.3">
      <c r="A468" s="1">
        <v>0</v>
      </c>
      <c r="B468" s="106">
        <v>0</v>
      </c>
      <c r="C468" s="14">
        <v>0</v>
      </c>
      <c r="D468" s="14">
        <v>0</v>
      </c>
      <c r="E468" s="14">
        <v>0</v>
      </c>
      <c r="F468" s="453">
        <v>0</v>
      </c>
      <c r="G468" s="377">
        <v>0</v>
      </c>
      <c r="H468" s="453">
        <v>0</v>
      </c>
      <c r="I468" s="453">
        <v>0</v>
      </c>
      <c r="J468" s="453">
        <v>0</v>
      </c>
      <c r="K468" s="453">
        <v>0</v>
      </c>
      <c r="L468" s="453">
        <v>0</v>
      </c>
      <c r="M468" s="453">
        <v>0</v>
      </c>
      <c r="N468" s="453">
        <v>0</v>
      </c>
      <c r="O468" s="453">
        <v>0</v>
      </c>
      <c r="P468" s="14">
        <v>0</v>
      </c>
      <c r="Q468" s="14">
        <v>0</v>
      </c>
      <c r="R468" s="453">
        <v>0</v>
      </c>
      <c r="S468" s="453">
        <v>0</v>
      </c>
      <c r="T468" s="453">
        <v>0</v>
      </c>
      <c r="U468" s="453">
        <v>0</v>
      </c>
      <c r="V468" s="453">
        <v>0</v>
      </c>
      <c r="W468" s="453">
        <v>0</v>
      </c>
      <c r="X468" s="453">
        <v>0</v>
      </c>
      <c r="Y468" s="453">
        <v>0</v>
      </c>
      <c r="Z468" s="453">
        <v>0</v>
      </c>
      <c r="AA468" s="14">
        <v>0</v>
      </c>
      <c r="AB468" s="14">
        <v>0</v>
      </c>
      <c r="AC468" s="453">
        <v>0</v>
      </c>
      <c r="AD468" s="14">
        <v>0</v>
      </c>
      <c r="AE468" s="14">
        <v>0</v>
      </c>
      <c r="AF468" s="14">
        <v>0</v>
      </c>
      <c r="AG468" s="14">
        <v>0</v>
      </c>
      <c r="AH468" s="14">
        <v>0</v>
      </c>
      <c r="AI468" s="14">
        <v>0</v>
      </c>
      <c r="AJ468" s="14">
        <v>0</v>
      </c>
      <c r="AK468" s="14">
        <v>0</v>
      </c>
      <c r="AL468" s="14">
        <v>0</v>
      </c>
      <c r="AM468" s="453">
        <v>0</v>
      </c>
      <c r="AN468" s="453">
        <v>0</v>
      </c>
      <c r="AO468" s="453">
        <v>0</v>
      </c>
      <c r="AP468" s="453">
        <v>0</v>
      </c>
      <c r="AQ468" s="453">
        <v>0</v>
      </c>
      <c r="AR468" s="453">
        <v>0</v>
      </c>
      <c r="AS468" s="453">
        <v>0</v>
      </c>
      <c r="AT468" s="453">
        <v>0</v>
      </c>
      <c r="AU468" s="453">
        <v>0</v>
      </c>
      <c r="AV468" s="453">
        <v>0</v>
      </c>
      <c r="AW468" s="453">
        <v>0</v>
      </c>
      <c r="AX468" s="453">
        <v>0</v>
      </c>
      <c r="AY468" s="453">
        <v>0</v>
      </c>
      <c r="AZ468" s="453">
        <v>0</v>
      </c>
      <c r="BA468" s="453">
        <v>0</v>
      </c>
      <c r="BB468" s="453">
        <v>0</v>
      </c>
      <c r="BC468" s="453">
        <v>0</v>
      </c>
      <c r="BD468" s="453">
        <v>0</v>
      </c>
      <c r="BE468" s="105">
        <v>0</v>
      </c>
      <c r="BF468" s="453">
        <v>0</v>
      </c>
      <c r="BG468" s="453">
        <v>0</v>
      </c>
      <c r="BH468" s="105">
        <v>0</v>
      </c>
      <c r="BI468" s="453">
        <v>0</v>
      </c>
      <c r="BJ468" s="453">
        <v>0</v>
      </c>
      <c r="BK468" s="105">
        <v>0</v>
      </c>
      <c r="BL468" s="453">
        <v>0</v>
      </c>
      <c r="BM468" s="453">
        <v>0</v>
      </c>
      <c r="BN468" s="453">
        <v>0</v>
      </c>
      <c r="BO468" s="453">
        <v>0</v>
      </c>
      <c r="BP468" s="453">
        <v>0</v>
      </c>
      <c r="BQ468" s="453">
        <v>0</v>
      </c>
      <c r="BR468" s="14">
        <v>0</v>
      </c>
      <c r="BS468" s="14">
        <v>0</v>
      </c>
      <c r="BT468" s="377" t="str">
        <v/>
      </c>
      <c r="BU468" s="105" t="str">
        <v/>
      </c>
      <c r="BV468" s="453" t="str">
        <v/>
      </c>
      <c r="BW468" s="105" t="str">
        <f ca="1"/>
        <v/>
      </c>
    </row>
    <row r="469" spans="1:75" x14ac:dyDescent="0.3">
      <c r="A469" s="1">
        <v>0</v>
      </c>
      <c r="B469" s="106">
        <v>0</v>
      </c>
      <c r="C469" s="14">
        <v>0</v>
      </c>
      <c r="D469" s="14">
        <v>0</v>
      </c>
      <c r="E469" s="14">
        <v>0</v>
      </c>
      <c r="F469" s="453">
        <v>0</v>
      </c>
      <c r="G469" s="377">
        <v>0</v>
      </c>
      <c r="H469" s="453">
        <v>0</v>
      </c>
      <c r="I469" s="453">
        <v>0</v>
      </c>
      <c r="J469" s="453">
        <v>0</v>
      </c>
      <c r="K469" s="453">
        <v>0</v>
      </c>
      <c r="L469" s="453">
        <v>0</v>
      </c>
      <c r="M469" s="453">
        <v>0</v>
      </c>
      <c r="N469" s="453">
        <v>0</v>
      </c>
      <c r="O469" s="453">
        <v>0</v>
      </c>
      <c r="P469" s="14">
        <v>0</v>
      </c>
      <c r="Q469" s="14">
        <v>0</v>
      </c>
      <c r="R469" s="453">
        <v>0</v>
      </c>
      <c r="S469" s="453">
        <v>0</v>
      </c>
      <c r="T469" s="453">
        <v>0</v>
      </c>
      <c r="U469" s="453">
        <v>0</v>
      </c>
      <c r="V469" s="453">
        <v>0</v>
      </c>
      <c r="W469" s="453">
        <v>0</v>
      </c>
      <c r="X469" s="453">
        <v>0</v>
      </c>
      <c r="Y469" s="453">
        <v>0</v>
      </c>
      <c r="Z469" s="453">
        <v>0</v>
      </c>
      <c r="AA469" s="14">
        <v>0</v>
      </c>
      <c r="AB469" s="14">
        <v>0</v>
      </c>
      <c r="AC469" s="453">
        <v>0</v>
      </c>
      <c r="AD469" s="14">
        <v>0</v>
      </c>
      <c r="AE469" s="14">
        <v>0</v>
      </c>
      <c r="AF469" s="14">
        <v>0</v>
      </c>
      <c r="AG469" s="14">
        <v>0</v>
      </c>
      <c r="AH469" s="14">
        <v>0</v>
      </c>
      <c r="AI469" s="14">
        <v>0</v>
      </c>
      <c r="AJ469" s="14">
        <v>0</v>
      </c>
      <c r="AK469" s="14">
        <v>0</v>
      </c>
      <c r="AL469" s="14">
        <v>0</v>
      </c>
      <c r="AM469" s="453">
        <v>0</v>
      </c>
      <c r="AN469" s="453">
        <v>0</v>
      </c>
      <c r="AO469" s="453">
        <v>0</v>
      </c>
      <c r="AP469" s="453">
        <v>0</v>
      </c>
      <c r="AQ469" s="453">
        <v>0</v>
      </c>
      <c r="AR469" s="453">
        <v>0</v>
      </c>
      <c r="AS469" s="453">
        <v>0</v>
      </c>
      <c r="AT469" s="453">
        <v>0</v>
      </c>
      <c r="AU469" s="453">
        <v>0</v>
      </c>
      <c r="AV469" s="453">
        <v>0</v>
      </c>
      <c r="AW469" s="453">
        <v>0</v>
      </c>
      <c r="AX469" s="453">
        <v>0</v>
      </c>
      <c r="AY469" s="453">
        <v>0</v>
      </c>
      <c r="AZ469" s="453">
        <v>0</v>
      </c>
      <c r="BA469" s="453">
        <v>0</v>
      </c>
      <c r="BB469" s="453">
        <v>0</v>
      </c>
      <c r="BC469" s="453">
        <v>0</v>
      </c>
      <c r="BD469" s="453">
        <v>0</v>
      </c>
      <c r="BE469" s="105">
        <v>0</v>
      </c>
      <c r="BF469" s="453">
        <v>0</v>
      </c>
      <c r="BG469" s="453">
        <v>0</v>
      </c>
      <c r="BH469" s="105">
        <v>0</v>
      </c>
      <c r="BI469" s="453">
        <v>0</v>
      </c>
      <c r="BJ469" s="453">
        <v>0</v>
      </c>
      <c r="BK469" s="105">
        <v>0</v>
      </c>
      <c r="BL469" s="453">
        <v>0</v>
      </c>
      <c r="BM469" s="453">
        <v>0</v>
      </c>
      <c r="BN469" s="453">
        <v>0</v>
      </c>
      <c r="BO469" s="453">
        <v>0</v>
      </c>
      <c r="BP469" s="453">
        <v>0</v>
      </c>
      <c r="BQ469" s="453">
        <v>0</v>
      </c>
      <c r="BR469" s="14">
        <v>0</v>
      </c>
      <c r="BS469" s="14">
        <v>0</v>
      </c>
      <c r="BT469" s="377" t="str">
        <v/>
      </c>
      <c r="BU469" s="105" t="str">
        <v/>
      </c>
      <c r="BV469" s="453" t="str">
        <v/>
      </c>
      <c r="BW469" s="105" t="str">
        <f ca="1"/>
        <v/>
      </c>
    </row>
    <row r="470" spans="1:75" x14ac:dyDescent="0.3">
      <c r="A470" s="1">
        <v>0</v>
      </c>
      <c r="B470" s="106">
        <v>0</v>
      </c>
      <c r="C470" s="14">
        <v>0</v>
      </c>
      <c r="D470" s="14">
        <v>0</v>
      </c>
      <c r="E470" s="14">
        <v>0</v>
      </c>
      <c r="F470" s="453">
        <v>0</v>
      </c>
      <c r="G470" s="377">
        <v>0</v>
      </c>
      <c r="H470" s="453">
        <v>0</v>
      </c>
      <c r="I470" s="453">
        <v>0</v>
      </c>
      <c r="J470" s="453">
        <v>0</v>
      </c>
      <c r="K470" s="453">
        <v>0</v>
      </c>
      <c r="L470" s="453">
        <v>0</v>
      </c>
      <c r="M470" s="453">
        <v>0</v>
      </c>
      <c r="N470" s="453">
        <v>0</v>
      </c>
      <c r="O470" s="453">
        <v>0</v>
      </c>
      <c r="P470" s="14">
        <v>0</v>
      </c>
      <c r="Q470" s="14">
        <v>0</v>
      </c>
      <c r="R470" s="453">
        <v>0</v>
      </c>
      <c r="S470" s="453">
        <v>0</v>
      </c>
      <c r="T470" s="453">
        <v>0</v>
      </c>
      <c r="U470" s="453">
        <v>0</v>
      </c>
      <c r="V470" s="453">
        <v>0</v>
      </c>
      <c r="W470" s="453">
        <v>0</v>
      </c>
      <c r="X470" s="453">
        <v>0</v>
      </c>
      <c r="Y470" s="453">
        <v>0</v>
      </c>
      <c r="Z470" s="453">
        <v>0</v>
      </c>
      <c r="AA470" s="14">
        <v>0</v>
      </c>
      <c r="AB470" s="14">
        <v>0</v>
      </c>
      <c r="AC470" s="453">
        <v>0</v>
      </c>
      <c r="AD470" s="14">
        <v>0</v>
      </c>
      <c r="AE470" s="14">
        <v>0</v>
      </c>
      <c r="AF470" s="14">
        <v>0</v>
      </c>
      <c r="AG470" s="14">
        <v>0</v>
      </c>
      <c r="AH470" s="14">
        <v>0</v>
      </c>
      <c r="AI470" s="14">
        <v>0</v>
      </c>
      <c r="AJ470" s="14">
        <v>0</v>
      </c>
      <c r="AK470" s="14">
        <v>0</v>
      </c>
      <c r="AL470" s="14">
        <v>0</v>
      </c>
      <c r="AM470" s="453">
        <v>0</v>
      </c>
      <c r="AN470" s="453">
        <v>0</v>
      </c>
      <c r="AO470" s="453">
        <v>0</v>
      </c>
      <c r="AP470" s="453">
        <v>0</v>
      </c>
      <c r="AQ470" s="453">
        <v>0</v>
      </c>
      <c r="AR470" s="453">
        <v>0</v>
      </c>
      <c r="AS470" s="453">
        <v>0</v>
      </c>
      <c r="AT470" s="453">
        <v>0</v>
      </c>
      <c r="AU470" s="453">
        <v>0</v>
      </c>
      <c r="AV470" s="453">
        <v>0</v>
      </c>
      <c r="AW470" s="453">
        <v>0</v>
      </c>
      <c r="AX470" s="453">
        <v>0</v>
      </c>
      <c r="AY470" s="453">
        <v>0</v>
      </c>
      <c r="AZ470" s="453">
        <v>0</v>
      </c>
      <c r="BA470" s="453">
        <v>0</v>
      </c>
      <c r="BB470" s="453">
        <v>0</v>
      </c>
      <c r="BC470" s="453">
        <v>0</v>
      </c>
      <c r="BD470" s="453">
        <v>0</v>
      </c>
      <c r="BE470" s="105">
        <v>0</v>
      </c>
      <c r="BF470" s="453">
        <v>0</v>
      </c>
      <c r="BG470" s="453">
        <v>0</v>
      </c>
      <c r="BH470" s="105">
        <v>0</v>
      </c>
      <c r="BI470" s="453">
        <v>0</v>
      </c>
      <c r="BJ470" s="453">
        <v>0</v>
      </c>
      <c r="BK470" s="105">
        <v>0</v>
      </c>
      <c r="BL470" s="453">
        <v>0</v>
      </c>
      <c r="BM470" s="453">
        <v>0</v>
      </c>
      <c r="BN470" s="453">
        <v>0</v>
      </c>
      <c r="BO470" s="453">
        <v>0</v>
      </c>
      <c r="BP470" s="453">
        <v>0</v>
      </c>
      <c r="BQ470" s="453">
        <v>0</v>
      </c>
      <c r="BR470" s="14">
        <v>0</v>
      </c>
      <c r="BS470" s="14">
        <v>0</v>
      </c>
      <c r="BT470" s="377" t="str">
        <v/>
      </c>
      <c r="BU470" s="105" t="str">
        <v/>
      </c>
      <c r="BV470" s="453" t="str">
        <v/>
      </c>
      <c r="BW470" s="105" t="str">
        <f ca="1"/>
        <v/>
      </c>
    </row>
    <row r="471" spans="1:75" x14ac:dyDescent="0.3">
      <c r="A471" s="1">
        <v>0</v>
      </c>
      <c r="B471" s="106">
        <v>0</v>
      </c>
      <c r="C471" s="14">
        <v>0</v>
      </c>
      <c r="D471" s="14">
        <v>0</v>
      </c>
      <c r="E471" s="14">
        <v>0</v>
      </c>
      <c r="F471" s="453">
        <v>0</v>
      </c>
      <c r="G471" s="377">
        <v>0</v>
      </c>
      <c r="H471" s="453">
        <v>0</v>
      </c>
      <c r="I471" s="453">
        <v>0</v>
      </c>
      <c r="J471" s="453">
        <v>0</v>
      </c>
      <c r="K471" s="453">
        <v>0</v>
      </c>
      <c r="L471" s="453">
        <v>0</v>
      </c>
      <c r="M471" s="453">
        <v>0</v>
      </c>
      <c r="N471" s="453">
        <v>0</v>
      </c>
      <c r="O471" s="453">
        <v>0</v>
      </c>
      <c r="P471" s="14">
        <v>0</v>
      </c>
      <c r="Q471" s="14">
        <v>0</v>
      </c>
      <c r="R471" s="453">
        <v>0</v>
      </c>
      <c r="S471" s="453">
        <v>0</v>
      </c>
      <c r="T471" s="453">
        <v>0</v>
      </c>
      <c r="U471" s="453">
        <v>0</v>
      </c>
      <c r="V471" s="453">
        <v>0</v>
      </c>
      <c r="W471" s="453">
        <v>0</v>
      </c>
      <c r="X471" s="453">
        <v>0</v>
      </c>
      <c r="Y471" s="453">
        <v>0</v>
      </c>
      <c r="Z471" s="453">
        <v>0</v>
      </c>
      <c r="AA471" s="14">
        <v>0</v>
      </c>
      <c r="AB471" s="14">
        <v>0</v>
      </c>
      <c r="AC471" s="453">
        <v>0</v>
      </c>
      <c r="AD471" s="14">
        <v>0</v>
      </c>
      <c r="AE471" s="14">
        <v>0</v>
      </c>
      <c r="AF471" s="14">
        <v>0</v>
      </c>
      <c r="AG471" s="14">
        <v>0</v>
      </c>
      <c r="AH471" s="14">
        <v>0</v>
      </c>
      <c r="AI471" s="14">
        <v>0</v>
      </c>
      <c r="AJ471" s="14">
        <v>0</v>
      </c>
      <c r="AK471" s="14">
        <v>0</v>
      </c>
      <c r="AL471" s="14">
        <v>0</v>
      </c>
      <c r="AM471" s="453">
        <v>0</v>
      </c>
      <c r="AN471" s="453">
        <v>0</v>
      </c>
      <c r="AO471" s="453">
        <v>0</v>
      </c>
      <c r="AP471" s="453">
        <v>0</v>
      </c>
      <c r="AQ471" s="453">
        <v>0</v>
      </c>
      <c r="AR471" s="453">
        <v>0</v>
      </c>
      <c r="AS471" s="453">
        <v>0</v>
      </c>
      <c r="AT471" s="453">
        <v>0</v>
      </c>
      <c r="AU471" s="453">
        <v>0</v>
      </c>
      <c r="AV471" s="453">
        <v>0</v>
      </c>
      <c r="AW471" s="453">
        <v>0</v>
      </c>
      <c r="AX471" s="453">
        <v>0</v>
      </c>
      <c r="AY471" s="453">
        <v>0</v>
      </c>
      <c r="AZ471" s="453">
        <v>0</v>
      </c>
      <c r="BA471" s="453">
        <v>0</v>
      </c>
      <c r="BB471" s="453">
        <v>0</v>
      </c>
      <c r="BC471" s="453">
        <v>0</v>
      </c>
      <c r="BD471" s="453">
        <v>0</v>
      </c>
      <c r="BE471" s="105">
        <v>0</v>
      </c>
      <c r="BF471" s="453">
        <v>0</v>
      </c>
      <c r="BG471" s="453">
        <v>0</v>
      </c>
      <c r="BH471" s="105">
        <v>0</v>
      </c>
      <c r="BI471" s="453">
        <v>0</v>
      </c>
      <c r="BJ471" s="453">
        <v>0</v>
      </c>
      <c r="BK471" s="105">
        <v>0</v>
      </c>
      <c r="BL471" s="453">
        <v>0</v>
      </c>
      <c r="BM471" s="453">
        <v>0</v>
      </c>
      <c r="BN471" s="453">
        <v>0</v>
      </c>
      <c r="BO471" s="453">
        <v>0</v>
      </c>
      <c r="BP471" s="453">
        <v>0</v>
      </c>
      <c r="BQ471" s="453">
        <v>0</v>
      </c>
      <c r="BR471" s="14">
        <v>0</v>
      </c>
      <c r="BS471" s="14">
        <v>0</v>
      </c>
      <c r="BT471" s="377" t="str">
        <v/>
      </c>
      <c r="BU471" s="105" t="str">
        <v/>
      </c>
      <c r="BV471" s="453" t="str">
        <v/>
      </c>
      <c r="BW471" s="105" t="str">
        <f ca="1"/>
        <v/>
      </c>
    </row>
    <row r="472" spans="1:75" x14ac:dyDescent="0.3">
      <c r="A472" s="1">
        <v>0</v>
      </c>
      <c r="B472" s="106">
        <v>0</v>
      </c>
      <c r="C472" s="14">
        <v>0</v>
      </c>
      <c r="D472" s="14">
        <v>0</v>
      </c>
      <c r="E472" s="14">
        <v>0</v>
      </c>
      <c r="F472" s="453">
        <v>0</v>
      </c>
      <c r="G472" s="377">
        <v>0</v>
      </c>
      <c r="H472" s="453">
        <v>0</v>
      </c>
      <c r="I472" s="453">
        <v>0</v>
      </c>
      <c r="J472" s="453">
        <v>0</v>
      </c>
      <c r="K472" s="453">
        <v>0</v>
      </c>
      <c r="L472" s="453">
        <v>0</v>
      </c>
      <c r="M472" s="453">
        <v>0</v>
      </c>
      <c r="N472" s="453">
        <v>0</v>
      </c>
      <c r="O472" s="453">
        <v>0</v>
      </c>
      <c r="P472" s="14">
        <v>0</v>
      </c>
      <c r="Q472" s="14">
        <v>0</v>
      </c>
      <c r="R472" s="453">
        <v>0</v>
      </c>
      <c r="S472" s="453">
        <v>0</v>
      </c>
      <c r="T472" s="453">
        <v>0</v>
      </c>
      <c r="U472" s="453">
        <v>0</v>
      </c>
      <c r="V472" s="453">
        <v>0</v>
      </c>
      <c r="W472" s="453">
        <v>0</v>
      </c>
      <c r="X472" s="453">
        <v>0</v>
      </c>
      <c r="Y472" s="453">
        <v>0</v>
      </c>
      <c r="Z472" s="453">
        <v>0</v>
      </c>
      <c r="AA472" s="14">
        <v>0</v>
      </c>
      <c r="AB472" s="14">
        <v>0</v>
      </c>
      <c r="AC472" s="453">
        <v>0</v>
      </c>
      <c r="AD472" s="14">
        <v>0</v>
      </c>
      <c r="AE472" s="14">
        <v>0</v>
      </c>
      <c r="AF472" s="14">
        <v>0</v>
      </c>
      <c r="AG472" s="14">
        <v>0</v>
      </c>
      <c r="AH472" s="14">
        <v>0</v>
      </c>
      <c r="AI472" s="14">
        <v>0</v>
      </c>
      <c r="AJ472" s="14">
        <v>0</v>
      </c>
      <c r="AK472" s="14">
        <v>0</v>
      </c>
      <c r="AL472" s="14">
        <v>0</v>
      </c>
      <c r="AM472" s="453">
        <v>0</v>
      </c>
      <c r="AN472" s="453">
        <v>0</v>
      </c>
      <c r="AO472" s="453">
        <v>0</v>
      </c>
      <c r="AP472" s="453">
        <v>0</v>
      </c>
      <c r="AQ472" s="453">
        <v>0</v>
      </c>
      <c r="AR472" s="453">
        <v>0</v>
      </c>
      <c r="AS472" s="453">
        <v>0</v>
      </c>
      <c r="AT472" s="453">
        <v>0</v>
      </c>
      <c r="AU472" s="453">
        <v>0</v>
      </c>
      <c r="AV472" s="453">
        <v>0</v>
      </c>
      <c r="AW472" s="453">
        <v>0</v>
      </c>
      <c r="AX472" s="453">
        <v>0</v>
      </c>
      <c r="AY472" s="453">
        <v>0</v>
      </c>
      <c r="AZ472" s="453">
        <v>0</v>
      </c>
      <c r="BA472" s="453">
        <v>0</v>
      </c>
      <c r="BB472" s="453">
        <v>0</v>
      </c>
      <c r="BC472" s="453">
        <v>0</v>
      </c>
      <c r="BD472" s="453">
        <v>0</v>
      </c>
      <c r="BE472" s="105">
        <v>0</v>
      </c>
      <c r="BF472" s="453">
        <v>0</v>
      </c>
      <c r="BG472" s="453">
        <v>0</v>
      </c>
      <c r="BH472" s="105">
        <v>0</v>
      </c>
      <c r="BI472" s="453">
        <v>0</v>
      </c>
      <c r="BJ472" s="453">
        <v>0</v>
      </c>
      <c r="BK472" s="105">
        <v>0</v>
      </c>
      <c r="BL472" s="453">
        <v>0</v>
      </c>
      <c r="BM472" s="453">
        <v>0</v>
      </c>
      <c r="BN472" s="453">
        <v>0</v>
      </c>
      <c r="BO472" s="453">
        <v>0</v>
      </c>
      <c r="BP472" s="453">
        <v>0</v>
      </c>
      <c r="BQ472" s="453">
        <v>0</v>
      </c>
      <c r="BR472" s="14">
        <v>0</v>
      </c>
      <c r="BS472" s="14">
        <v>0</v>
      </c>
      <c r="BT472" s="377" t="str">
        <v/>
      </c>
      <c r="BU472" s="105" t="str">
        <v/>
      </c>
      <c r="BV472" s="453" t="str">
        <v/>
      </c>
      <c r="BW472" s="105" t="str">
        <f ca="1"/>
        <v/>
      </c>
    </row>
    <row r="473" spans="1:75" x14ac:dyDescent="0.3">
      <c r="A473" s="1">
        <v>0</v>
      </c>
      <c r="B473" s="106">
        <v>0</v>
      </c>
      <c r="C473" s="14">
        <v>0</v>
      </c>
      <c r="D473" s="14">
        <v>0</v>
      </c>
      <c r="E473" s="14">
        <v>0</v>
      </c>
      <c r="F473" s="453">
        <v>0</v>
      </c>
      <c r="G473" s="377">
        <v>0</v>
      </c>
      <c r="H473" s="453">
        <v>0</v>
      </c>
      <c r="I473" s="453">
        <v>0</v>
      </c>
      <c r="J473" s="453">
        <v>0</v>
      </c>
      <c r="K473" s="453">
        <v>0</v>
      </c>
      <c r="L473" s="453">
        <v>0</v>
      </c>
      <c r="M473" s="453">
        <v>0</v>
      </c>
      <c r="N473" s="453">
        <v>0</v>
      </c>
      <c r="O473" s="453">
        <v>0</v>
      </c>
      <c r="P473" s="14">
        <v>0</v>
      </c>
      <c r="Q473" s="14">
        <v>0</v>
      </c>
      <c r="R473" s="453">
        <v>0</v>
      </c>
      <c r="S473" s="453">
        <v>0</v>
      </c>
      <c r="T473" s="453">
        <v>0</v>
      </c>
      <c r="U473" s="453">
        <v>0</v>
      </c>
      <c r="V473" s="453">
        <v>0</v>
      </c>
      <c r="W473" s="453">
        <v>0</v>
      </c>
      <c r="X473" s="453">
        <v>0</v>
      </c>
      <c r="Y473" s="453">
        <v>0</v>
      </c>
      <c r="Z473" s="453">
        <v>0</v>
      </c>
      <c r="AA473" s="14">
        <v>0</v>
      </c>
      <c r="AB473" s="14">
        <v>0</v>
      </c>
      <c r="AC473" s="453">
        <v>0</v>
      </c>
      <c r="AD473" s="14">
        <v>0</v>
      </c>
      <c r="AE473" s="14">
        <v>0</v>
      </c>
      <c r="AF473" s="14">
        <v>0</v>
      </c>
      <c r="AG473" s="14">
        <v>0</v>
      </c>
      <c r="AH473" s="14">
        <v>0</v>
      </c>
      <c r="AI473" s="14">
        <v>0</v>
      </c>
      <c r="AJ473" s="14">
        <v>0</v>
      </c>
      <c r="AK473" s="14">
        <v>0</v>
      </c>
      <c r="AL473" s="14">
        <v>0</v>
      </c>
      <c r="AM473" s="453">
        <v>0</v>
      </c>
      <c r="AN473" s="453">
        <v>0</v>
      </c>
      <c r="AO473" s="453">
        <v>0</v>
      </c>
      <c r="AP473" s="453">
        <v>0</v>
      </c>
      <c r="AQ473" s="453">
        <v>0</v>
      </c>
      <c r="AR473" s="453">
        <v>0</v>
      </c>
      <c r="AS473" s="453">
        <v>0</v>
      </c>
      <c r="AT473" s="453">
        <v>0</v>
      </c>
      <c r="AU473" s="453">
        <v>0</v>
      </c>
      <c r="AV473" s="453">
        <v>0</v>
      </c>
      <c r="AW473" s="453">
        <v>0</v>
      </c>
      <c r="AX473" s="453">
        <v>0</v>
      </c>
      <c r="AY473" s="453">
        <v>0</v>
      </c>
      <c r="AZ473" s="453">
        <v>0</v>
      </c>
      <c r="BA473" s="453">
        <v>0</v>
      </c>
      <c r="BB473" s="453">
        <v>0</v>
      </c>
      <c r="BC473" s="453">
        <v>0</v>
      </c>
      <c r="BD473" s="453">
        <v>0</v>
      </c>
      <c r="BE473" s="105">
        <v>0</v>
      </c>
      <c r="BF473" s="453">
        <v>0</v>
      </c>
      <c r="BG473" s="453">
        <v>0</v>
      </c>
      <c r="BH473" s="105">
        <v>0</v>
      </c>
      <c r="BI473" s="453">
        <v>0</v>
      </c>
      <c r="BJ473" s="453">
        <v>0</v>
      </c>
      <c r="BK473" s="105">
        <v>0</v>
      </c>
      <c r="BL473" s="453">
        <v>0</v>
      </c>
      <c r="BM473" s="453">
        <v>0</v>
      </c>
      <c r="BN473" s="453">
        <v>0</v>
      </c>
      <c r="BO473" s="453">
        <v>0</v>
      </c>
      <c r="BP473" s="453">
        <v>0</v>
      </c>
      <c r="BQ473" s="453">
        <v>0</v>
      </c>
      <c r="BR473" s="14">
        <v>0</v>
      </c>
      <c r="BS473" s="14">
        <v>0</v>
      </c>
      <c r="BT473" s="377" t="str">
        <v/>
      </c>
      <c r="BU473" s="105" t="str">
        <v/>
      </c>
      <c r="BV473" s="453" t="str">
        <v/>
      </c>
      <c r="BW473" s="105" t="str">
        <f ca="1"/>
        <v/>
      </c>
    </row>
    <row r="474" spans="1:75" x14ac:dyDescent="0.3">
      <c r="A474" s="1">
        <v>0</v>
      </c>
      <c r="B474" s="106">
        <v>0</v>
      </c>
      <c r="C474" s="14">
        <v>0</v>
      </c>
      <c r="D474" s="14">
        <v>0</v>
      </c>
      <c r="E474" s="14">
        <v>0</v>
      </c>
      <c r="F474" s="453">
        <v>0</v>
      </c>
      <c r="G474" s="377">
        <v>0</v>
      </c>
      <c r="H474" s="453">
        <v>0</v>
      </c>
      <c r="I474" s="453">
        <v>0</v>
      </c>
      <c r="J474" s="453">
        <v>0</v>
      </c>
      <c r="K474" s="453">
        <v>0</v>
      </c>
      <c r="L474" s="453">
        <v>0</v>
      </c>
      <c r="M474" s="453">
        <v>0</v>
      </c>
      <c r="N474" s="453">
        <v>0</v>
      </c>
      <c r="O474" s="453">
        <v>0</v>
      </c>
      <c r="P474" s="14">
        <v>0</v>
      </c>
      <c r="Q474" s="14">
        <v>0</v>
      </c>
      <c r="R474" s="453">
        <v>0</v>
      </c>
      <c r="S474" s="453">
        <v>0</v>
      </c>
      <c r="T474" s="453">
        <v>0</v>
      </c>
      <c r="U474" s="453">
        <v>0</v>
      </c>
      <c r="V474" s="453">
        <v>0</v>
      </c>
      <c r="W474" s="453">
        <v>0</v>
      </c>
      <c r="X474" s="453">
        <v>0</v>
      </c>
      <c r="Y474" s="453">
        <v>0</v>
      </c>
      <c r="Z474" s="453">
        <v>0</v>
      </c>
      <c r="AA474" s="14">
        <v>0</v>
      </c>
      <c r="AB474" s="14">
        <v>0</v>
      </c>
      <c r="AC474" s="453">
        <v>0</v>
      </c>
      <c r="AD474" s="14">
        <v>0</v>
      </c>
      <c r="AE474" s="14">
        <v>0</v>
      </c>
      <c r="AF474" s="14">
        <v>0</v>
      </c>
      <c r="AG474" s="14">
        <v>0</v>
      </c>
      <c r="AH474" s="14">
        <v>0</v>
      </c>
      <c r="AI474" s="14">
        <v>0</v>
      </c>
      <c r="AJ474" s="14">
        <v>0</v>
      </c>
      <c r="AK474" s="14">
        <v>0</v>
      </c>
      <c r="AL474" s="14">
        <v>0</v>
      </c>
      <c r="AM474" s="453">
        <v>0</v>
      </c>
      <c r="AN474" s="453">
        <v>0</v>
      </c>
      <c r="AO474" s="453">
        <v>0</v>
      </c>
      <c r="AP474" s="453">
        <v>0</v>
      </c>
      <c r="AQ474" s="453">
        <v>0</v>
      </c>
      <c r="AR474" s="453">
        <v>0</v>
      </c>
      <c r="AS474" s="453">
        <v>0</v>
      </c>
      <c r="AT474" s="453">
        <v>0</v>
      </c>
      <c r="AU474" s="453">
        <v>0</v>
      </c>
      <c r="AV474" s="453">
        <v>0</v>
      </c>
      <c r="AW474" s="453">
        <v>0</v>
      </c>
      <c r="AX474" s="453">
        <v>0</v>
      </c>
      <c r="AY474" s="453">
        <v>0</v>
      </c>
      <c r="AZ474" s="453">
        <v>0</v>
      </c>
      <c r="BA474" s="453">
        <v>0</v>
      </c>
      <c r="BB474" s="453">
        <v>0</v>
      </c>
      <c r="BC474" s="453">
        <v>0</v>
      </c>
      <c r="BD474" s="453">
        <v>0</v>
      </c>
      <c r="BE474" s="105">
        <v>0</v>
      </c>
      <c r="BF474" s="453">
        <v>0</v>
      </c>
      <c r="BG474" s="453">
        <v>0</v>
      </c>
      <c r="BH474" s="105">
        <v>0</v>
      </c>
      <c r="BI474" s="453">
        <v>0</v>
      </c>
      <c r="BJ474" s="453">
        <v>0</v>
      </c>
      <c r="BK474" s="105">
        <v>0</v>
      </c>
      <c r="BL474" s="453">
        <v>0</v>
      </c>
      <c r="BM474" s="453">
        <v>0</v>
      </c>
      <c r="BN474" s="453">
        <v>0</v>
      </c>
      <c r="BO474" s="453">
        <v>0</v>
      </c>
      <c r="BP474" s="453">
        <v>0</v>
      </c>
      <c r="BQ474" s="453">
        <v>0</v>
      </c>
      <c r="BR474" s="14">
        <v>0</v>
      </c>
      <c r="BS474" s="14">
        <v>0</v>
      </c>
      <c r="BT474" s="377" t="str">
        <v/>
      </c>
      <c r="BU474" s="105" t="str">
        <v/>
      </c>
      <c r="BV474" s="453" t="str">
        <v/>
      </c>
      <c r="BW474" s="105" t="str">
        <f ca="1"/>
        <v/>
      </c>
    </row>
    <row r="475" spans="1:75" x14ac:dyDescent="0.3">
      <c r="A475" s="1">
        <v>0</v>
      </c>
      <c r="B475" s="106">
        <v>0</v>
      </c>
      <c r="C475" s="14">
        <v>0</v>
      </c>
      <c r="D475" s="14">
        <v>0</v>
      </c>
      <c r="E475" s="14">
        <v>0</v>
      </c>
      <c r="F475" s="453">
        <v>0</v>
      </c>
      <c r="G475" s="377">
        <v>0</v>
      </c>
      <c r="H475" s="453">
        <v>0</v>
      </c>
      <c r="I475" s="453">
        <v>0</v>
      </c>
      <c r="J475" s="453">
        <v>0</v>
      </c>
      <c r="K475" s="453">
        <v>0</v>
      </c>
      <c r="L475" s="453">
        <v>0</v>
      </c>
      <c r="M475" s="453">
        <v>0</v>
      </c>
      <c r="N475" s="453">
        <v>0</v>
      </c>
      <c r="O475" s="453">
        <v>0</v>
      </c>
      <c r="P475" s="14">
        <v>0</v>
      </c>
      <c r="Q475" s="14">
        <v>0</v>
      </c>
      <c r="R475" s="453">
        <v>0</v>
      </c>
      <c r="S475" s="453">
        <v>0</v>
      </c>
      <c r="T475" s="453">
        <v>0</v>
      </c>
      <c r="U475" s="453">
        <v>0</v>
      </c>
      <c r="V475" s="453">
        <v>0</v>
      </c>
      <c r="W475" s="453">
        <v>0</v>
      </c>
      <c r="X475" s="453">
        <v>0</v>
      </c>
      <c r="Y475" s="453">
        <v>0</v>
      </c>
      <c r="Z475" s="453">
        <v>0</v>
      </c>
      <c r="AA475" s="14">
        <v>0</v>
      </c>
      <c r="AB475" s="14">
        <v>0</v>
      </c>
      <c r="AC475" s="453">
        <v>0</v>
      </c>
      <c r="AD475" s="14">
        <v>0</v>
      </c>
      <c r="AE475" s="14">
        <v>0</v>
      </c>
      <c r="AF475" s="14">
        <v>0</v>
      </c>
      <c r="AG475" s="14">
        <v>0</v>
      </c>
      <c r="AH475" s="14">
        <v>0</v>
      </c>
      <c r="AI475" s="14">
        <v>0</v>
      </c>
      <c r="AJ475" s="14">
        <v>0</v>
      </c>
      <c r="AK475" s="14">
        <v>0</v>
      </c>
      <c r="AL475" s="14">
        <v>0</v>
      </c>
      <c r="AM475" s="453">
        <v>0</v>
      </c>
      <c r="AN475" s="453">
        <v>0</v>
      </c>
      <c r="AO475" s="453">
        <v>0</v>
      </c>
      <c r="AP475" s="453">
        <v>0</v>
      </c>
      <c r="AQ475" s="453">
        <v>0</v>
      </c>
      <c r="AR475" s="453">
        <v>0</v>
      </c>
      <c r="AS475" s="453">
        <v>0</v>
      </c>
      <c r="AT475" s="453">
        <v>0</v>
      </c>
      <c r="AU475" s="453">
        <v>0</v>
      </c>
      <c r="AV475" s="453">
        <v>0</v>
      </c>
      <c r="AW475" s="453">
        <v>0</v>
      </c>
      <c r="AX475" s="453">
        <v>0</v>
      </c>
      <c r="AY475" s="453">
        <v>0</v>
      </c>
      <c r="AZ475" s="453">
        <v>0</v>
      </c>
      <c r="BA475" s="453">
        <v>0</v>
      </c>
      <c r="BB475" s="453">
        <v>0</v>
      </c>
      <c r="BC475" s="453">
        <v>0</v>
      </c>
      <c r="BD475" s="453">
        <v>0</v>
      </c>
      <c r="BE475" s="105">
        <v>0</v>
      </c>
      <c r="BF475" s="453">
        <v>0</v>
      </c>
      <c r="BG475" s="453">
        <v>0</v>
      </c>
      <c r="BH475" s="105">
        <v>0</v>
      </c>
      <c r="BI475" s="453">
        <v>0</v>
      </c>
      <c r="BJ475" s="453">
        <v>0</v>
      </c>
      <c r="BK475" s="105">
        <v>0</v>
      </c>
      <c r="BL475" s="453">
        <v>0</v>
      </c>
      <c r="BM475" s="453">
        <v>0</v>
      </c>
      <c r="BN475" s="453">
        <v>0</v>
      </c>
      <c r="BO475" s="453">
        <v>0</v>
      </c>
      <c r="BP475" s="453">
        <v>0</v>
      </c>
      <c r="BQ475" s="453">
        <v>0</v>
      </c>
      <c r="BR475" s="14">
        <v>0</v>
      </c>
      <c r="BS475" s="14">
        <v>0</v>
      </c>
      <c r="BT475" s="377" t="str">
        <v/>
      </c>
      <c r="BU475" s="105" t="str">
        <v/>
      </c>
      <c r="BV475" s="453" t="str">
        <v/>
      </c>
      <c r="BW475" s="105" t="str">
        <f ca="1"/>
        <v/>
      </c>
    </row>
    <row r="476" spans="1:75" x14ac:dyDescent="0.3">
      <c r="A476" s="1">
        <v>0</v>
      </c>
      <c r="B476" s="106">
        <v>0</v>
      </c>
      <c r="C476" s="14">
        <v>0</v>
      </c>
      <c r="D476" s="14">
        <v>0</v>
      </c>
      <c r="E476" s="14">
        <v>0</v>
      </c>
      <c r="F476" s="453">
        <v>0</v>
      </c>
      <c r="G476" s="377">
        <v>0</v>
      </c>
      <c r="H476" s="453">
        <v>0</v>
      </c>
      <c r="I476" s="453">
        <v>0</v>
      </c>
      <c r="J476" s="453">
        <v>0</v>
      </c>
      <c r="K476" s="453">
        <v>0</v>
      </c>
      <c r="L476" s="453">
        <v>0</v>
      </c>
      <c r="M476" s="453">
        <v>0</v>
      </c>
      <c r="N476" s="453">
        <v>0</v>
      </c>
      <c r="O476" s="453">
        <v>0</v>
      </c>
      <c r="P476" s="14">
        <v>0</v>
      </c>
      <c r="Q476" s="14">
        <v>0</v>
      </c>
      <c r="R476" s="453">
        <v>0</v>
      </c>
      <c r="S476" s="453">
        <v>0</v>
      </c>
      <c r="T476" s="453">
        <v>0</v>
      </c>
      <c r="U476" s="453">
        <v>0</v>
      </c>
      <c r="V476" s="453">
        <v>0</v>
      </c>
      <c r="W476" s="453">
        <v>0</v>
      </c>
      <c r="X476" s="453">
        <v>0</v>
      </c>
      <c r="Y476" s="453">
        <v>0</v>
      </c>
      <c r="Z476" s="453">
        <v>0</v>
      </c>
      <c r="AA476" s="14">
        <v>0</v>
      </c>
      <c r="AB476" s="14">
        <v>0</v>
      </c>
      <c r="AC476" s="453">
        <v>0</v>
      </c>
      <c r="AD476" s="14">
        <v>0</v>
      </c>
      <c r="AE476" s="14">
        <v>0</v>
      </c>
      <c r="AF476" s="14">
        <v>0</v>
      </c>
      <c r="AG476" s="14">
        <v>0</v>
      </c>
      <c r="AH476" s="14">
        <v>0</v>
      </c>
      <c r="AI476" s="14">
        <v>0</v>
      </c>
      <c r="AJ476" s="14">
        <v>0</v>
      </c>
      <c r="AK476" s="14">
        <v>0</v>
      </c>
      <c r="AL476" s="14">
        <v>0</v>
      </c>
      <c r="AM476" s="453">
        <v>0</v>
      </c>
      <c r="AN476" s="453">
        <v>0</v>
      </c>
      <c r="AO476" s="453">
        <v>0</v>
      </c>
      <c r="AP476" s="453">
        <v>0</v>
      </c>
      <c r="AQ476" s="453">
        <v>0</v>
      </c>
      <c r="AR476" s="453">
        <v>0</v>
      </c>
      <c r="AS476" s="453">
        <v>0</v>
      </c>
      <c r="AT476" s="453">
        <v>0</v>
      </c>
      <c r="AU476" s="453">
        <v>0</v>
      </c>
      <c r="AV476" s="453">
        <v>0</v>
      </c>
      <c r="AW476" s="453">
        <v>0</v>
      </c>
      <c r="AX476" s="453">
        <v>0</v>
      </c>
      <c r="AY476" s="453">
        <v>0</v>
      </c>
      <c r="AZ476" s="453">
        <v>0</v>
      </c>
      <c r="BA476" s="453">
        <v>0</v>
      </c>
      <c r="BB476" s="453">
        <v>0</v>
      </c>
      <c r="BC476" s="453">
        <v>0</v>
      </c>
      <c r="BD476" s="453">
        <v>0</v>
      </c>
      <c r="BE476" s="105">
        <v>0</v>
      </c>
      <c r="BF476" s="453">
        <v>0</v>
      </c>
      <c r="BG476" s="453">
        <v>0</v>
      </c>
      <c r="BH476" s="105">
        <v>0</v>
      </c>
      <c r="BI476" s="453">
        <v>0</v>
      </c>
      <c r="BJ476" s="453">
        <v>0</v>
      </c>
      <c r="BK476" s="105">
        <v>0</v>
      </c>
      <c r="BL476" s="453">
        <v>0</v>
      </c>
      <c r="BM476" s="453">
        <v>0</v>
      </c>
      <c r="BN476" s="453">
        <v>0</v>
      </c>
      <c r="BO476" s="453">
        <v>0</v>
      </c>
      <c r="BP476" s="453">
        <v>0</v>
      </c>
      <c r="BQ476" s="453">
        <v>0</v>
      </c>
      <c r="BR476" s="14">
        <v>0</v>
      </c>
      <c r="BS476" s="14">
        <v>0</v>
      </c>
      <c r="BT476" s="377" t="str">
        <v/>
      </c>
      <c r="BU476" s="105" t="str">
        <v/>
      </c>
      <c r="BV476" s="453" t="str">
        <v/>
      </c>
      <c r="BW476" s="105" t="str">
        <f ca="1"/>
        <v/>
      </c>
    </row>
    <row r="477" spans="1:75" x14ac:dyDescent="0.3">
      <c r="A477" s="1">
        <v>0</v>
      </c>
      <c r="B477" s="106">
        <v>0</v>
      </c>
      <c r="C477" s="14">
        <v>0</v>
      </c>
      <c r="D477" s="14">
        <v>0</v>
      </c>
      <c r="E477" s="14">
        <v>0</v>
      </c>
      <c r="F477" s="453">
        <v>0</v>
      </c>
      <c r="G477" s="377">
        <v>0</v>
      </c>
      <c r="H477" s="453">
        <v>0</v>
      </c>
      <c r="I477" s="453">
        <v>0</v>
      </c>
      <c r="J477" s="453">
        <v>0</v>
      </c>
      <c r="K477" s="453">
        <v>0</v>
      </c>
      <c r="L477" s="453">
        <v>0</v>
      </c>
      <c r="M477" s="453">
        <v>0</v>
      </c>
      <c r="N477" s="453">
        <v>0</v>
      </c>
      <c r="O477" s="453">
        <v>0</v>
      </c>
      <c r="P477" s="14">
        <v>0</v>
      </c>
      <c r="Q477" s="14">
        <v>0</v>
      </c>
      <c r="R477" s="453">
        <v>0</v>
      </c>
      <c r="S477" s="453">
        <v>0</v>
      </c>
      <c r="T477" s="453">
        <v>0</v>
      </c>
      <c r="U477" s="453">
        <v>0</v>
      </c>
      <c r="V477" s="453">
        <v>0</v>
      </c>
      <c r="W477" s="453">
        <v>0</v>
      </c>
      <c r="X477" s="453">
        <v>0</v>
      </c>
      <c r="Y477" s="453">
        <v>0</v>
      </c>
      <c r="Z477" s="453">
        <v>0</v>
      </c>
      <c r="AA477" s="14">
        <v>0</v>
      </c>
      <c r="AB477" s="14">
        <v>0</v>
      </c>
      <c r="AC477" s="453">
        <v>0</v>
      </c>
      <c r="AD477" s="14">
        <v>0</v>
      </c>
      <c r="AE477" s="14">
        <v>0</v>
      </c>
      <c r="AF477" s="14">
        <v>0</v>
      </c>
      <c r="AG477" s="14">
        <v>0</v>
      </c>
      <c r="AH477" s="14">
        <v>0</v>
      </c>
      <c r="AI477" s="14">
        <v>0</v>
      </c>
      <c r="AJ477" s="14">
        <v>0</v>
      </c>
      <c r="AK477" s="14">
        <v>0</v>
      </c>
      <c r="AL477" s="14">
        <v>0</v>
      </c>
      <c r="AM477" s="453">
        <v>0</v>
      </c>
      <c r="AN477" s="453">
        <v>0</v>
      </c>
      <c r="AO477" s="453">
        <v>0</v>
      </c>
      <c r="AP477" s="453">
        <v>0</v>
      </c>
      <c r="AQ477" s="453">
        <v>0</v>
      </c>
      <c r="AR477" s="453">
        <v>0</v>
      </c>
      <c r="AS477" s="453">
        <v>0</v>
      </c>
      <c r="AT477" s="453">
        <v>0</v>
      </c>
      <c r="AU477" s="453">
        <v>0</v>
      </c>
      <c r="AV477" s="453">
        <v>0</v>
      </c>
      <c r="AW477" s="453">
        <v>0</v>
      </c>
      <c r="AX477" s="453">
        <v>0</v>
      </c>
      <c r="AY477" s="453">
        <v>0</v>
      </c>
      <c r="AZ477" s="453">
        <v>0</v>
      </c>
      <c r="BA477" s="453">
        <v>0</v>
      </c>
      <c r="BB477" s="453">
        <v>0</v>
      </c>
      <c r="BC477" s="453">
        <v>0</v>
      </c>
      <c r="BD477" s="453">
        <v>0</v>
      </c>
      <c r="BE477" s="105">
        <v>0</v>
      </c>
      <c r="BF477" s="453">
        <v>0</v>
      </c>
      <c r="BG477" s="453">
        <v>0</v>
      </c>
      <c r="BH477" s="105">
        <v>0</v>
      </c>
      <c r="BI477" s="453">
        <v>0</v>
      </c>
      <c r="BJ477" s="453">
        <v>0</v>
      </c>
      <c r="BK477" s="105">
        <v>0</v>
      </c>
      <c r="BL477" s="453">
        <v>0</v>
      </c>
      <c r="BM477" s="453">
        <v>0</v>
      </c>
      <c r="BN477" s="453">
        <v>0</v>
      </c>
      <c r="BO477" s="453">
        <v>0</v>
      </c>
      <c r="BP477" s="453">
        <v>0</v>
      </c>
      <c r="BQ477" s="453">
        <v>0</v>
      </c>
      <c r="BR477" s="14">
        <v>0</v>
      </c>
      <c r="BS477" s="14">
        <v>0</v>
      </c>
      <c r="BT477" s="377" t="str">
        <v/>
      </c>
      <c r="BU477" s="105" t="str">
        <v/>
      </c>
      <c r="BV477" s="453" t="str">
        <v/>
      </c>
      <c r="BW477" s="105" t="str">
        <f ca="1"/>
        <v/>
      </c>
    </row>
    <row r="478" spans="1:75" x14ac:dyDescent="0.3">
      <c r="A478" s="1">
        <v>0</v>
      </c>
      <c r="B478" s="106">
        <v>0</v>
      </c>
      <c r="C478" s="14">
        <v>0</v>
      </c>
      <c r="D478" s="14">
        <v>0</v>
      </c>
      <c r="E478" s="14">
        <v>0</v>
      </c>
      <c r="F478" s="453">
        <v>0</v>
      </c>
      <c r="G478" s="377">
        <v>0</v>
      </c>
      <c r="H478" s="453">
        <v>0</v>
      </c>
      <c r="I478" s="453">
        <v>0</v>
      </c>
      <c r="J478" s="453">
        <v>0</v>
      </c>
      <c r="K478" s="453">
        <v>0</v>
      </c>
      <c r="L478" s="453">
        <v>0</v>
      </c>
      <c r="M478" s="453">
        <v>0</v>
      </c>
      <c r="N478" s="453">
        <v>0</v>
      </c>
      <c r="O478" s="453">
        <v>0</v>
      </c>
      <c r="P478" s="14">
        <v>0</v>
      </c>
      <c r="Q478" s="14">
        <v>0</v>
      </c>
      <c r="R478" s="453">
        <v>0</v>
      </c>
      <c r="S478" s="453">
        <v>0</v>
      </c>
      <c r="T478" s="453">
        <v>0</v>
      </c>
      <c r="U478" s="453">
        <v>0</v>
      </c>
      <c r="V478" s="453">
        <v>0</v>
      </c>
      <c r="W478" s="453">
        <v>0</v>
      </c>
      <c r="X478" s="453">
        <v>0</v>
      </c>
      <c r="Y478" s="453">
        <v>0</v>
      </c>
      <c r="Z478" s="453">
        <v>0</v>
      </c>
      <c r="AA478" s="14">
        <v>0</v>
      </c>
      <c r="AB478" s="14">
        <v>0</v>
      </c>
      <c r="AC478" s="453">
        <v>0</v>
      </c>
      <c r="AD478" s="14">
        <v>0</v>
      </c>
      <c r="AE478" s="14">
        <v>0</v>
      </c>
      <c r="AF478" s="14">
        <v>0</v>
      </c>
      <c r="AG478" s="14">
        <v>0</v>
      </c>
      <c r="AH478" s="14">
        <v>0</v>
      </c>
      <c r="AI478" s="14">
        <v>0</v>
      </c>
      <c r="AJ478" s="14">
        <v>0</v>
      </c>
      <c r="AK478" s="14">
        <v>0</v>
      </c>
      <c r="AL478" s="14">
        <v>0</v>
      </c>
      <c r="AM478" s="453">
        <v>0</v>
      </c>
      <c r="AN478" s="453">
        <v>0</v>
      </c>
      <c r="AO478" s="453">
        <v>0</v>
      </c>
      <c r="AP478" s="453">
        <v>0</v>
      </c>
      <c r="AQ478" s="453">
        <v>0</v>
      </c>
      <c r="AR478" s="453">
        <v>0</v>
      </c>
      <c r="AS478" s="453">
        <v>0</v>
      </c>
      <c r="AT478" s="453">
        <v>0</v>
      </c>
      <c r="AU478" s="453">
        <v>0</v>
      </c>
      <c r="AV478" s="453">
        <v>0</v>
      </c>
      <c r="AW478" s="453">
        <v>0</v>
      </c>
      <c r="AX478" s="453">
        <v>0</v>
      </c>
      <c r="AY478" s="453">
        <v>0</v>
      </c>
      <c r="AZ478" s="453">
        <v>0</v>
      </c>
      <c r="BA478" s="453">
        <v>0</v>
      </c>
      <c r="BB478" s="453">
        <v>0</v>
      </c>
      <c r="BC478" s="453">
        <v>0</v>
      </c>
      <c r="BD478" s="453">
        <v>0</v>
      </c>
      <c r="BE478" s="105">
        <v>0</v>
      </c>
      <c r="BF478" s="453">
        <v>0</v>
      </c>
      <c r="BG478" s="453">
        <v>0</v>
      </c>
      <c r="BH478" s="105">
        <v>0</v>
      </c>
      <c r="BI478" s="453">
        <v>0</v>
      </c>
      <c r="BJ478" s="453">
        <v>0</v>
      </c>
      <c r="BK478" s="105">
        <v>0</v>
      </c>
      <c r="BL478" s="453">
        <v>0</v>
      </c>
      <c r="BM478" s="453">
        <v>0</v>
      </c>
      <c r="BN478" s="453">
        <v>0</v>
      </c>
      <c r="BO478" s="453">
        <v>0</v>
      </c>
      <c r="BP478" s="453">
        <v>0</v>
      </c>
      <c r="BQ478" s="453">
        <v>0</v>
      </c>
      <c r="BR478" s="14">
        <v>0</v>
      </c>
      <c r="BS478" s="14">
        <v>0</v>
      </c>
      <c r="BT478" s="377" t="str">
        <v/>
      </c>
      <c r="BU478" s="105" t="str">
        <v/>
      </c>
      <c r="BV478" s="453" t="str">
        <v/>
      </c>
      <c r="BW478" s="105" t="str">
        <f ca="1"/>
        <v/>
      </c>
    </row>
    <row r="479" spans="1:75" x14ac:dyDescent="0.3">
      <c r="A479" s="1">
        <v>0</v>
      </c>
      <c r="B479" s="106">
        <v>0</v>
      </c>
      <c r="C479" s="14">
        <v>0</v>
      </c>
      <c r="D479" s="14">
        <v>0</v>
      </c>
      <c r="E479" s="14">
        <v>0</v>
      </c>
      <c r="F479" s="453">
        <v>0</v>
      </c>
      <c r="G479" s="377">
        <v>0</v>
      </c>
      <c r="H479" s="453">
        <v>0</v>
      </c>
      <c r="I479" s="453">
        <v>0</v>
      </c>
      <c r="J479" s="453">
        <v>0</v>
      </c>
      <c r="K479" s="453">
        <v>0</v>
      </c>
      <c r="L479" s="453">
        <v>0</v>
      </c>
      <c r="M479" s="453">
        <v>0</v>
      </c>
      <c r="N479" s="453">
        <v>0</v>
      </c>
      <c r="O479" s="453">
        <v>0</v>
      </c>
      <c r="P479" s="14">
        <v>0</v>
      </c>
      <c r="Q479" s="14">
        <v>0</v>
      </c>
      <c r="R479" s="453">
        <v>0</v>
      </c>
      <c r="S479" s="453">
        <v>0</v>
      </c>
      <c r="T479" s="453">
        <v>0</v>
      </c>
      <c r="U479" s="453">
        <v>0</v>
      </c>
      <c r="V479" s="453">
        <v>0</v>
      </c>
      <c r="W479" s="453">
        <v>0</v>
      </c>
      <c r="X479" s="453">
        <v>0</v>
      </c>
      <c r="Y479" s="453">
        <v>0</v>
      </c>
      <c r="Z479" s="453">
        <v>0</v>
      </c>
      <c r="AA479" s="14">
        <v>0</v>
      </c>
      <c r="AB479" s="14">
        <v>0</v>
      </c>
      <c r="AC479" s="453">
        <v>0</v>
      </c>
      <c r="AD479" s="14">
        <v>0</v>
      </c>
      <c r="AE479" s="14">
        <v>0</v>
      </c>
      <c r="AF479" s="14">
        <v>0</v>
      </c>
      <c r="AG479" s="14">
        <v>0</v>
      </c>
      <c r="AH479" s="14">
        <v>0</v>
      </c>
      <c r="AI479" s="14">
        <v>0</v>
      </c>
      <c r="AJ479" s="14">
        <v>0</v>
      </c>
      <c r="AK479" s="14">
        <v>0</v>
      </c>
      <c r="AL479" s="14">
        <v>0</v>
      </c>
      <c r="AM479" s="453">
        <v>0</v>
      </c>
      <c r="AN479" s="453">
        <v>0</v>
      </c>
      <c r="AO479" s="453">
        <v>0</v>
      </c>
      <c r="AP479" s="453">
        <v>0</v>
      </c>
      <c r="AQ479" s="453">
        <v>0</v>
      </c>
      <c r="AR479" s="453">
        <v>0</v>
      </c>
      <c r="AS479" s="453">
        <v>0</v>
      </c>
      <c r="AT479" s="453">
        <v>0</v>
      </c>
      <c r="AU479" s="453">
        <v>0</v>
      </c>
      <c r="AV479" s="453">
        <v>0</v>
      </c>
      <c r="AW479" s="453">
        <v>0</v>
      </c>
      <c r="AX479" s="453">
        <v>0</v>
      </c>
      <c r="AY479" s="453">
        <v>0</v>
      </c>
      <c r="AZ479" s="453">
        <v>0</v>
      </c>
      <c r="BA479" s="453">
        <v>0</v>
      </c>
      <c r="BB479" s="453">
        <v>0</v>
      </c>
      <c r="BC479" s="453">
        <v>0</v>
      </c>
      <c r="BD479" s="453">
        <v>0</v>
      </c>
      <c r="BE479" s="105">
        <v>0</v>
      </c>
      <c r="BF479" s="453">
        <v>0</v>
      </c>
      <c r="BG479" s="453">
        <v>0</v>
      </c>
      <c r="BH479" s="105">
        <v>0</v>
      </c>
      <c r="BI479" s="453">
        <v>0</v>
      </c>
      <c r="BJ479" s="453">
        <v>0</v>
      </c>
      <c r="BK479" s="105">
        <v>0</v>
      </c>
      <c r="BL479" s="453">
        <v>0</v>
      </c>
      <c r="BM479" s="453">
        <v>0</v>
      </c>
      <c r="BN479" s="453">
        <v>0</v>
      </c>
      <c r="BO479" s="453">
        <v>0</v>
      </c>
      <c r="BP479" s="453">
        <v>0</v>
      </c>
      <c r="BQ479" s="453">
        <v>0</v>
      </c>
      <c r="BR479" s="14">
        <v>0</v>
      </c>
      <c r="BS479" s="14">
        <v>0</v>
      </c>
      <c r="BT479" s="377" t="str">
        <v/>
      </c>
      <c r="BU479" s="105" t="str">
        <v/>
      </c>
      <c r="BV479" s="453" t="str">
        <v/>
      </c>
      <c r="BW479" s="105" t="str">
        <f ca="1"/>
        <v/>
      </c>
    </row>
    <row r="480" spans="1:75" x14ac:dyDescent="0.3">
      <c r="A480" s="1">
        <v>0</v>
      </c>
      <c r="B480" s="106">
        <v>0</v>
      </c>
      <c r="C480" s="14">
        <v>0</v>
      </c>
      <c r="D480" s="14">
        <v>0</v>
      </c>
      <c r="E480" s="14">
        <v>0</v>
      </c>
      <c r="F480" s="453">
        <v>0</v>
      </c>
      <c r="G480" s="377">
        <v>0</v>
      </c>
      <c r="H480" s="453">
        <v>0</v>
      </c>
      <c r="I480" s="453">
        <v>0</v>
      </c>
      <c r="J480" s="453">
        <v>0</v>
      </c>
      <c r="K480" s="453">
        <v>0</v>
      </c>
      <c r="L480" s="453">
        <v>0</v>
      </c>
      <c r="M480" s="453">
        <v>0</v>
      </c>
      <c r="N480" s="453">
        <v>0</v>
      </c>
      <c r="O480" s="453">
        <v>0</v>
      </c>
      <c r="P480" s="14">
        <v>0</v>
      </c>
      <c r="Q480" s="14">
        <v>0</v>
      </c>
      <c r="R480" s="453">
        <v>0</v>
      </c>
      <c r="S480" s="453">
        <v>0</v>
      </c>
      <c r="T480" s="453">
        <v>0</v>
      </c>
      <c r="U480" s="453">
        <v>0</v>
      </c>
      <c r="V480" s="453">
        <v>0</v>
      </c>
      <c r="W480" s="453">
        <v>0</v>
      </c>
      <c r="X480" s="453">
        <v>0</v>
      </c>
      <c r="Y480" s="453">
        <v>0</v>
      </c>
      <c r="Z480" s="453">
        <v>0</v>
      </c>
      <c r="AA480" s="14">
        <v>0</v>
      </c>
      <c r="AB480" s="14">
        <v>0</v>
      </c>
      <c r="AC480" s="453">
        <v>0</v>
      </c>
      <c r="AD480" s="14">
        <v>0</v>
      </c>
      <c r="AE480" s="14">
        <v>0</v>
      </c>
      <c r="AF480" s="14">
        <v>0</v>
      </c>
      <c r="AG480" s="14">
        <v>0</v>
      </c>
      <c r="AH480" s="14">
        <v>0</v>
      </c>
      <c r="AI480" s="14">
        <v>0</v>
      </c>
      <c r="AJ480" s="14">
        <v>0</v>
      </c>
      <c r="AK480" s="14">
        <v>0</v>
      </c>
      <c r="AL480" s="14">
        <v>0</v>
      </c>
      <c r="AM480" s="453">
        <v>0</v>
      </c>
      <c r="AN480" s="453">
        <v>0</v>
      </c>
      <c r="AO480" s="453">
        <v>0</v>
      </c>
      <c r="AP480" s="453">
        <v>0</v>
      </c>
      <c r="AQ480" s="453">
        <v>0</v>
      </c>
      <c r="AR480" s="453">
        <v>0</v>
      </c>
      <c r="AS480" s="453">
        <v>0</v>
      </c>
      <c r="AT480" s="453">
        <v>0</v>
      </c>
      <c r="AU480" s="453">
        <v>0</v>
      </c>
      <c r="AV480" s="453">
        <v>0</v>
      </c>
      <c r="AW480" s="453">
        <v>0</v>
      </c>
      <c r="AX480" s="453">
        <v>0</v>
      </c>
      <c r="AY480" s="453">
        <v>0</v>
      </c>
      <c r="AZ480" s="453">
        <v>0</v>
      </c>
      <c r="BA480" s="453">
        <v>0</v>
      </c>
      <c r="BB480" s="453">
        <v>0</v>
      </c>
      <c r="BC480" s="453">
        <v>0</v>
      </c>
      <c r="BD480" s="453">
        <v>0</v>
      </c>
      <c r="BE480" s="105">
        <v>0</v>
      </c>
      <c r="BF480" s="453">
        <v>0</v>
      </c>
      <c r="BG480" s="453">
        <v>0</v>
      </c>
      <c r="BH480" s="105">
        <v>0</v>
      </c>
      <c r="BI480" s="453">
        <v>0</v>
      </c>
      <c r="BJ480" s="453">
        <v>0</v>
      </c>
      <c r="BK480" s="105">
        <v>0</v>
      </c>
      <c r="BL480" s="453">
        <v>0</v>
      </c>
      <c r="BM480" s="453">
        <v>0</v>
      </c>
      <c r="BN480" s="453">
        <v>0</v>
      </c>
      <c r="BO480" s="453">
        <v>0</v>
      </c>
      <c r="BP480" s="453">
        <v>0</v>
      </c>
      <c r="BQ480" s="453">
        <v>0</v>
      </c>
      <c r="BR480" s="14">
        <v>0</v>
      </c>
      <c r="BS480" s="14">
        <v>0</v>
      </c>
      <c r="BT480" s="377" t="str">
        <v/>
      </c>
      <c r="BU480" s="105" t="str">
        <v/>
      </c>
      <c r="BV480" s="453" t="str">
        <v/>
      </c>
      <c r="BW480" s="105" t="str">
        <f ca="1"/>
        <v/>
      </c>
    </row>
    <row r="481" spans="1:75" x14ac:dyDescent="0.3">
      <c r="A481" s="1">
        <v>0</v>
      </c>
      <c r="B481" s="106">
        <v>0</v>
      </c>
      <c r="C481" s="14">
        <v>0</v>
      </c>
      <c r="D481" s="14">
        <v>0</v>
      </c>
      <c r="E481" s="14">
        <v>0</v>
      </c>
      <c r="F481" s="453">
        <v>0</v>
      </c>
      <c r="G481" s="377">
        <v>0</v>
      </c>
      <c r="H481" s="453">
        <v>0</v>
      </c>
      <c r="I481" s="453">
        <v>0</v>
      </c>
      <c r="J481" s="453">
        <v>0</v>
      </c>
      <c r="K481" s="453">
        <v>0</v>
      </c>
      <c r="L481" s="453">
        <v>0</v>
      </c>
      <c r="M481" s="453">
        <v>0</v>
      </c>
      <c r="N481" s="453">
        <v>0</v>
      </c>
      <c r="O481" s="453">
        <v>0</v>
      </c>
      <c r="P481" s="14">
        <v>0</v>
      </c>
      <c r="Q481" s="14">
        <v>0</v>
      </c>
      <c r="R481" s="453">
        <v>0</v>
      </c>
      <c r="S481" s="453">
        <v>0</v>
      </c>
      <c r="T481" s="453">
        <v>0</v>
      </c>
      <c r="U481" s="453">
        <v>0</v>
      </c>
      <c r="V481" s="453">
        <v>0</v>
      </c>
      <c r="W481" s="453">
        <v>0</v>
      </c>
      <c r="X481" s="453">
        <v>0</v>
      </c>
      <c r="Y481" s="453">
        <v>0</v>
      </c>
      <c r="Z481" s="453">
        <v>0</v>
      </c>
      <c r="AA481" s="14">
        <v>0</v>
      </c>
      <c r="AB481" s="14">
        <v>0</v>
      </c>
      <c r="AC481" s="453">
        <v>0</v>
      </c>
      <c r="AD481" s="14">
        <v>0</v>
      </c>
      <c r="AE481" s="14">
        <v>0</v>
      </c>
      <c r="AF481" s="14">
        <v>0</v>
      </c>
      <c r="AG481" s="14">
        <v>0</v>
      </c>
      <c r="AH481" s="14">
        <v>0</v>
      </c>
      <c r="AI481" s="14">
        <v>0</v>
      </c>
      <c r="AJ481" s="14">
        <v>0</v>
      </c>
      <c r="AK481" s="14">
        <v>0</v>
      </c>
      <c r="AL481" s="14">
        <v>0</v>
      </c>
      <c r="AM481" s="453">
        <v>0</v>
      </c>
      <c r="AN481" s="453">
        <v>0</v>
      </c>
      <c r="AO481" s="453">
        <v>0</v>
      </c>
      <c r="AP481" s="453">
        <v>0</v>
      </c>
      <c r="AQ481" s="453">
        <v>0</v>
      </c>
      <c r="AR481" s="453">
        <v>0</v>
      </c>
      <c r="AS481" s="453">
        <v>0</v>
      </c>
      <c r="AT481" s="453">
        <v>0</v>
      </c>
      <c r="AU481" s="453">
        <v>0</v>
      </c>
      <c r="AV481" s="453">
        <v>0</v>
      </c>
      <c r="AW481" s="453">
        <v>0</v>
      </c>
      <c r="AX481" s="453">
        <v>0</v>
      </c>
      <c r="AY481" s="453">
        <v>0</v>
      </c>
      <c r="AZ481" s="453">
        <v>0</v>
      </c>
      <c r="BA481" s="453">
        <v>0</v>
      </c>
      <c r="BB481" s="453">
        <v>0</v>
      </c>
      <c r="BC481" s="453">
        <v>0</v>
      </c>
      <c r="BD481" s="453">
        <v>0</v>
      </c>
      <c r="BE481" s="105">
        <v>0</v>
      </c>
      <c r="BF481" s="453">
        <v>0</v>
      </c>
      <c r="BG481" s="453">
        <v>0</v>
      </c>
      <c r="BH481" s="105">
        <v>0</v>
      </c>
      <c r="BI481" s="453">
        <v>0</v>
      </c>
      <c r="BJ481" s="453">
        <v>0</v>
      </c>
      <c r="BK481" s="105">
        <v>0</v>
      </c>
      <c r="BL481" s="453">
        <v>0</v>
      </c>
      <c r="BM481" s="453">
        <v>0</v>
      </c>
      <c r="BN481" s="453">
        <v>0</v>
      </c>
      <c r="BO481" s="453">
        <v>0</v>
      </c>
      <c r="BP481" s="453">
        <v>0</v>
      </c>
      <c r="BQ481" s="453">
        <v>0</v>
      </c>
      <c r="BR481" s="14">
        <v>0</v>
      </c>
      <c r="BS481" s="14">
        <v>0</v>
      </c>
      <c r="BT481" s="377" t="str">
        <v/>
      </c>
      <c r="BU481" s="105" t="str">
        <v/>
      </c>
      <c r="BV481" s="453" t="str">
        <v/>
      </c>
      <c r="BW481" s="105" t="str">
        <f ca="1"/>
        <v/>
      </c>
    </row>
    <row r="482" spans="1:75" x14ac:dyDescent="0.3">
      <c r="A482" s="1">
        <v>0</v>
      </c>
      <c r="B482" s="106">
        <v>0</v>
      </c>
      <c r="C482" s="14">
        <v>0</v>
      </c>
      <c r="D482" s="14">
        <v>0</v>
      </c>
      <c r="E482" s="14">
        <v>0</v>
      </c>
      <c r="F482" s="453">
        <v>0</v>
      </c>
      <c r="G482" s="377">
        <v>0</v>
      </c>
      <c r="H482" s="453">
        <v>0</v>
      </c>
      <c r="I482" s="453">
        <v>0</v>
      </c>
      <c r="J482" s="453">
        <v>0</v>
      </c>
      <c r="K482" s="453">
        <v>0</v>
      </c>
      <c r="L482" s="453">
        <v>0</v>
      </c>
      <c r="M482" s="453">
        <v>0</v>
      </c>
      <c r="N482" s="453">
        <v>0</v>
      </c>
      <c r="O482" s="453">
        <v>0</v>
      </c>
      <c r="P482" s="14">
        <v>0</v>
      </c>
      <c r="Q482" s="14">
        <v>0</v>
      </c>
      <c r="R482" s="453">
        <v>0</v>
      </c>
      <c r="S482" s="453">
        <v>0</v>
      </c>
      <c r="T482" s="453">
        <v>0</v>
      </c>
      <c r="U482" s="453">
        <v>0</v>
      </c>
      <c r="V482" s="453">
        <v>0</v>
      </c>
      <c r="W482" s="453">
        <v>0</v>
      </c>
      <c r="X482" s="453">
        <v>0</v>
      </c>
      <c r="Y482" s="453">
        <v>0</v>
      </c>
      <c r="Z482" s="453">
        <v>0</v>
      </c>
      <c r="AA482" s="14">
        <v>0</v>
      </c>
      <c r="AB482" s="14">
        <v>0</v>
      </c>
      <c r="AC482" s="453">
        <v>0</v>
      </c>
      <c r="AD482" s="14">
        <v>0</v>
      </c>
      <c r="AE482" s="14">
        <v>0</v>
      </c>
      <c r="AF482" s="14">
        <v>0</v>
      </c>
      <c r="AG482" s="14">
        <v>0</v>
      </c>
      <c r="AH482" s="14">
        <v>0</v>
      </c>
      <c r="AI482" s="14">
        <v>0</v>
      </c>
      <c r="AJ482" s="14">
        <v>0</v>
      </c>
      <c r="AK482" s="14">
        <v>0</v>
      </c>
      <c r="AL482" s="14">
        <v>0</v>
      </c>
      <c r="AM482" s="453">
        <v>0</v>
      </c>
      <c r="AN482" s="453">
        <v>0</v>
      </c>
      <c r="AO482" s="453">
        <v>0</v>
      </c>
      <c r="AP482" s="453">
        <v>0</v>
      </c>
      <c r="AQ482" s="453">
        <v>0</v>
      </c>
      <c r="AR482" s="453">
        <v>0</v>
      </c>
      <c r="AS482" s="453">
        <v>0</v>
      </c>
      <c r="AT482" s="453">
        <v>0</v>
      </c>
      <c r="AU482" s="453">
        <v>0</v>
      </c>
      <c r="AV482" s="453">
        <v>0</v>
      </c>
      <c r="AW482" s="453">
        <v>0</v>
      </c>
      <c r="AX482" s="453">
        <v>0</v>
      </c>
      <c r="AY482" s="453">
        <v>0</v>
      </c>
      <c r="AZ482" s="453">
        <v>0</v>
      </c>
      <c r="BA482" s="453">
        <v>0</v>
      </c>
      <c r="BB482" s="453">
        <v>0</v>
      </c>
      <c r="BC482" s="453">
        <v>0</v>
      </c>
      <c r="BD482" s="453">
        <v>0</v>
      </c>
      <c r="BE482" s="105">
        <v>0</v>
      </c>
      <c r="BF482" s="453">
        <v>0</v>
      </c>
      <c r="BG482" s="453">
        <v>0</v>
      </c>
      <c r="BH482" s="105">
        <v>0</v>
      </c>
      <c r="BI482" s="453">
        <v>0</v>
      </c>
      <c r="BJ482" s="453">
        <v>0</v>
      </c>
      <c r="BK482" s="105">
        <v>0</v>
      </c>
      <c r="BL482" s="453">
        <v>0</v>
      </c>
      <c r="BM482" s="453">
        <v>0</v>
      </c>
      <c r="BN482" s="453">
        <v>0</v>
      </c>
      <c r="BO482" s="453">
        <v>0</v>
      </c>
      <c r="BP482" s="453">
        <v>0</v>
      </c>
      <c r="BQ482" s="453">
        <v>0</v>
      </c>
      <c r="BR482" s="14">
        <v>0</v>
      </c>
      <c r="BS482" s="14">
        <v>0</v>
      </c>
      <c r="BT482" s="377" t="str">
        <v/>
      </c>
      <c r="BU482" s="105" t="str">
        <v/>
      </c>
      <c r="BV482" s="453" t="str">
        <v/>
      </c>
      <c r="BW482" s="105" t="str">
        <f ca="1"/>
        <v/>
      </c>
    </row>
    <row r="483" spans="1:75" x14ac:dyDescent="0.3">
      <c r="A483" s="1">
        <v>0</v>
      </c>
      <c r="B483" s="106">
        <v>0</v>
      </c>
      <c r="C483" s="14">
        <v>0</v>
      </c>
      <c r="D483" s="14">
        <v>0</v>
      </c>
      <c r="E483" s="14">
        <v>0</v>
      </c>
      <c r="F483" s="453">
        <v>0</v>
      </c>
      <c r="G483" s="377">
        <v>0</v>
      </c>
      <c r="H483" s="453">
        <v>0</v>
      </c>
      <c r="I483" s="453">
        <v>0</v>
      </c>
      <c r="J483" s="453">
        <v>0</v>
      </c>
      <c r="K483" s="453">
        <v>0</v>
      </c>
      <c r="L483" s="453">
        <v>0</v>
      </c>
      <c r="M483" s="453">
        <v>0</v>
      </c>
      <c r="N483" s="453">
        <v>0</v>
      </c>
      <c r="O483" s="453">
        <v>0</v>
      </c>
      <c r="P483" s="14">
        <v>0</v>
      </c>
      <c r="Q483" s="14">
        <v>0</v>
      </c>
      <c r="R483" s="453">
        <v>0</v>
      </c>
      <c r="S483" s="453">
        <v>0</v>
      </c>
      <c r="T483" s="453">
        <v>0</v>
      </c>
      <c r="U483" s="453">
        <v>0</v>
      </c>
      <c r="V483" s="453">
        <v>0</v>
      </c>
      <c r="W483" s="453">
        <v>0</v>
      </c>
      <c r="X483" s="453">
        <v>0</v>
      </c>
      <c r="Y483" s="453">
        <v>0</v>
      </c>
      <c r="Z483" s="453">
        <v>0</v>
      </c>
      <c r="AA483" s="14">
        <v>0</v>
      </c>
      <c r="AB483" s="14">
        <v>0</v>
      </c>
      <c r="AC483" s="453">
        <v>0</v>
      </c>
      <c r="AD483" s="14">
        <v>0</v>
      </c>
      <c r="AE483" s="14">
        <v>0</v>
      </c>
      <c r="AF483" s="14">
        <v>0</v>
      </c>
      <c r="AG483" s="14">
        <v>0</v>
      </c>
      <c r="AH483" s="14">
        <v>0</v>
      </c>
      <c r="AI483" s="14">
        <v>0</v>
      </c>
      <c r="AJ483" s="14">
        <v>0</v>
      </c>
      <c r="AK483" s="14">
        <v>0</v>
      </c>
      <c r="AL483" s="14">
        <v>0</v>
      </c>
      <c r="AM483" s="453">
        <v>0</v>
      </c>
      <c r="AN483" s="453">
        <v>0</v>
      </c>
      <c r="AO483" s="453">
        <v>0</v>
      </c>
      <c r="AP483" s="453">
        <v>0</v>
      </c>
      <c r="AQ483" s="453">
        <v>0</v>
      </c>
      <c r="AR483" s="453">
        <v>0</v>
      </c>
      <c r="AS483" s="453">
        <v>0</v>
      </c>
      <c r="AT483" s="453">
        <v>0</v>
      </c>
      <c r="AU483" s="453">
        <v>0</v>
      </c>
      <c r="AV483" s="453">
        <v>0</v>
      </c>
      <c r="AW483" s="453">
        <v>0</v>
      </c>
      <c r="AX483" s="453">
        <v>0</v>
      </c>
      <c r="AY483" s="453">
        <v>0</v>
      </c>
      <c r="AZ483" s="453">
        <v>0</v>
      </c>
      <c r="BA483" s="453">
        <v>0</v>
      </c>
      <c r="BB483" s="453">
        <v>0</v>
      </c>
      <c r="BC483" s="453">
        <v>0</v>
      </c>
      <c r="BD483" s="453">
        <v>0</v>
      </c>
      <c r="BE483" s="105">
        <v>0</v>
      </c>
      <c r="BF483" s="453">
        <v>0</v>
      </c>
      <c r="BG483" s="453">
        <v>0</v>
      </c>
      <c r="BH483" s="105">
        <v>0</v>
      </c>
      <c r="BI483" s="453">
        <v>0</v>
      </c>
      <c r="BJ483" s="453">
        <v>0</v>
      </c>
      <c r="BK483" s="105">
        <v>0</v>
      </c>
      <c r="BL483" s="453">
        <v>0</v>
      </c>
      <c r="BM483" s="453">
        <v>0</v>
      </c>
      <c r="BN483" s="453">
        <v>0</v>
      </c>
      <c r="BO483" s="453">
        <v>0</v>
      </c>
      <c r="BP483" s="453">
        <v>0</v>
      </c>
      <c r="BQ483" s="453">
        <v>0</v>
      </c>
      <c r="BR483" s="14">
        <v>0</v>
      </c>
      <c r="BS483" s="14">
        <v>0</v>
      </c>
      <c r="BT483" s="377" t="str">
        <v/>
      </c>
      <c r="BU483" s="105" t="str">
        <v/>
      </c>
      <c r="BV483" s="453" t="str">
        <v/>
      </c>
      <c r="BW483" s="105" t="str">
        <f ca="1"/>
        <v/>
      </c>
    </row>
    <row r="484" spans="1:75" x14ac:dyDescent="0.3">
      <c r="A484" s="1">
        <v>0</v>
      </c>
      <c r="B484" s="106">
        <v>0</v>
      </c>
      <c r="C484" s="14">
        <v>0</v>
      </c>
      <c r="D484" s="14">
        <v>0</v>
      </c>
      <c r="E484" s="14">
        <v>0</v>
      </c>
      <c r="F484" s="453">
        <v>0</v>
      </c>
      <c r="G484" s="377">
        <v>0</v>
      </c>
      <c r="H484" s="453">
        <v>0</v>
      </c>
      <c r="I484" s="453">
        <v>0</v>
      </c>
      <c r="J484" s="453">
        <v>0</v>
      </c>
      <c r="K484" s="453">
        <v>0</v>
      </c>
      <c r="L484" s="453">
        <v>0</v>
      </c>
      <c r="M484" s="453">
        <v>0</v>
      </c>
      <c r="N484" s="453">
        <v>0</v>
      </c>
      <c r="O484" s="453">
        <v>0</v>
      </c>
      <c r="P484" s="14">
        <v>0</v>
      </c>
      <c r="Q484" s="14">
        <v>0</v>
      </c>
      <c r="R484" s="453">
        <v>0</v>
      </c>
      <c r="S484" s="453">
        <v>0</v>
      </c>
      <c r="T484" s="453">
        <v>0</v>
      </c>
      <c r="U484" s="453">
        <v>0</v>
      </c>
      <c r="V484" s="453">
        <v>0</v>
      </c>
      <c r="W484" s="453">
        <v>0</v>
      </c>
      <c r="X484" s="453">
        <v>0</v>
      </c>
      <c r="Y484" s="453">
        <v>0</v>
      </c>
      <c r="Z484" s="453">
        <v>0</v>
      </c>
      <c r="AA484" s="14">
        <v>0</v>
      </c>
      <c r="AB484" s="14">
        <v>0</v>
      </c>
      <c r="AC484" s="453">
        <v>0</v>
      </c>
      <c r="AD484" s="14">
        <v>0</v>
      </c>
      <c r="AE484" s="14">
        <v>0</v>
      </c>
      <c r="AF484" s="14">
        <v>0</v>
      </c>
      <c r="AG484" s="14">
        <v>0</v>
      </c>
      <c r="AH484" s="14">
        <v>0</v>
      </c>
      <c r="AI484" s="14">
        <v>0</v>
      </c>
      <c r="AJ484" s="14">
        <v>0</v>
      </c>
      <c r="AK484" s="14">
        <v>0</v>
      </c>
      <c r="AL484" s="14">
        <v>0</v>
      </c>
      <c r="AM484" s="453">
        <v>0</v>
      </c>
      <c r="AN484" s="453">
        <v>0</v>
      </c>
      <c r="AO484" s="453">
        <v>0</v>
      </c>
      <c r="AP484" s="453">
        <v>0</v>
      </c>
      <c r="AQ484" s="453">
        <v>0</v>
      </c>
      <c r="AR484" s="453">
        <v>0</v>
      </c>
      <c r="AS484" s="453">
        <v>0</v>
      </c>
      <c r="AT484" s="453">
        <v>0</v>
      </c>
      <c r="AU484" s="453">
        <v>0</v>
      </c>
      <c r="AV484" s="453">
        <v>0</v>
      </c>
      <c r="AW484" s="453">
        <v>0</v>
      </c>
      <c r="AX484" s="453">
        <v>0</v>
      </c>
      <c r="AY484" s="453">
        <v>0</v>
      </c>
      <c r="AZ484" s="453">
        <v>0</v>
      </c>
      <c r="BA484" s="453">
        <v>0</v>
      </c>
      <c r="BB484" s="453">
        <v>0</v>
      </c>
      <c r="BC484" s="453">
        <v>0</v>
      </c>
      <c r="BD484" s="453">
        <v>0</v>
      </c>
      <c r="BE484" s="105">
        <v>0</v>
      </c>
      <c r="BF484" s="453">
        <v>0</v>
      </c>
      <c r="BG484" s="453">
        <v>0</v>
      </c>
      <c r="BH484" s="105">
        <v>0</v>
      </c>
      <c r="BI484" s="453">
        <v>0</v>
      </c>
      <c r="BJ484" s="453">
        <v>0</v>
      </c>
      <c r="BK484" s="105">
        <v>0</v>
      </c>
      <c r="BL484" s="453">
        <v>0</v>
      </c>
      <c r="BM484" s="453">
        <v>0</v>
      </c>
      <c r="BN484" s="453">
        <v>0</v>
      </c>
      <c r="BO484" s="453">
        <v>0</v>
      </c>
      <c r="BP484" s="453">
        <v>0</v>
      </c>
      <c r="BQ484" s="453">
        <v>0</v>
      </c>
      <c r="BR484" s="14">
        <v>0</v>
      </c>
      <c r="BS484" s="14">
        <v>0</v>
      </c>
      <c r="BT484" s="377" t="str">
        <v/>
      </c>
      <c r="BU484" s="105" t="str">
        <v/>
      </c>
      <c r="BV484" s="453" t="str">
        <v/>
      </c>
      <c r="BW484" s="105" t="str">
        <f ca="1"/>
        <v/>
      </c>
    </row>
    <row r="485" spans="1:75" x14ac:dyDescent="0.3">
      <c r="A485" s="1">
        <v>0</v>
      </c>
      <c r="B485" s="106">
        <v>0</v>
      </c>
      <c r="C485" s="14">
        <v>0</v>
      </c>
      <c r="D485" s="14">
        <v>0</v>
      </c>
      <c r="E485" s="14">
        <v>0</v>
      </c>
      <c r="F485" s="453">
        <v>0</v>
      </c>
      <c r="G485" s="377">
        <v>0</v>
      </c>
      <c r="H485" s="453">
        <v>0</v>
      </c>
      <c r="I485" s="453">
        <v>0</v>
      </c>
      <c r="J485" s="453">
        <v>0</v>
      </c>
      <c r="K485" s="453">
        <v>0</v>
      </c>
      <c r="L485" s="453">
        <v>0</v>
      </c>
      <c r="M485" s="453">
        <v>0</v>
      </c>
      <c r="N485" s="453">
        <v>0</v>
      </c>
      <c r="O485" s="453">
        <v>0</v>
      </c>
      <c r="P485" s="14">
        <v>0</v>
      </c>
      <c r="Q485" s="14">
        <v>0</v>
      </c>
      <c r="R485" s="453">
        <v>0</v>
      </c>
      <c r="S485" s="453">
        <v>0</v>
      </c>
      <c r="T485" s="453">
        <v>0</v>
      </c>
      <c r="U485" s="453">
        <v>0</v>
      </c>
      <c r="V485" s="453">
        <v>0</v>
      </c>
      <c r="W485" s="453">
        <v>0</v>
      </c>
      <c r="X485" s="453">
        <v>0</v>
      </c>
      <c r="Y485" s="453">
        <v>0</v>
      </c>
      <c r="Z485" s="453">
        <v>0</v>
      </c>
      <c r="AA485" s="14">
        <v>0</v>
      </c>
      <c r="AB485" s="14">
        <v>0</v>
      </c>
      <c r="AC485" s="453">
        <v>0</v>
      </c>
      <c r="AD485" s="14">
        <v>0</v>
      </c>
      <c r="AE485" s="14">
        <v>0</v>
      </c>
      <c r="AF485" s="14">
        <v>0</v>
      </c>
      <c r="AG485" s="14">
        <v>0</v>
      </c>
      <c r="AH485" s="14">
        <v>0</v>
      </c>
      <c r="AI485" s="14">
        <v>0</v>
      </c>
      <c r="AJ485" s="14">
        <v>0</v>
      </c>
      <c r="AK485" s="14">
        <v>0</v>
      </c>
      <c r="AL485" s="14">
        <v>0</v>
      </c>
      <c r="AM485" s="453">
        <v>0</v>
      </c>
      <c r="AN485" s="453">
        <v>0</v>
      </c>
      <c r="AO485" s="453">
        <v>0</v>
      </c>
      <c r="AP485" s="453">
        <v>0</v>
      </c>
      <c r="AQ485" s="453">
        <v>0</v>
      </c>
      <c r="AR485" s="453">
        <v>0</v>
      </c>
      <c r="AS485" s="453">
        <v>0</v>
      </c>
      <c r="AT485" s="453">
        <v>0</v>
      </c>
      <c r="AU485" s="453">
        <v>0</v>
      </c>
      <c r="AV485" s="453">
        <v>0</v>
      </c>
      <c r="AW485" s="453">
        <v>0</v>
      </c>
      <c r="AX485" s="453">
        <v>0</v>
      </c>
      <c r="AY485" s="453">
        <v>0</v>
      </c>
      <c r="AZ485" s="453">
        <v>0</v>
      </c>
      <c r="BA485" s="453">
        <v>0</v>
      </c>
      <c r="BB485" s="453">
        <v>0</v>
      </c>
      <c r="BC485" s="453">
        <v>0</v>
      </c>
      <c r="BD485" s="453">
        <v>0</v>
      </c>
      <c r="BE485" s="105">
        <v>0</v>
      </c>
      <c r="BF485" s="453">
        <v>0</v>
      </c>
      <c r="BG485" s="453">
        <v>0</v>
      </c>
      <c r="BH485" s="105">
        <v>0</v>
      </c>
      <c r="BI485" s="453">
        <v>0</v>
      </c>
      <c r="BJ485" s="453">
        <v>0</v>
      </c>
      <c r="BK485" s="105">
        <v>0</v>
      </c>
      <c r="BL485" s="453">
        <v>0</v>
      </c>
      <c r="BM485" s="453">
        <v>0</v>
      </c>
      <c r="BN485" s="453">
        <v>0</v>
      </c>
      <c r="BO485" s="453">
        <v>0</v>
      </c>
      <c r="BP485" s="453">
        <v>0</v>
      </c>
      <c r="BQ485" s="453">
        <v>0</v>
      </c>
      <c r="BR485" s="14">
        <v>0</v>
      </c>
      <c r="BS485" s="14">
        <v>0</v>
      </c>
      <c r="BT485" s="377" t="str">
        <v/>
      </c>
      <c r="BU485" s="105" t="str">
        <v/>
      </c>
      <c r="BV485" s="453" t="str">
        <v/>
      </c>
      <c r="BW485" s="105" t="str">
        <f ca="1"/>
        <v/>
      </c>
    </row>
    <row r="486" spans="1:75" x14ac:dyDescent="0.3">
      <c r="A486" s="1">
        <v>0</v>
      </c>
      <c r="B486" s="106">
        <v>0</v>
      </c>
      <c r="C486" s="14">
        <v>0</v>
      </c>
      <c r="D486" s="14">
        <v>0</v>
      </c>
      <c r="E486" s="14">
        <v>0</v>
      </c>
      <c r="F486" s="453">
        <v>0</v>
      </c>
      <c r="G486" s="377">
        <v>0</v>
      </c>
      <c r="H486" s="453">
        <v>0</v>
      </c>
      <c r="I486" s="453">
        <v>0</v>
      </c>
      <c r="J486" s="453">
        <v>0</v>
      </c>
      <c r="K486" s="453">
        <v>0</v>
      </c>
      <c r="L486" s="453">
        <v>0</v>
      </c>
      <c r="M486" s="453">
        <v>0</v>
      </c>
      <c r="N486" s="453">
        <v>0</v>
      </c>
      <c r="O486" s="453">
        <v>0</v>
      </c>
      <c r="P486" s="14">
        <v>0</v>
      </c>
      <c r="Q486" s="14">
        <v>0</v>
      </c>
      <c r="R486" s="453">
        <v>0</v>
      </c>
      <c r="S486" s="453">
        <v>0</v>
      </c>
      <c r="T486" s="453">
        <v>0</v>
      </c>
      <c r="U486" s="453">
        <v>0</v>
      </c>
      <c r="V486" s="453">
        <v>0</v>
      </c>
      <c r="W486" s="453">
        <v>0</v>
      </c>
      <c r="X486" s="453">
        <v>0</v>
      </c>
      <c r="Y486" s="453">
        <v>0</v>
      </c>
      <c r="Z486" s="453">
        <v>0</v>
      </c>
      <c r="AA486" s="14">
        <v>0</v>
      </c>
      <c r="AB486" s="14">
        <v>0</v>
      </c>
      <c r="AC486" s="453">
        <v>0</v>
      </c>
      <c r="AD486" s="14">
        <v>0</v>
      </c>
      <c r="AE486" s="14">
        <v>0</v>
      </c>
      <c r="AF486" s="14">
        <v>0</v>
      </c>
      <c r="AG486" s="14">
        <v>0</v>
      </c>
      <c r="AH486" s="14">
        <v>0</v>
      </c>
      <c r="AI486" s="14">
        <v>0</v>
      </c>
      <c r="AJ486" s="14">
        <v>0</v>
      </c>
      <c r="AK486" s="14">
        <v>0</v>
      </c>
      <c r="AL486" s="14">
        <v>0</v>
      </c>
      <c r="AM486" s="453">
        <v>0</v>
      </c>
      <c r="AN486" s="453">
        <v>0</v>
      </c>
      <c r="AO486" s="453">
        <v>0</v>
      </c>
      <c r="AP486" s="453">
        <v>0</v>
      </c>
      <c r="AQ486" s="453">
        <v>0</v>
      </c>
      <c r="AR486" s="453">
        <v>0</v>
      </c>
      <c r="AS486" s="453">
        <v>0</v>
      </c>
      <c r="AT486" s="453">
        <v>0</v>
      </c>
      <c r="AU486" s="453">
        <v>0</v>
      </c>
      <c r="AV486" s="453">
        <v>0</v>
      </c>
      <c r="AW486" s="453">
        <v>0</v>
      </c>
      <c r="AX486" s="453">
        <v>0</v>
      </c>
      <c r="AY486" s="453">
        <v>0</v>
      </c>
      <c r="AZ486" s="453">
        <v>0</v>
      </c>
      <c r="BA486" s="453">
        <v>0</v>
      </c>
      <c r="BB486" s="453">
        <v>0</v>
      </c>
      <c r="BC486" s="453">
        <v>0</v>
      </c>
      <c r="BD486" s="453">
        <v>0</v>
      </c>
      <c r="BE486" s="105">
        <v>0</v>
      </c>
      <c r="BF486" s="453">
        <v>0</v>
      </c>
      <c r="BG486" s="453">
        <v>0</v>
      </c>
      <c r="BH486" s="105">
        <v>0</v>
      </c>
      <c r="BI486" s="453">
        <v>0</v>
      </c>
      <c r="BJ486" s="453">
        <v>0</v>
      </c>
      <c r="BK486" s="105">
        <v>0</v>
      </c>
      <c r="BL486" s="453">
        <v>0</v>
      </c>
      <c r="BM486" s="453">
        <v>0</v>
      </c>
      <c r="BN486" s="453">
        <v>0</v>
      </c>
      <c r="BO486" s="453">
        <v>0</v>
      </c>
      <c r="BP486" s="453">
        <v>0</v>
      </c>
      <c r="BQ486" s="453">
        <v>0</v>
      </c>
      <c r="BR486" s="14">
        <v>0</v>
      </c>
      <c r="BS486" s="14">
        <v>0</v>
      </c>
      <c r="BT486" s="377" t="str">
        <v/>
      </c>
      <c r="BU486" s="105" t="str">
        <v/>
      </c>
      <c r="BV486" s="453" t="str">
        <v/>
      </c>
      <c r="BW486" s="105" t="str">
        <f ca="1"/>
        <v/>
      </c>
    </row>
    <row r="487" spans="1:75" x14ac:dyDescent="0.3">
      <c r="A487" s="1">
        <v>0</v>
      </c>
      <c r="B487" s="106">
        <v>0</v>
      </c>
      <c r="C487" s="14">
        <v>0</v>
      </c>
      <c r="D487" s="14">
        <v>0</v>
      </c>
      <c r="E487" s="14">
        <v>0</v>
      </c>
      <c r="F487" s="453">
        <v>0</v>
      </c>
      <c r="G487" s="377">
        <v>0</v>
      </c>
      <c r="H487" s="453">
        <v>0</v>
      </c>
      <c r="I487" s="453">
        <v>0</v>
      </c>
      <c r="J487" s="453">
        <v>0</v>
      </c>
      <c r="K487" s="453">
        <v>0</v>
      </c>
      <c r="L487" s="453">
        <v>0</v>
      </c>
      <c r="M487" s="453">
        <v>0</v>
      </c>
      <c r="N487" s="453">
        <v>0</v>
      </c>
      <c r="O487" s="453">
        <v>0</v>
      </c>
      <c r="P487" s="14">
        <v>0</v>
      </c>
      <c r="Q487" s="14">
        <v>0</v>
      </c>
      <c r="R487" s="453">
        <v>0</v>
      </c>
      <c r="S487" s="453">
        <v>0</v>
      </c>
      <c r="T487" s="453">
        <v>0</v>
      </c>
      <c r="U487" s="453">
        <v>0</v>
      </c>
      <c r="V487" s="453">
        <v>0</v>
      </c>
      <c r="W487" s="453">
        <v>0</v>
      </c>
      <c r="X487" s="453">
        <v>0</v>
      </c>
      <c r="Y487" s="453">
        <v>0</v>
      </c>
      <c r="Z487" s="453">
        <v>0</v>
      </c>
      <c r="AA487" s="14">
        <v>0</v>
      </c>
      <c r="AB487" s="14">
        <v>0</v>
      </c>
      <c r="AC487" s="453">
        <v>0</v>
      </c>
      <c r="AD487" s="14">
        <v>0</v>
      </c>
      <c r="AE487" s="14">
        <v>0</v>
      </c>
      <c r="AF487" s="14">
        <v>0</v>
      </c>
      <c r="AG487" s="14">
        <v>0</v>
      </c>
      <c r="AH487" s="14">
        <v>0</v>
      </c>
      <c r="AI487" s="14">
        <v>0</v>
      </c>
      <c r="AJ487" s="14">
        <v>0</v>
      </c>
      <c r="AK487" s="14">
        <v>0</v>
      </c>
      <c r="AL487" s="14">
        <v>0</v>
      </c>
      <c r="AM487" s="453">
        <v>0</v>
      </c>
      <c r="AN487" s="453">
        <v>0</v>
      </c>
      <c r="AO487" s="453">
        <v>0</v>
      </c>
      <c r="AP487" s="453">
        <v>0</v>
      </c>
      <c r="AQ487" s="453">
        <v>0</v>
      </c>
      <c r="AR487" s="453">
        <v>0</v>
      </c>
      <c r="AS487" s="453">
        <v>0</v>
      </c>
      <c r="AT487" s="453">
        <v>0</v>
      </c>
      <c r="AU487" s="453">
        <v>0</v>
      </c>
      <c r="AV487" s="453">
        <v>0</v>
      </c>
      <c r="AW487" s="453">
        <v>0</v>
      </c>
      <c r="AX487" s="453">
        <v>0</v>
      </c>
      <c r="AY487" s="453">
        <v>0</v>
      </c>
      <c r="AZ487" s="453">
        <v>0</v>
      </c>
      <c r="BA487" s="453">
        <v>0</v>
      </c>
      <c r="BB487" s="453">
        <v>0</v>
      </c>
      <c r="BC487" s="453">
        <v>0</v>
      </c>
      <c r="BD487" s="453">
        <v>0</v>
      </c>
      <c r="BE487" s="105">
        <v>0</v>
      </c>
      <c r="BF487" s="453">
        <v>0</v>
      </c>
      <c r="BG487" s="453">
        <v>0</v>
      </c>
      <c r="BH487" s="105">
        <v>0</v>
      </c>
      <c r="BI487" s="453">
        <v>0</v>
      </c>
      <c r="BJ487" s="453">
        <v>0</v>
      </c>
      <c r="BK487" s="105">
        <v>0</v>
      </c>
      <c r="BL487" s="453">
        <v>0</v>
      </c>
      <c r="BM487" s="453">
        <v>0</v>
      </c>
      <c r="BN487" s="453">
        <v>0</v>
      </c>
      <c r="BO487" s="453">
        <v>0</v>
      </c>
      <c r="BP487" s="453">
        <v>0</v>
      </c>
      <c r="BQ487" s="453">
        <v>0</v>
      </c>
      <c r="BR487" s="14">
        <v>0</v>
      </c>
      <c r="BS487" s="14">
        <v>0</v>
      </c>
      <c r="BT487" s="377" t="str">
        <v/>
      </c>
      <c r="BU487" s="105" t="str">
        <v/>
      </c>
      <c r="BV487" s="453" t="str">
        <v/>
      </c>
      <c r="BW487" s="105" t="str">
        <f ca="1"/>
        <v/>
      </c>
    </row>
    <row r="488" spans="1:75" x14ac:dyDescent="0.3">
      <c r="A488" s="1">
        <v>0</v>
      </c>
      <c r="B488" s="106">
        <v>0</v>
      </c>
      <c r="C488" s="14">
        <v>0</v>
      </c>
      <c r="D488" s="14">
        <v>0</v>
      </c>
      <c r="E488" s="14">
        <v>0</v>
      </c>
      <c r="F488" s="453">
        <v>0</v>
      </c>
      <c r="G488" s="377">
        <v>0</v>
      </c>
      <c r="H488" s="453">
        <v>0</v>
      </c>
      <c r="I488" s="453">
        <v>0</v>
      </c>
      <c r="J488" s="453">
        <v>0</v>
      </c>
      <c r="K488" s="453">
        <v>0</v>
      </c>
      <c r="L488" s="453">
        <v>0</v>
      </c>
      <c r="M488" s="453">
        <v>0</v>
      </c>
      <c r="N488" s="453">
        <v>0</v>
      </c>
      <c r="O488" s="453">
        <v>0</v>
      </c>
      <c r="P488" s="14">
        <v>0</v>
      </c>
      <c r="Q488" s="14">
        <v>0</v>
      </c>
      <c r="R488" s="453">
        <v>0</v>
      </c>
      <c r="S488" s="453">
        <v>0</v>
      </c>
      <c r="T488" s="453">
        <v>0</v>
      </c>
      <c r="U488" s="453">
        <v>0</v>
      </c>
      <c r="V488" s="453">
        <v>0</v>
      </c>
      <c r="W488" s="453">
        <v>0</v>
      </c>
      <c r="X488" s="453">
        <v>0</v>
      </c>
      <c r="Y488" s="453">
        <v>0</v>
      </c>
      <c r="Z488" s="453">
        <v>0</v>
      </c>
      <c r="AA488" s="14">
        <v>0</v>
      </c>
      <c r="AB488" s="14">
        <v>0</v>
      </c>
      <c r="AC488" s="453">
        <v>0</v>
      </c>
      <c r="AD488" s="14">
        <v>0</v>
      </c>
      <c r="AE488" s="14">
        <v>0</v>
      </c>
      <c r="AF488" s="14">
        <v>0</v>
      </c>
      <c r="AG488" s="14">
        <v>0</v>
      </c>
      <c r="AH488" s="14">
        <v>0</v>
      </c>
      <c r="AI488" s="14">
        <v>0</v>
      </c>
      <c r="AJ488" s="14">
        <v>0</v>
      </c>
      <c r="AK488" s="14">
        <v>0</v>
      </c>
      <c r="AL488" s="14">
        <v>0</v>
      </c>
      <c r="AM488" s="453">
        <v>0</v>
      </c>
      <c r="AN488" s="453">
        <v>0</v>
      </c>
      <c r="AO488" s="453">
        <v>0</v>
      </c>
      <c r="AP488" s="453">
        <v>0</v>
      </c>
      <c r="AQ488" s="453">
        <v>0</v>
      </c>
      <c r="AR488" s="453">
        <v>0</v>
      </c>
      <c r="AS488" s="453">
        <v>0</v>
      </c>
      <c r="AT488" s="453">
        <v>0</v>
      </c>
      <c r="AU488" s="453">
        <v>0</v>
      </c>
      <c r="AV488" s="453">
        <v>0</v>
      </c>
      <c r="AW488" s="453">
        <v>0</v>
      </c>
      <c r="AX488" s="453">
        <v>0</v>
      </c>
      <c r="AY488" s="453">
        <v>0</v>
      </c>
      <c r="AZ488" s="453">
        <v>0</v>
      </c>
      <c r="BA488" s="453">
        <v>0</v>
      </c>
      <c r="BB488" s="453">
        <v>0</v>
      </c>
      <c r="BC488" s="453">
        <v>0</v>
      </c>
      <c r="BD488" s="453">
        <v>0</v>
      </c>
      <c r="BE488" s="105">
        <v>0</v>
      </c>
      <c r="BF488" s="453">
        <v>0</v>
      </c>
      <c r="BG488" s="453">
        <v>0</v>
      </c>
      <c r="BH488" s="105">
        <v>0</v>
      </c>
      <c r="BI488" s="453">
        <v>0</v>
      </c>
      <c r="BJ488" s="453">
        <v>0</v>
      </c>
      <c r="BK488" s="105">
        <v>0</v>
      </c>
      <c r="BL488" s="453">
        <v>0</v>
      </c>
      <c r="BM488" s="453">
        <v>0</v>
      </c>
      <c r="BN488" s="453">
        <v>0</v>
      </c>
      <c r="BO488" s="453">
        <v>0</v>
      </c>
      <c r="BP488" s="453">
        <v>0</v>
      </c>
      <c r="BQ488" s="453">
        <v>0</v>
      </c>
      <c r="BR488" s="14">
        <v>0</v>
      </c>
      <c r="BS488" s="14">
        <v>0</v>
      </c>
      <c r="BT488" s="377" t="str">
        <v/>
      </c>
      <c r="BU488" s="105" t="str">
        <v/>
      </c>
      <c r="BV488" s="453" t="str">
        <v/>
      </c>
      <c r="BW488" s="105" t="str">
        <f ca="1"/>
        <v/>
      </c>
    </row>
    <row r="489" spans="1:75" x14ac:dyDescent="0.3">
      <c r="A489" s="1">
        <v>0</v>
      </c>
      <c r="B489" s="106">
        <v>0</v>
      </c>
      <c r="C489" s="14">
        <v>0</v>
      </c>
      <c r="D489" s="14">
        <v>0</v>
      </c>
      <c r="E489" s="14">
        <v>0</v>
      </c>
      <c r="F489" s="453">
        <v>0</v>
      </c>
      <c r="G489" s="377">
        <v>0</v>
      </c>
      <c r="H489" s="453">
        <v>0</v>
      </c>
      <c r="I489" s="453">
        <v>0</v>
      </c>
      <c r="J489" s="453">
        <v>0</v>
      </c>
      <c r="K489" s="453">
        <v>0</v>
      </c>
      <c r="L489" s="453">
        <v>0</v>
      </c>
      <c r="M489" s="453">
        <v>0</v>
      </c>
      <c r="N489" s="453">
        <v>0</v>
      </c>
      <c r="O489" s="453">
        <v>0</v>
      </c>
      <c r="P489" s="14">
        <v>0</v>
      </c>
      <c r="Q489" s="14">
        <v>0</v>
      </c>
      <c r="R489" s="453">
        <v>0</v>
      </c>
      <c r="S489" s="453">
        <v>0</v>
      </c>
      <c r="T489" s="453">
        <v>0</v>
      </c>
      <c r="U489" s="453">
        <v>0</v>
      </c>
      <c r="V489" s="453">
        <v>0</v>
      </c>
      <c r="W489" s="453">
        <v>0</v>
      </c>
      <c r="X489" s="453">
        <v>0</v>
      </c>
      <c r="Y489" s="453">
        <v>0</v>
      </c>
      <c r="Z489" s="453">
        <v>0</v>
      </c>
      <c r="AA489" s="14">
        <v>0</v>
      </c>
      <c r="AB489" s="14">
        <v>0</v>
      </c>
      <c r="AC489" s="453">
        <v>0</v>
      </c>
      <c r="AD489" s="14">
        <v>0</v>
      </c>
      <c r="AE489" s="14">
        <v>0</v>
      </c>
      <c r="AF489" s="14">
        <v>0</v>
      </c>
      <c r="AG489" s="14">
        <v>0</v>
      </c>
      <c r="AH489" s="14">
        <v>0</v>
      </c>
      <c r="AI489" s="14">
        <v>0</v>
      </c>
      <c r="AJ489" s="14">
        <v>0</v>
      </c>
      <c r="AK489" s="14">
        <v>0</v>
      </c>
      <c r="AL489" s="14">
        <v>0</v>
      </c>
      <c r="AM489" s="453">
        <v>0</v>
      </c>
      <c r="AN489" s="453">
        <v>0</v>
      </c>
      <c r="AO489" s="453">
        <v>0</v>
      </c>
      <c r="AP489" s="453">
        <v>0</v>
      </c>
      <c r="AQ489" s="453">
        <v>0</v>
      </c>
      <c r="AR489" s="453">
        <v>0</v>
      </c>
      <c r="AS489" s="453">
        <v>0</v>
      </c>
      <c r="AT489" s="453">
        <v>0</v>
      </c>
      <c r="AU489" s="453">
        <v>0</v>
      </c>
      <c r="AV489" s="453">
        <v>0</v>
      </c>
      <c r="AW489" s="453">
        <v>0</v>
      </c>
      <c r="AX489" s="453">
        <v>0</v>
      </c>
      <c r="AY489" s="453">
        <v>0</v>
      </c>
      <c r="AZ489" s="453">
        <v>0</v>
      </c>
      <c r="BA489" s="453">
        <v>0</v>
      </c>
      <c r="BB489" s="453">
        <v>0</v>
      </c>
      <c r="BC489" s="453">
        <v>0</v>
      </c>
      <c r="BD489" s="453">
        <v>0</v>
      </c>
      <c r="BE489" s="105">
        <v>0</v>
      </c>
      <c r="BF489" s="453">
        <v>0</v>
      </c>
      <c r="BG489" s="453">
        <v>0</v>
      </c>
      <c r="BH489" s="105">
        <v>0</v>
      </c>
      <c r="BI489" s="453">
        <v>0</v>
      </c>
      <c r="BJ489" s="453">
        <v>0</v>
      </c>
      <c r="BK489" s="105">
        <v>0</v>
      </c>
      <c r="BL489" s="453">
        <v>0</v>
      </c>
      <c r="BM489" s="453">
        <v>0</v>
      </c>
      <c r="BN489" s="453">
        <v>0</v>
      </c>
      <c r="BO489" s="453">
        <v>0</v>
      </c>
      <c r="BP489" s="453">
        <v>0</v>
      </c>
      <c r="BQ489" s="453">
        <v>0</v>
      </c>
      <c r="BR489" s="14">
        <v>0</v>
      </c>
      <c r="BS489" s="14">
        <v>0</v>
      </c>
      <c r="BT489" s="377" t="str">
        <v/>
      </c>
      <c r="BU489" s="105" t="str">
        <v/>
      </c>
      <c r="BV489" s="453" t="str">
        <v/>
      </c>
      <c r="BW489" s="105" t="str">
        <f ca="1"/>
        <v/>
      </c>
    </row>
    <row r="490" spans="1:75" x14ac:dyDescent="0.3">
      <c r="A490" s="1">
        <v>0</v>
      </c>
      <c r="B490" s="106">
        <v>0</v>
      </c>
      <c r="C490" s="14">
        <v>0</v>
      </c>
      <c r="D490" s="14">
        <v>0</v>
      </c>
      <c r="E490" s="14">
        <v>0</v>
      </c>
      <c r="F490" s="453">
        <v>0</v>
      </c>
      <c r="G490" s="377">
        <v>0</v>
      </c>
      <c r="H490" s="453">
        <v>0</v>
      </c>
      <c r="I490" s="453">
        <v>0</v>
      </c>
      <c r="J490" s="453">
        <v>0</v>
      </c>
      <c r="K490" s="453">
        <v>0</v>
      </c>
      <c r="L490" s="453">
        <v>0</v>
      </c>
      <c r="M490" s="453">
        <v>0</v>
      </c>
      <c r="N490" s="453">
        <v>0</v>
      </c>
      <c r="O490" s="453">
        <v>0</v>
      </c>
      <c r="P490" s="14">
        <v>0</v>
      </c>
      <c r="Q490" s="14">
        <v>0</v>
      </c>
      <c r="R490" s="453">
        <v>0</v>
      </c>
      <c r="S490" s="453">
        <v>0</v>
      </c>
      <c r="T490" s="453">
        <v>0</v>
      </c>
      <c r="U490" s="453">
        <v>0</v>
      </c>
      <c r="V490" s="453">
        <v>0</v>
      </c>
      <c r="W490" s="453">
        <v>0</v>
      </c>
      <c r="X490" s="453">
        <v>0</v>
      </c>
      <c r="Y490" s="453">
        <v>0</v>
      </c>
      <c r="Z490" s="453">
        <v>0</v>
      </c>
      <c r="AA490" s="14">
        <v>0</v>
      </c>
      <c r="AB490" s="14">
        <v>0</v>
      </c>
      <c r="AC490" s="453">
        <v>0</v>
      </c>
      <c r="AD490" s="14">
        <v>0</v>
      </c>
      <c r="AE490" s="14">
        <v>0</v>
      </c>
      <c r="AF490" s="14">
        <v>0</v>
      </c>
      <c r="AG490" s="14">
        <v>0</v>
      </c>
      <c r="AH490" s="14">
        <v>0</v>
      </c>
      <c r="AI490" s="14">
        <v>0</v>
      </c>
      <c r="AJ490" s="14">
        <v>0</v>
      </c>
      <c r="AK490" s="14">
        <v>0</v>
      </c>
      <c r="AL490" s="14">
        <v>0</v>
      </c>
      <c r="AM490" s="453">
        <v>0</v>
      </c>
      <c r="AN490" s="453">
        <v>0</v>
      </c>
      <c r="AO490" s="453">
        <v>0</v>
      </c>
      <c r="AP490" s="453">
        <v>0</v>
      </c>
      <c r="AQ490" s="453">
        <v>0</v>
      </c>
      <c r="AR490" s="453">
        <v>0</v>
      </c>
      <c r="AS490" s="453">
        <v>0</v>
      </c>
      <c r="AT490" s="453">
        <v>0</v>
      </c>
      <c r="AU490" s="453">
        <v>0</v>
      </c>
      <c r="AV490" s="453">
        <v>0</v>
      </c>
      <c r="AW490" s="453">
        <v>0</v>
      </c>
      <c r="AX490" s="453">
        <v>0</v>
      </c>
      <c r="AY490" s="453">
        <v>0</v>
      </c>
      <c r="AZ490" s="453">
        <v>0</v>
      </c>
      <c r="BA490" s="453">
        <v>0</v>
      </c>
      <c r="BB490" s="453">
        <v>0</v>
      </c>
      <c r="BC490" s="453">
        <v>0</v>
      </c>
      <c r="BD490" s="453">
        <v>0</v>
      </c>
      <c r="BE490" s="105">
        <v>0</v>
      </c>
      <c r="BF490" s="453">
        <v>0</v>
      </c>
      <c r="BG490" s="453">
        <v>0</v>
      </c>
      <c r="BH490" s="105">
        <v>0</v>
      </c>
      <c r="BI490" s="453">
        <v>0</v>
      </c>
      <c r="BJ490" s="453">
        <v>0</v>
      </c>
      <c r="BK490" s="105">
        <v>0</v>
      </c>
      <c r="BL490" s="453">
        <v>0</v>
      </c>
      <c r="BM490" s="453">
        <v>0</v>
      </c>
      <c r="BN490" s="453">
        <v>0</v>
      </c>
      <c r="BO490" s="453">
        <v>0</v>
      </c>
      <c r="BP490" s="453">
        <v>0</v>
      </c>
      <c r="BQ490" s="453">
        <v>0</v>
      </c>
      <c r="BR490" s="14">
        <v>0</v>
      </c>
      <c r="BS490" s="14">
        <v>0</v>
      </c>
      <c r="BT490" s="377" t="str">
        <v/>
      </c>
      <c r="BU490" s="105" t="str">
        <v/>
      </c>
      <c r="BV490" s="453" t="str">
        <v/>
      </c>
      <c r="BW490" s="105" t="str">
        <f ca="1"/>
        <v/>
      </c>
    </row>
    <row r="491" spans="1:75" x14ac:dyDescent="0.3">
      <c r="A491" s="1">
        <v>0</v>
      </c>
      <c r="B491" s="106">
        <v>0</v>
      </c>
      <c r="C491" s="14">
        <v>0</v>
      </c>
      <c r="D491" s="14">
        <v>0</v>
      </c>
      <c r="E491" s="14">
        <v>0</v>
      </c>
      <c r="F491" s="453">
        <v>0</v>
      </c>
      <c r="G491" s="377">
        <v>0</v>
      </c>
      <c r="H491" s="453">
        <v>0</v>
      </c>
      <c r="I491" s="453">
        <v>0</v>
      </c>
      <c r="J491" s="453">
        <v>0</v>
      </c>
      <c r="K491" s="453">
        <v>0</v>
      </c>
      <c r="L491" s="453">
        <v>0</v>
      </c>
      <c r="M491" s="453">
        <v>0</v>
      </c>
      <c r="N491" s="453">
        <v>0</v>
      </c>
      <c r="O491" s="453">
        <v>0</v>
      </c>
      <c r="P491" s="14">
        <v>0</v>
      </c>
      <c r="Q491" s="14">
        <v>0</v>
      </c>
      <c r="R491" s="453">
        <v>0</v>
      </c>
      <c r="S491" s="453">
        <v>0</v>
      </c>
      <c r="T491" s="453">
        <v>0</v>
      </c>
      <c r="U491" s="453">
        <v>0</v>
      </c>
      <c r="V491" s="453">
        <v>0</v>
      </c>
      <c r="W491" s="453">
        <v>0</v>
      </c>
      <c r="X491" s="453">
        <v>0</v>
      </c>
      <c r="Y491" s="453">
        <v>0</v>
      </c>
      <c r="Z491" s="453">
        <v>0</v>
      </c>
      <c r="AA491" s="14">
        <v>0</v>
      </c>
      <c r="AB491" s="14">
        <v>0</v>
      </c>
      <c r="AC491" s="453">
        <v>0</v>
      </c>
      <c r="AD491" s="14">
        <v>0</v>
      </c>
      <c r="AE491" s="14">
        <v>0</v>
      </c>
      <c r="AF491" s="14">
        <v>0</v>
      </c>
      <c r="AG491" s="14">
        <v>0</v>
      </c>
      <c r="AH491" s="14">
        <v>0</v>
      </c>
      <c r="AI491" s="14">
        <v>0</v>
      </c>
      <c r="AJ491" s="14">
        <v>0</v>
      </c>
      <c r="AK491" s="14">
        <v>0</v>
      </c>
      <c r="AL491" s="14">
        <v>0</v>
      </c>
      <c r="AM491" s="453">
        <v>0</v>
      </c>
      <c r="AN491" s="453">
        <v>0</v>
      </c>
      <c r="AO491" s="453">
        <v>0</v>
      </c>
      <c r="AP491" s="453">
        <v>0</v>
      </c>
      <c r="AQ491" s="453">
        <v>0</v>
      </c>
      <c r="AR491" s="453">
        <v>0</v>
      </c>
      <c r="AS491" s="453">
        <v>0</v>
      </c>
      <c r="AT491" s="453">
        <v>0</v>
      </c>
      <c r="AU491" s="453">
        <v>0</v>
      </c>
      <c r="AV491" s="453">
        <v>0</v>
      </c>
      <c r="AW491" s="453">
        <v>0</v>
      </c>
      <c r="AX491" s="453">
        <v>0</v>
      </c>
      <c r="AY491" s="453">
        <v>0</v>
      </c>
      <c r="AZ491" s="453">
        <v>0</v>
      </c>
      <c r="BA491" s="453">
        <v>0</v>
      </c>
      <c r="BB491" s="453">
        <v>0</v>
      </c>
      <c r="BC491" s="453">
        <v>0</v>
      </c>
      <c r="BD491" s="453">
        <v>0</v>
      </c>
      <c r="BE491" s="105">
        <v>0</v>
      </c>
      <c r="BF491" s="453">
        <v>0</v>
      </c>
      <c r="BG491" s="453">
        <v>0</v>
      </c>
      <c r="BH491" s="105">
        <v>0</v>
      </c>
      <c r="BI491" s="453">
        <v>0</v>
      </c>
      <c r="BJ491" s="453">
        <v>0</v>
      </c>
      <c r="BK491" s="105">
        <v>0</v>
      </c>
      <c r="BL491" s="453">
        <v>0</v>
      </c>
      <c r="BM491" s="453">
        <v>0</v>
      </c>
      <c r="BN491" s="453">
        <v>0</v>
      </c>
      <c r="BO491" s="453">
        <v>0</v>
      </c>
      <c r="BP491" s="453">
        <v>0</v>
      </c>
      <c r="BQ491" s="453">
        <v>0</v>
      </c>
      <c r="BR491" s="14">
        <v>0</v>
      </c>
      <c r="BS491" s="14">
        <v>0</v>
      </c>
      <c r="BT491" s="377" t="str">
        <v/>
      </c>
      <c r="BU491" s="105" t="str">
        <v/>
      </c>
      <c r="BV491" s="453" t="str">
        <v/>
      </c>
      <c r="BW491" s="105" t="str">
        <f ca="1"/>
        <v/>
      </c>
    </row>
    <row r="492" spans="1:75" x14ac:dyDescent="0.3">
      <c r="A492" s="1">
        <v>0</v>
      </c>
      <c r="B492" s="106">
        <v>0</v>
      </c>
      <c r="C492" s="14">
        <v>0</v>
      </c>
      <c r="D492" s="14">
        <v>0</v>
      </c>
      <c r="E492" s="14">
        <v>0</v>
      </c>
      <c r="F492" s="453">
        <v>0</v>
      </c>
      <c r="G492" s="377">
        <v>0</v>
      </c>
      <c r="H492" s="453">
        <v>0</v>
      </c>
      <c r="I492" s="453">
        <v>0</v>
      </c>
      <c r="J492" s="453">
        <v>0</v>
      </c>
      <c r="K492" s="453">
        <v>0</v>
      </c>
      <c r="L492" s="453">
        <v>0</v>
      </c>
      <c r="M492" s="453">
        <v>0</v>
      </c>
      <c r="N492" s="453">
        <v>0</v>
      </c>
      <c r="O492" s="453">
        <v>0</v>
      </c>
      <c r="P492" s="14">
        <v>0</v>
      </c>
      <c r="Q492" s="14">
        <v>0</v>
      </c>
      <c r="R492" s="453">
        <v>0</v>
      </c>
      <c r="S492" s="453">
        <v>0</v>
      </c>
      <c r="T492" s="453">
        <v>0</v>
      </c>
      <c r="U492" s="453">
        <v>0</v>
      </c>
      <c r="V492" s="453">
        <v>0</v>
      </c>
      <c r="W492" s="453">
        <v>0</v>
      </c>
      <c r="X492" s="453">
        <v>0</v>
      </c>
      <c r="Y492" s="453">
        <v>0</v>
      </c>
      <c r="Z492" s="453">
        <v>0</v>
      </c>
      <c r="AA492" s="14">
        <v>0</v>
      </c>
      <c r="AB492" s="14">
        <v>0</v>
      </c>
      <c r="AC492" s="453">
        <v>0</v>
      </c>
      <c r="AD492" s="14">
        <v>0</v>
      </c>
      <c r="AE492" s="14">
        <v>0</v>
      </c>
      <c r="AF492" s="14">
        <v>0</v>
      </c>
      <c r="AG492" s="14">
        <v>0</v>
      </c>
      <c r="AH492" s="14">
        <v>0</v>
      </c>
      <c r="AI492" s="14">
        <v>0</v>
      </c>
      <c r="AJ492" s="14">
        <v>0</v>
      </c>
      <c r="AK492" s="14">
        <v>0</v>
      </c>
      <c r="AL492" s="14">
        <v>0</v>
      </c>
      <c r="AM492" s="453">
        <v>0</v>
      </c>
      <c r="AN492" s="453">
        <v>0</v>
      </c>
      <c r="AO492" s="453">
        <v>0</v>
      </c>
      <c r="AP492" s="453">
        <v>0</v>
      </c>
      <c r="AQ492" s="453">
        <v>0</v>
      </c>
      <c r="AR492" s="453">
        <v>0</v>
      </c>
      <c r="AS492" s="453">
        <v>0</v>
      </c>
      <c r="AT492" s="453">
        <v>0</v>
      </c>
      <c r="AU492" s="453">
        <v>0</v>
      </c>
      <c r="AV492" s="453">
        <v>0</v>
      </c>
      <c r="AW492" s="453">
        <v>0</v>
      </c>
      <c r="AX492" s="453">
        <v>0</v>
      </c>
      <c r="AY492" s="453">
        <v>0</v>
      </c>
      <c r="AZ492" s="453">
        <v>0</v>
      </c>
      <c r="BA492" s="453">
        <v>0</v>
      </c>
      <c r="BB492" s="453">
        <v>0</v>
      </c>
      <c r="BC492" s="453">
        <v>0</v>
      </c>
      <c r="BD492" s="453">
        <v>0</v>
      </c>
      <c r="BE492" s="105">
        <v>0</v>
      </c>
      <c r="BF492" s="453">
        <v>0</v>
      </c>
      <c r="BG492" s="453">
        <v>0</v>
      </c>
      <c r="BH492" s="105">
        <v>0</v>
      </c>
      <c r="BI492" s="453">
        <v>0</v>
      </c>
      <c r="BJ492" s="453">
        <v>0</v>
      </c>
      <c r="BK492" s="105">
        <v>0</v>
      </c>
      <c r="BL492" s="453">
        <v>0</v>
      </c>
      <c r="BM492" s="453">
        <v>0</v>
      </c>
      <c r="BN492" s="453">
        <v>0</v>
      </c>
      <c r="BO492" s="453">
        <v>0</v>
      </c>
      <c r="BP492" s="453">
        <v>0</v>
      </c>
      <c r="BQ492" s="453">
        <v>0</v>
      </c>
      <c r="BR492" s="14">
        <v>0</v>
      </c>
      <c r="BS492" s="14">
        <v>0</v>
      </c>
      <c r="BT492" s="377" t="str">
        <v/>
      </c>
      <c r="BU492" s="105" t="str">
        <v/>
      </c>
      <c r="BV492" s="453" t="str">
        <v/>
      </c>
      <c r="BW492" s="105" t="str">
        <f ca="1"/>
        <v/>
      </c>
    </row>
    <row r="493" spans="1:75" x14ac:dyDescent="0.3">
      <c r="A493" s="1">
        <v>0</v>
      </c>
      <c r="B493" s="106">
        <v>0</v>
      </c>
      <c r="C493" s="14">
        <v>0</v>
      </c>
      <c r="D493" s="14">
        <v>0</v>
      </c>
      <c r="E493" s="14">
        <v>0</v>
      </c>
      <c r="F493" s="453">
        <v>0</v>
      </c>
      <c r="G493" s="377">
        <v>0</v>
      </c>
      <c r="H493" s="453">
        <v>0</v>
      </c>
      <c r="I493" s="453">
        <v>0</v>
      </c>
      <c r="J493" s="453">
        <v>0</v>
      </c>
      <c r="K493" s="453">
        <v>0</v>
      </c>
      <c r="L493" s="453">
        <v>0</v>
      </c>
      <c r="M493" s="453">
        <v>0</v>
      </c>
      <c r="N493" s="453">
        <v>0</v>
      </c>
      <c r="O493" s="453">
        <v>0</v>
      </c>
      <c r="P493" s="14">
        <v>0</v>
      </c>
      <c r="Q493" s="14">
        <v>0</v>
      </c>
      <c r="R493" s="453">
        <v>0</v>
      </c>
      <c r="S493" s="453">
        <v>0</v>
      </c>
      <c r="T493" s="453">
        <v>0</v>
      </c>
      <c r="U493" s="453">
        <v>0</v>
      </c>
      <c r="V493" s="453">
        <v>0</v>
      </c>
      <c r="W493" s="453">
        <v>0</v>
      </c>
      <c r="X493" s="453">
        <v>0</v>
      </c>
      <c r="Y493" s="453">
        <v>0</v>
      </c>
      <c r="Z493" s="453">
        <v>0</v>
      </c>
      <c r="AA493" s="14">
        <v>0</v>
      </c>
      <c r="AB493" s="14">
        <v>0</v>
      </c>
      <c r="AC493" s="453">
        <v>0</v>
      </c>
      <c r="AD493" s="14">
        <v>0</v>
      </c>
      <c r="AE493" s="14">
        <v>0</v>
      </c>
      <c r="AF493" s="14">
        <v>0</v>
      </c>
      <c r="AG493" s="14">
        <v>0</v>
      </c>
      <c r="AH493" s="14">
        <v>0</v>
      </c>
      <c r="AI493" s="14">
        <v>0</v>
      </c>
      <c r="AJ493" s="14">
        <v>0</v>
      </c>
      <c r="AK493" s="14">
        <v>0</v>
      </c>
      <c r="AL493" s="14">
        <v>0</v>
      </c>
      <c r="AM493" s="453">
        <v>0</v>
      </c>
      <c r="AN493" s="453">
        <v>0</v>
      </c>
      <c r="AO493" s="453">
        <v>0</v>
      </c>
      <c r="AP493" s="453">
        <v>0</v>
      </c>
      <c r="AQ493" s="453">
        <v>0</v>
      </c>
      <c r="AR493" s="453">
        <v>0</v>
      </c>
      <c r="AS493" s="453">
        <v>0</v>
      </c>
      <c r="AT493" s="453">
        <v>0</v>
      </c>
      <c r="AU493" s="453">
        <v>0</v>
      </c>
      <c r="AV493" s="453">
        <v>0</v>
      </c>
      <c r="AW493" s="453">
        <v>0</v>
      </c>
      <c r="AX493" s="453">
        <v>0</v>
      </c>
      <c r="AY493" s="453">
        <v>0</v>
      </c>
      <c r="AZ493" s="453">
        <v>0</v>
      </c>
      <c r="BA493" s="453">
        <v>0</v>
      </c>
      <c r="BB493" s="453">
        <v>0</v>
      </c>
      <c r="BC493" s="453">
        <v>0</v>
      </c>
      <c r="BD493" s="453">
        <v>0</v>
      </c>
      <c r="BE493" s="105">
        <v>0</v>
      </c>
      <c r="BF493" s="453">
        <v>0</v>
      </c>
      <c r="BG493" s="453">
        <v>0</v>
      </c>
      <c r="BH493" s="105">
        <v>0</v>
      </c>
      <c r="BI493" s="453">
        <v>0</v>
      </c>
      <c r="BJ493" s="453">
        <v>0</v>
      </c>
      <c r="BK493" s="105">
        <v>0</v>
      </c>
      <c r="BL493" s="453">
        <v>0</v>
      </c>
      <c r="BM493" s="453">
        <v>0</v>
      </c>
      <c r="BN493" s="453">
        <v>0</v>
      </c>
      <c r="BO493" s="453">
        <v>0</v>
      </c>
      <c r="BP493" s="453">
        <v>0</v>
      </c>
      <c r="BQ493" s="453">
        <v>0</v>
      </c>
      <c r="BR493" s="14">
        <v>0</v>
      </c>
      <c r="BS493" s="14">
        <v>0</v>
      </c>
      <c r="BT493" s="377" t="str">
        <v/>
      </c>
      <c r="BU493" s="105" t="str">
        <v/>
      </c>
      <c r="BV493" s="453" t="str">
        <v/>
      </c>
      <c r="BW493" s="105" t="str">
        <f ca="1"/>
        <v/>
      </c>
    </row>
    <row r="494" spans="1:75" x14ac:dyDescent="0.3">
      <c r="A494" s="1">
        <v>0</v>
      </c>
      <c r="B494" s="106">
        <v>0</v>
      </c>
      <c r="C494" s="14">
        <v>0</v>
      </c>
      <c r="D494" s="14">
        <v>0</v>
      </c>
      <c r="E494" s="14">
        <v>0</v>
      </c>
      <c r="F494" s="453">
        <v>0</v>
      </c>
      <c r="G494" s="377">
        <v>0</v>
      </c>
      <c r="H494" s="453">
        <v>0</v>
      </c>
      <c r="I494" s="453">
        <v>0</v>
      </c>
      <c r="J494" s="453">
        <v>0</v>
      </c>
      <c r="K494" s="453">
        <v>0</v>
      </c>
      <c r="L494" s="453">
        <v>0</v>
      </c>
      <c r="M494" s="453">
        <v>0</v>
      </c>
      <c r="N494" s="453">
        <v>0</v>
      </c>
      <c r="O494" s="453">
        <v>0</v>
      </c>
      <c r="P494" s="14">
        <v>0</v>
      </c>
      <c r="Q494" s="14">
        <v>0</v>
      </c>
      <c r="R494" s="453">
        <v>0</v>
      </c>
      <c r="S494" s="453">
        <v>0</v>
      </c>
      <c r="T494" s="453">
        <v>0</v>
      </c>
      <c r="U494" s="453">
        <v>0</v>
      </c>
      <c r="V494" s="453">
        <v>0</v>
      </c>
      <c r="W494" s="453">
        <v>0</v>
      </c>
      <c r="X494" s="453">
        <v>0</v>
      </c>
      <c r="Y494" s="453">
        <v>0</v>
      </c>
      <c r="Z494" s="453">
        <v>0</v>
      </c>
      <c r="AA494" s="14">
        <v>0</v>
      </c>
      <c r="AB494" s="14">
        <v>0</v>
      </c>
      <c r="AC494" s="453">
        <v>0</v>
      </c>
      <c r="AD494" s="14">
        <v>0</v>
      </c>
      <c r="AE494" s="14">
        <v>0</v>
      </c>
      <c r="AF494" s="14">
        <v>0</v>
      </c>
      <c r="AG494" s="14">
        <v>0</v>
      </c>
      <c r="AH494" s="14">
        <v>0</v>
      </c>
      <c r="AI494" s="14">
        <v>0</v>
      </c>
      <c r="AJ494" s="14">
        <v>0</v>
      </c>
      <c r="AK494" s="14">
        <v>0</v>
      </c>
      <c r="AL494" s="14">
        <v>0</v>
      </c>
      <c r="AM494" s="453">
        <v>0</v>
      </c>
      <c r="AN494" s="453">
        <v>0</v>
      </c>
      <c r="AO494" s="453">
        <v>0</v>
      </c>
      <c r="AP494" s="453">
        <v>0</v>
      </c>
      <c r="AQ494" s="453">
        <v>0</v>
      </c>
      <c r="AR494" s="453">
        <v>0</v>
      </c>
      <c r="AS494" s="453">
        <v>0</v>
      </c>
      <c r="AT494" s="453">
        <v>0</v>
      </c>
      <c r="AU494" s="453">
        <v>0</v>
      </c>
      <c r="AV494" s="453">
        <v>0</v>
      </c>
      <c r="AW494" s="453">
        <v>0</v>
      </c>
      <c r="AX494" s="453">
        <v>0</v>
      </c>
      <c r="AY494" s="453">
        <v>0</v>
      </c>
      <c r="AZ494" s="453">
        <v>0</v>
      </c>
      <c r="BA494" s="453">
        <v>0</v>
      </c>
      <c r="BB494" s="453">
        <v>0</v>
      </c>
      <c r="BC494" s="453">
        <v>0</v>
      </c>
      <c r="BD494" s="453">
        <v>0</v>
      </c>
      <c r="BE494" s="105">
        <v>0</v>
      </c>
      <c r="BF494" s="453">
        <v>0</v>
      </c>
      <c r="BG494" s="453">
        <v>0</v>
      </c>
      <c r="BH494" s="105">
        <v>0</v>
      </c>
      <c r="BI494" s="453">
        <v>0</v>
      </c>
      <c r="BJ494" s="453">
        <v>0</v>
      </c>
      <c r="BK494" s="105">
        <v>0</v>
      </c>
      <c r="BL494" s="453">
        <v>0</v>
      </c>
      <c r="BM494" s="453">
        <v>0</v>
      </c>
      <c r="BN494" s="453">
        <v>0</v>
      </c>
      <c r="BO494" s="453">
        <v>0</v>
      </c>
      <c r="BP494" s="453">
        <v>0</v>
      </c>
      <c r="BQ494" s="453">
        <v>0</v>
      </c>
      <c r="BR494" s="14">
        <v>0</v>
      </c>
      <c r="BS494" s="14">
        <v>0</v>
      </c>
      <c r="BT494" s="377" t="str">
        <v/>
      </c>
      <c r="BU494" s="105" t="str">
        <v/>
      </c>
      <c r="BV494" s="453" t="str">
        <v/>
      </c>
      <c r="BW494" s="105" t="str">
        <f ca="1"/>
        <v/>
      </c>
    </row>
    <row r="495" spans="1:75" x14ac:dyDescent="0.3">
      <c r="A495" s="1">
        <v>0</v>
      </c>
      <c r="B495" s="106">
        <v>0</v>
      </c>
      <c r="C495" s="14">
        <v>0</v>
      </c>
      <c r="D495" s="14">
        <v>0</v>
      </c>
      <c r="E495" s="14">
        <v>0</v>
      </c>
      <c r="F495" s="453">
        <v>0</v>
      </c>
      <c r="G495" s="377">
        <v>0</v>
      </c>
      <c r="H495" s="453">
        <v>0</v>
      </c>
      <c r="I495" s="453">
        <v>0</v>
      </c>
      <c r="J495" s="453">
        <v>0</v>
      </c>
      <c r="K495" s="453">
        <v>0</v>
      </c>
      <c r="L495" s="453">
        <v>0</v>
      </c>
      <c r="M495" s="453">
        <v>0</v>
      </c>
      <c r="N495" s="453">
        <v>0</v>
      </c>
      <c r="O495" s="453">
        <v>0</v>
      </c>
      <c r="P495" s="14">
        <v>0</v>
      </c>
      <c r="Q495" s="14">
        <v>0</v>
      </c>
      <c r="R495" s="453">
        <v>0</v>
      </c>
      <c r="S495" s="453">
        <v>0</v>
      </c>
      <c r="T495" s="453">
        <v>0</v>
      </c>
      <c r="U495" s="453">
        <v>0</v>
      </c>
      <c r="V495" s="453">
        <v>0</v>
      </c>
      <c r="W495" s="453">
        <v>0</v>
      </c>
      <c r="X495" s="453">
        <v>0</v>
      </c>
      <c r="Y495" s="453">
        <v>0</v>
      </c>
      <c r="Z495" s="453">
        <v>0</v>
      </c>
      <c r="AA495" s="14">
        <v>0</v>
      </c>
      <c r="AB495" s="14">
        <v>0</v>
      </c>
      <c r="AC495" s="453">
        <v>0</v>
      </c>
      <c r="AD495" s="14">
        <v>0</v>
      </c>
      <c r="AE495" s="14">
        <v>0</v>
      </c>
      <c r="AF495" s="14">
        <v>0</v>
      </c>
      <c r="AG495" s="14">
        <v>0</v>
      </c>
      <c r="AH495" s="14">
        <v>0</v>
      </c>
      <c r="AI495" s="14">
        <v>0</v>
      </c>
      <c r="AJ495" s="14">
        <v>0</v>
      </c>
      <c r="AK495" s="14">
        <v>0</v>
      </c>
      <c r="AL495" s="14">
        <v>0</v>
      </c>
      <c r="AM495" s="453">
        <v>0</v>
      </c>
      <c r="AN495" s="453">
        <v>0</v>
      </c>
      <c r="AO495" s="453">
        <v>0</v>
      </c>
      <c r="AP495" s="453">
        <v>0</v>
      </c>
      <c r="AQ495" s="453">
        <v>0</v>
      </c>
      <c r="AR495" s="453">
        <v>0</v>
      </c>
      <c r="AS495" s="453">
        <v>0</v>
      </c>
      <c r="AT495" s="453">
        <v>0</v>
      </c>
      <c r="AU495" s="453">
        <v>0</v>
      </c>
      <c r="AV495" s="453">
        <v>0</v>
      </c>
      <c r="AW495" s="453">
        <v>0</v>
      </c>
      <c r="AX495" s="453">
        <v>0</v>
      </c>
      <c r="AY495" s="453">
        <v>0</v>
      </c>
      <c r="AZ495" s="453">
        <v>0</v>
      </c>
      <c r="BA495" s="453">
        <v>0</v>
      </c>
      <c r="BB495" s="453">
        <v>0</v>
      </c>
      <c r="BC495" s="453">
        <v>0</v>
      </c>
      <c r="BD495" s="453">
        <v>0</v>
      </c>
      <c r="BE495" s="105">
        <v>0</v>
      </c>
      <c r="BF495" s="453">
        <v>0</v>
      </c>
      <c r="BG495" s="453">
        <v>0</v>
      </c>
      <c r="BH495" s="105">
        <v>0</v>
      </c>
      <c r="BI495" s="453">
        <v>0</v>
      </c>
      <c r="BJ495" s="453">
        <v>0</v>
      </c>
      <c r="BK495" s="105">
        <v>0</v>
      </c>
      <c r="BL495" s="453">
        <v>0</v>
      </c>
      <c r="BM495" s="453">
        <v>0</v>
      </c>
      <c r="BN495" s="453">
        <v>0</v>
      </c>
      <c r="BO495" s="453">
        <v>0</v>
      </c>
      <c r="BP495" s="453">
        <v>0</v>
      </c>
      <c r="BQ495" s="453">
        <v>0</v>
      </c>
      <c r="BR495" s="14">
        <v>0</v>
      </c>
      <c r="BS495" s="14">
        <v>0</v>
      </c>
      <c r="BT495" s="377" t="str">
        <v/>
      </c>
      <c r="BU495" s="105" t="str">
        <v/>
      </c>
      <c r="BV495" s="453" t="str">
        <v/>
      </c>
      <c r="BW495" s="105" t="str">
        <f ca="1"/>
        <v/>
      </c>
    </row>
    <row r="496" spans="1:75" x14ac:dyDescent="0.3">
      <c r="A496" s="1">
        <v>0</v>
      </c>
      <c r="B496" s="106">
        <v>0</v>
      </c>
      <c r="C496" s="14">
        <v>0</v>
      </c>
      <c r="D496" s="14">
        <v>0</v>
      </c>
      <c r="E496" s="14">
        <v>0</v>
      </c>
      <c r="F496" s="453">
        <v>0</v>
      </c>
      <c r="G496" s="377">
        <v>0</v>
      </c>
      <c r="H496" s="453">
        <v>0</v>
      </c>
      <c r="I496" s="453">
        <v>0</v>
      </c>
      <c r="J496" s="453">
        <v>0</v>
      </c>
      <c r="K496" s="453">
        <v>0</v>
      </c>
      <c r="L496" s="453">
        <v>0</v>
      </c>
      <c r="M496" s="453">
        <v>0</v>
      </c>
      <c r="N496" s="453">
        <v>0</v>
      </c>
      <c r="O496" s="453">
        <v>0</v>
      </c>
      <c r="P496" s="14">
        <v>0</v>
      </c>
      <c r="Q496" s="14">
        <v>0</v>
      </c>
      <c r="R496" s="453">
        <v>0</v>
      </c>
      <c r="S496" s="453">
        <v>0</v>
      </c>
      <c r="T496" s="453">
        <v>0</v>
      </c>
      <c r="U496" s="453">
        <v>0</v>
      </c>
      <c r="V496" s="453">
        <v>0</v>
      </c>
      <c r="W496" s="453">
        <v>0</v>
      </c>
      <c r="X496" s="453">
        <v>0</v>
      </c>
      <c r="Y496" s="453">
        <v>0</v>
      </c>
      <c r="Z496" s="453">
        <v>0</v>
      </c>
      <c r="AA496" s="14">
        <v>0</v>
      </c>
      <c r="AB496" s="14">
        <v>0</v>
      </c>
      <c r="AC496" s="453">
        <v>0</v>
      </c>
      <c r="AD496" s="14">
        <v>0</v>
      </c>
      <c r="AE496" s="14">
        <v>0</v>
      </c>
      <c r="AF496" s="14">
        <v>0</v>
      </c>
      <c r="AG496" s="14">
        <v>0</v>
      </c>
      <c r="AH496" s="14">
        <v>0</v>
      </c>
      <c r="AI496" s="14">
        <v>0</v>
      </c>
      <c r="AJ496" s="14">
        <v>0</v>
      </c>
      <c r="AK496" s="14">
        <v>0</v>
      </c>
      <c r="AL496" s="14">
        <v>0</v>
      </c>
      <c r="AM496" s="453">
        <v>0</v>
      </c>
      <c r="AN496" s="453">
        <v>0</v>
      </c>
      <c r="AO496" s="453">
        <v>0</v>
      </c>
      <c r="AP496" s="453">
        <v>0</v>
      </c>
      <c r="AQ496" s="453">
        <v>0</v>
      </c>
      <c r="AR496" s="453">
        <v>0</v>
      </c>
      <c r="AS496" s="453">
        <v>0</v>
      </c>
      <c r="AT496" s="453">
        <v>0</v>
      </c>
      <c r="AU496" s="453">
        <v>0</v>
      </c>
      <c r="AV496" s="453">
        <v>0</v>
      </c>
      <c r="AW496" s="453">
        <v>0</v>
      </c>
      <c r="AX496" s="453">
        <v>0</v>
      </c>
      <c r="AY496" s="453">
        <v>0</v>
      </c>
      <c r="AZ496" s="453">
        <v>0</v>
      </c>
      <c r="BA496" s="453">
        <v>0</v>
      </c>
      <c r="BB496" s="453">
        <v>0</v>
      </c>
      <c r="BC496" s="453">
        <v>0</v>
      </c>
      <c r="BD496" s="453">
        <v>0</v>
      </c>
      <c r="BE496" s="105">
        <v>0</v>
      </c>
      <c r="BF496" s="453">
        <v>0</v>
      </c>
      <c r="BG496" s="453">
        <v>0</v>
      </c>
      <c r="BH496" s="105">
        <v>0</v>
      </c>
      <c r="BI496" s="453">
        <v>0</v>
      </c>
      <c r="BJ496" s="453">
        <v>0</v>
      </c>
      <c r="BK496" s="105">
        <v>0</v>
      </c>
      <c r="BL496" s="453">
        <v>0</v>
      </c>
      <c r="BM496" s="453">
        <v>0</v>
      </c>
      <c r="BN496" s="453">
        <v>0</v>
      </c>
      <c r="BO496" s="453">
        <v>0</v>
      </c>
      <c r="BP496" s="453">
        <v>0</v>
      </c>
      <c r="BQ496" s="453">
        <v>0</v>
      </c>
      <c r="BR496" s="14">
        <v>0</v>
      </c>
      <c r="BS496" s="14">
        <v>0</v>
      </c>
      <c r="BT496" s="377" t="str">
        <v/>
      </c>
      <c r="BU496" s="105" t="str">
        <v/>
      </c>
      <c r="BV496" s="453" t="str">
        <v/>
      </c>
      <c r="BW496" s="105" t="str">
        <f ca="1"/>
        <v/>
      </c>
    </row>
    <row r="497" spans="1:75" x14ac:dyDescent="0.3">
      <c r="A497" s="1">
        <v>0</v>
      </c>
      <c r="B497" s="106">
        <v>0</v>
      </c>
      <c r="C497" s="14">
        <v>0</v>
      </c>
      <c r="D497" s="14">
        <v>0</v>
      </c>
      <c r="E497" s="14">
        <v>0</v>
      </c>
      <c r="F497" s="453">
        <v>0</v>
      </c>
      <c r="G497" s="377">
        <v>0</v>
      </c>
      <c r="H497" s="453">
        <v>0</v>
      </c>
      <c r="I497" s="453">
        <v>0</v>
      </c>
      <c r="J497" s="453">
        <v>0</v>
      </c>
      <c r="K497" s="453">
        <v>0</v>
      </c>
      <c r="L497" s="453">
        <v>0</v>
      </c>
      <c r="M497" s="453">
        <v>0</v>
      </c>
      <c r="N497" s="453">
        <v>0</v>
      </c>
      <c r="O497" s="453">
        <v>0</v>
      </c>
      <c r="P497" s="14">
        <v>0</v>
      </c>
      <c r="Q497" s="14">
        <v>0</v>
      </c>
      <c r="R497" s="453">
        <v>0</v>
      </c>
      <c r="S497" s="453">
        <v>0</v>
      </c>
      <c r="T497" s="453">
        <v>0</v>
      </c>
      <c r="U497" s="453">
        <v>0</v>
      </c>
      <c r="V497" s="453">
        <v>0</v>
      </c>
      <c r="W497" s="453">
        <v>0</v>
      </c>
      <c r="X497" s="453">
        <v>0</v>
      </c>
      <c r="Y497" s="453">
        <v>0</v>
      </c>
      <c r="Z497" s="453">
        <v>0</v>
      </c>
      <c r="AA497" s="14">
        <v>0</v>
      </c>
      <c r="AB497" s="14">
        <v>0</v>
      </c>
      <c r="AC497" s="453">
        <v>0</v>
      </c>
      <c r="AD497" s="14">
        <v>0</v>
      </c>
      <c r="AE497" s="14">
        <v>0</v>
      </c>
      <c r="AF497" s="14">
        <v>0</v>
      </c>
      <c r="AG497" s="14">
        <v>0</v>
      </c>
      <c r="AH497" s="14">
        <v>0</v>
      </c>
      <c r="AI497" s="14">
        <v>0</v>
      </c>
      <c r="AJ497" s="14">
        <v>0</v>
      </c>
      <c r="AK497" s="14">
        <v>0</v>
      </c>
      <c r="AL497" s="14">
        <v>0</v>
      </c>
      <c r="AM497" s="453">
        <v>0</v>
      </c>
      <c r="AN497" s="453">
        <v>0</v>
      </c>
      <c r="AO497" s="453">
        <v>0</v>
      </c>
      <c r="AP497" s="453">
        <v>0</v>
      </c>
      <c r="AQ497" s="453">
        <v>0</v>
      </c>
      <c r="AR497" s="453">
        <v>0</v>
      </c>
      <c r="AS497" s="453">
        <v>0</v>
      </c>
      <c r="AT497" s="453">
        <v>0</v>
      </c>
      <c r="AU497" s="453">
        <v>0</v>
      </c>
      <c r="AV497" s="453">
        <v>0</v>
      </c>
      <c r="AW497" s="453">
        <v>0</v>
      </c>
      <c r="AX497" s="453">
        <v>0</v>
      </c>
      <c r="AY497" s="453">
        <v>0</v>
      </c>
      <c r="AZ497" s="453">
        <v>0</v>
      </c>
      <c r="BA497" s="453">
        <v>0</v>
      </c>
      <c r="BB497" s="453">
        <v>0</v>
      </c>
      <c r="BC497" s="453">
        <v>0</v>
      </c>
      <c r="BD497" s="453">
        <v>0</v>
      </c>
      <c r="BE497" s="105">
        <v>0</v>
      </c>
      <c r="BF497" s="453">
        <v>0</v>
      </c>
      <c r="BG497" s="453">
        <v>0</v>
      </c>
      <c r="BH497" s="105">
        <v>0</v>
      </c>
      <c r="BI497" s="453">
        <v>0</v>
      </c>
      <c r="BJ497" s="453">
        <v>0</v>
      </c>
      <c r="BK497" s="105">
        <v>0</v>
      </c>
      <c r="BL497" s="453">
        <v>0</v>
      </c>
      <c r="BM497" s="453">
        <v>0</v>
      </c>
      <c r="BN497" s="453">
        <v>0</v>
      </c>
      <c r="BO497" s="453">
        <v>0</v>
      </c>
      <c r="BP497" s="453">
        <v>0</v>
      </c>
      <c r="BQ497" s="453">
        <v>0</v>
      </c>
      <c r="BR497" s="14">
        <v>0</v>
      </c>
      <c r="BS497" s="14">
        <v>0</v>
      </c>
      <c r="BT497" s="377" t="str">
        <v/>
      </c>
      <c r="BU497" s="105" t="str">
        <v/>
      </c>
      <c r="BV497" s="453" t="str">
        <v/>
      </c>
      <c r="BW497" s="105" t="str">
        <f ca="1"/>
        <v/>
      </c>
    </row>
    <row r="498" spans="1:75" x14ac:dyDescent="0.3">
      <c r="A498" s="1">
        <v>0</v>
      </c>
      <c r="B498" s="106">
        <v>0</v>
      </c>
      <c r="C498" s="14">
        <v>0</v>
      </c>
      <c r="D498" s="14">
        <v>0</v>
      </c>
      <c r="E498" s="14">
        <v>0</v>
      </c>
      <c r="F498" s="453">
        <v>0</v>
      </c>
      <c r="G498" s="377">
        <v>0</v>
      </c>
      <c r="H498" s="453">
        <v>0</v>
      </c>
      <c r="I498" s="453">
        <v>0</v>
      </c>
      <c r="J498" s="453">
        <v>0</v>
      </c>
      <c r="K498" s="453">
        <v>0</v>
      </c>
      <c r="L498" s="453">
        <v>0</v>
      </c>
      <c r="M498" s="453">
        <v>0</v>
      </c>
      <c r="N498" s="453">
        <v>0</v>
      </c>
      <c r="O498" s="453">
        <v>0</v>
      </c>
      <c r="P498" s="14">
        <v>0</v>
      </c>
      <c r="Q498" s="14">
        <v>0</v>
      </c>
      <c r="R498" s="453">
        <v>0</v>
      </c>
      <c r="S498" s="453">
        <v>0</v>
      </c>
      <c r="T498" s="453">
        <v>0</v>
      </c>
      <c r="U498" s="453">
        <v>0</v>
      </c>
      <c r="V498" s="453">
        <v>0</v>
      </c>
      <c r="W498" s="453">
        <v>0</v>
      </c>
      <c r="X498" s="453">
        <v>0</v>
      </c>
      <c r="Y498" s="453">
        <v>0</v>
      </c>
      <c r="Z498" s="453">
        <v>0</v>
      </c>
      <c r="AA498" s="14">
        <v>0</v>
      </c>
      <c r="AB498" s="14">
        <v>0</v>
      </c>
      <c r="AC498" s="453">
        <v>0</v>
      </c>
      <c r="AD498" s="14">
        <v>0</v>
      </c>
      <c r="AE498" s="14">
        <v>0</v>
      </c>
      <c r="AF498" s="14">
        <v>0</v>
      </c>
      <c r="AG498" s="14">
        <v>0</v>
      </c>
      <c r="AH498" s="14">
        <v>0</v>
      </c>
      <c r="AI498" s="14">
        <v>0</v>
      </c>
      <c r="AJ498" s="14">
        <v>0</v>
      </c>
      <c r="AK498" s="14">
        <v>0</v>
      </c>
      <c r="AL498" s="14">
        <v>0</v>
      </c>
      <c r="AM498" s="453">
        <v>0</v>
      </c>
      <c r="AN498" s="453">
        <v>0</v>
      </c>
      <c r="AO498" s="453">
        <v>0</v>
      </c>
      <c r="AP498" s="453">
        <v>0</v>
      </c>
      <c r="AQ498" s="453">
        <v>0</v>
      </c>
      <c r="AR498" s="453">
        <v>0</v>
      </c>
      <c r="AS498" s="453">
        <v>0</v>
      </c>
      <c r="AT498" s="453">
        <v>0</v>
      </c>
      <c r="AU498" s="453">
        <v>0</v>
      </c>
      <c r="AV498" s="453">
        <v>0</v>
      </c>
      <c r="AW498" s="453">
        <v>0</v>
      </c>
      <c r="AX498" s="453">
        <v>0</v>
      </c>
      <c r="AY498" s="453">
        <v>0</v>
      </c>
      <c r="AZ498" s="453">
        <v>0</v>
      </c>
      <c r="BA498" s="453">
        <v>0</v>
      </c>
      <c r="BB498" s="453">
        <v>0</v>
      </c>
      <c r="BC498" s="453">
        <v>0</v>
      </c>
      <c r="BD498" s="453">
        <v>0</v>
      </c>
      <c r="BE498" s="105">
        <v>0</v>
      </c>
      <c r="BF498" s="453">
        <v>0</v>
      </c>
      <c r="BG498" s="453">
        <v>0</v>
      </c>
      <c r="BH498" s="105">
        <v>0</v>
      </c>
      <c r="BI498" s="453">
        <v>0</v>
      </c>
      <c r="BJ498" s="453">
        <v>0</v>
      </c>
      <c r="BK498" s="105">
        <v>0</v>
      </c>
      <c r="BL498" s="453">
        <v>0</v>
      </c>
      <c r="BM498" s="453">
        <v>0</v>
      </c>
      <c r="BN498" s="453">
        <v>0</v>
      </c>
      <c r="BO498" s="453">
        <v>0</v>
      </c>
      <c r="BP498" s="453">
        <v>0</v>
      </c>
      <c r="BQ498" s="453">
        <v>0</v>
      </c>
      <c r="BR498" s="14">
        <v>0</v>
      </c>
      <c r="BS498" s="14">
        <v>0</v>
      </c>
      <c r="BT498" s="377" t="str">
        <v/>
      </c>
      <c r="BU498" s="105" t="str">
        <v/>
      </c>
      <c r="BV498" s="453" t="str">
        <v/>
      </c>
      <c r="BW498" s="105" t="str">
        <f ca="1"/>
        <v/>
      </c>
    </row>
    <row r="499" spans="1:75" x14ac:dyDescent="0.3">
      <c r="A499" s="1">
        <v>0</v>
      </c>
      <c r="B499" s="106">
        <v>0</v>
      </c>
      <c r="C499" s="14">
        <v>0</v>
      </c>
      <c r="D499" s="14">
        <v>0</v>
      </c>
      <c r="E499" s="14">
        <v>0</v>
      </c>
      <c r="F499" s="453">
        <v>0</v>
      </c>
      <c r="G499" s="377">
        <v>0</v>
      </c>
      <c r="H499" s="453">
        <v>0</v>
      </c>
      <c r="I499" s="453">
        <v>0</v>
      </c>
      <c r="J499" s="453">
        <v>0</v>
      </c>
      <c r="K499" s="453">
        <v>0</v>
      </c>
      <c r="L499" s="453">
        <v>0</v>
      </c>
      <c r="M499" s="453">
        <v>0</v>
      </c>
      <c r="N499" s="453">
        <v>0</v>
      </c>
      <c r="O499" s="453">
        <v>0</v>
      </c>
      <c r="P499" s="14">
        <v>0</v>
      </c>
      <c r="Q499" s="14">
        <v>0</v>
      </c>
      <c r="R499" s="453">
        <v>0</v>
      </c>
      <c r="S499" s="453">
        <v>0</v>
      </c>
      <c r="T499" s="453">
        <v>0</v>
      </c>
      <c r="U499" s="453">
        <v>0</v>
      </c>
      <c r="V499" s="453">
        <v>0</v>
      </c>
      <c r="W499" s="453">
        <v>0</v>
      </c>
      <c r="X499" s="453">
        <v>0</v>
      </c>
      <c r="Y499" s="453">
        <v>0</v>
      </c>
      <c r="Z499" s="453">
        <v>0</v>
      </c>
      <c r="AA499" s="14">
        <v>0</v>
      </c>
      <c r="AB499" s="14">
        <v>0</v>
      </c>
      <c r="AC499" s="453">
        <v>0</v>
      </c>
      <c r="AD499" s="14">
        <v>0</v>
      </c>
      <c r="AE499" s="14">
        <v>0</v>
      </c>
      <c r="AF499" s="14">
        <v>0</v>
      </c>
      <c r="AG499" s="14">
        <v>0</v>
      </c>
      <c r="AH499" s="14">
        <v>0</v>
      </c>
      <c r="AI499" s="14">
        <v>0</v>
      </c>
      <c r="AJ499" s="14">
        <v>0</v>
      </c>
      <c r="AK499" s="14">
        <v>0</v>
      </c>
      <c r="AL499" s="14">
        <v>0</v>
      </c>
      <c r="AM499" s="453">
        <v>0</v>
      </c>
      <c r="AN499" s="453">
        <v>0</v>
      </c>
      <c r="AO499" s="453">
        <v>0</v>
      </c>
      <c r="AP499" s="453">
        <v>0</v>
      </c>
      <c r="AQ499" s="453">
        <v>0</v>
      </c>
      <c r="AR499" s="453">
        <v>0</v>
      </c>
      <c r="AS499" s="453">
        <v>0</v>
      </c>
      <c r="AT499" s="453">
        <v>0</v>
      </c>
      <c r="AU499" s="453">
        <v>0</v>
      </c>
      <c r="AV499" s="453">
        <v>0</v>
      </c>
      <c r="AW499" s="453">
        <v>0</v>
      </c>
      <c r="AX499" s="453">
        <v>0</v>
      </c>
      <c r="AY499" s="453">
        <v>0</v>
      </c>
      <c r="AZ499" s="453">
        <v>0</v>
      </c>
      <c r="BA499" s="453">
        <v>0</v>
      </c>
      <c r="BB499" s="453">
        <v>0</v>
      </c>
      <c r="BC499" s="453">
        <v>0</v>
      </c>
      <c r="BD499" s="453">
        <v>0</v>
      </c>
      <c r="BE499" s="105">
        <v>0</v>
      </c>
      <c r="BF499" s="453">
        <v>0</v>
      </c>
      <c r="BG499" s="453">
        <v>0</v>
      </c>
      <c r="BH499" s="105">
        <v>0</v>
      </c>
      <c r="BI499" s="453">
        <v>0</v>
      </c>
      <c r="BJ499" s="453">
        <v>0</v>
      </c>
      <c r="BK499" s="105">
        <v>0</v>
      </c>
      <c r="BL499" s="453">
        <v>0</v>
      </c>
      <c r="BM499" s="453">
        <v>0</v>
      </c>
      <c r="BN499" s="453">
        <v>0</v>
      </c>
      <c r="BO499" s="453">
        <v>0</v>
      </c>
      <c r="BP499" s="453">
        <v>0</v>
      </c>
      <c r="BQ499" s="453">
        <v>0</v>
      </c>
      <c r="BR499" s="14">
        <v>0</v>
      </c>
      <c r="BS499" s="14">
        <v>0</v>
      </c>
      <c r="BT499" s="377" t="str">
        <v/>
      </c>
      <c r="BU499" s="105" t="str">
        <v/>
      </c>
      <c r="BV499" s="453" t="str">
        <v/>
      </c>
      <c r="BW499" s="105" t="str">
        <f ca="1"/>
        <v/>
      </c>
    </row>
    <row r="500" spans="1:75" x14ac:dyDescent="0.3">
      <c r="A500" s="1">
        <v>0</v>
      </c>
      <c r="B500" s="106">
        <v>0</v>
      </c>
      <c r="C500" s="14">
        <v>0</v>
      </c>
      <c r="D500" s="14">
        <v>0</v>
      </c>
      <c r="E500" s="14">
        <v>0</v>
      </c>
      <c r="F500" s="453">
        <v>0</v>
      </c>
      <c r="G500" s="377">
        <v>0</v>
      </c>
      <c r="H500" s="453">
        <v>0</v>
      </c>
      <c r="I500" s="453">
        <v>0</v>
      </c>
      <c r="J500" s="453">
        <v>0</v>
      </c>
      <c r="K500" s="453">
        <v>0</v>
      </c>
      <c r="L500" s="453">
        <v>0</v>
      </c>
      <c r="M500" s="453">
        <v>0</v>
      </c>
      <c r="N500" s="453">
        <v>0</v>
      </c>
      <c r="O500" s="453">
        <v>0</v>
      </c>
      <c r="P500" s="14">
        <v>0</v>
      </c>
      <c r="Q500" s="14">
        <v>0</v>
      </c>
      <c r="R500" s="453">
        <v>0</v>
      </c>
      <c r="S500" s="453">
        <v>0</v>
      </c>
      <c r="T500" s="453">
        <v>0</v>
      </c>
      <c r="U500" s="453">
        <v>0</v>
      </c>
      <c r="V500" s="453">
        <v>0</v>
      </c>
      <c r="W500" s="453">
        <v>0</v>
      </c>
      <c r="X500" s="453">
        <v>0</v>
      </c>
      <c r="Y500" s="453">
        <v>0</v>
      </c>
      <c r="Z500" s="453">
        <v>0</v>
      </c>
      <c r="AA500" s="14">
        <v>0</v>
      </c>
      <c r="AB500" s="14">
        <v>0</v>
      </c>
      <c r="AC500" s="453">
        <v>0</v>
      </c>
      <c r="AD500" s="14">
        <v>0</v>
      </c>
      <c r="AE500" s="14">
        <v>0</v>
      </c>
      <c r="AF500" s="14">
        <v>0</v>
      </c>
      <c r="AG500" s="14">
        <v>0</v>
      </c>
      <c r="AH500" s="14">
        <v>0</v>
      </c>
      <c r="AI500" s="14">
        <v>0</v>
      </c>
      <c r="AJ500" s="14">
        <v>0</v>
      </c>
      <c r="AK500" s="14">
        <v>0</v>
      </c>
      <c r="AL500" s="14">
        <v>0</v>
      </c>
      <c r="AM500" s="453">
        <v>0</v>
      </c>
      <c r="AN500" s="453">
        <v>0</v>
      </c>
      <c r="AO500" s="453">
        <v>0</v>
      </c>
      <c r="AP500" s="453">
        <v>0</v>
      </c>
      <c r="AQ500" s="453">
        <v>0</v>
      </c>
      <c r="AR500" s="453">
        <v>0</v>
      </c>
      <c r="AS500" s="453">
        <v>0</v>
      </c>
      <c r="AT500" s="453">
        <v>0</v>
      </c>
      <c r="AU500" s="453">
        <v>0</v>
      </c>
      <c r="AV500" s="453">
        <v>0</v>
      </c>
      <c r="AW500" s="453">
        <v>0</v>
      </c>
      <c r="AX500" s="453">
        <v>0</v>
      </c>
      <c r="AY500" s="453">
        <v>0</v>
      </c>
      <c r="AZ500" s="453">
        <v>0</v>
      </c>
      <c r="BA500" s="453">
        <v>0</v>
      </c>
      <c r="BB500" s="453">
        <v>0</v>
      </c>
      <c r="BC500" s="453">
        <v>0</v>
      </c>
      <c r="BD500" s="453">
        <v>0</v>
      </c>
      <c r="BE500" s="105">
        <v>0</v>
      </c>
      <c r="BF500" s="453">
        <v>0</v>
      </c>
      <c r="BG500" s="453">
        <v>0</v>
      </c>
      <c r="BH500" s="105">
        <v>0</v>
      </c>
      <c r="BI500" s="453">
        <v>0</v>
      </c>
      <c r="BJ500" s="453">
        <v>0</v>
      </c>
      <c r="BK500" s="105">
        <v>0</v>
      </c>
      <c r="BL500" s="453">
        <v>0</v>
      </c>
      <c r="BM500" s="453">
        <v>0</v>
      </c>
      <c r="BN500" s="453">
        <v>0</v>
      </c>
      <c r="BO500" s="453">
        <v>0</v>
      </c>
      <c r="BP500" s="453">
        <v>0</v>
      </c>
      <c r="BQ500" s="453">
        <v>0</v>
      </c>
      <c r="BR500" s="14">
        <v>0</v>
      </c>
      <c r="BS500" s="14">
        <v>0</v>
      </c>
      <c r="BT500" s="377" t="str">
        <v/>
      </c>
      <c r="BU500" s="105" t="str">
        <v/>
      </c>
      <c r="BV500" s="453" t="str">
        <v/>
      </c>
      <c r="BW500" s="105" t="str">
        <f ca="1"/>
        <v/>
      </c>
    </row>
    <row r="501" spans="1:75" x14ac:dyDescent="0.3">
      <c r="A501" s="1">
        <v>0</v>
      </c>
      <c r="B501" s="106">
        <v>0</v>
      </c>
      <c r="C501" s="14">
        <v>0</v>
      </c>
      <c r="D501" s="14">
        <v>0</v>
      </c>
      <c r="E501" s="14">
        <v>0</v>
      </c>
      <c r="F501" s="453">
        <v>0</v>
      </c>
      <c r="G501" s="377">
        <v>0</v>
      </c>
      <c r="H501" s="453">
        <v>0</v>
      </c>
      <c r="I501" s="453">
        <v>0</v>
      </c>
      <c r="J501" s="453">
        <v>0</v>
      </c>
      <c r="K501" s="453">
        <v>0</v>
      </c>
      <c r="L501" s="453">
        <v>0</v>
      </c>
      <c r="M501" s="453">
        <v>0</v>
      </c>
      <c r="N501" s="453">
        <v>0</v>
      </c>
      <c r="O501" s="453">
        <v>0</v>
      </c>
      <c r="P501" s="14">
        <v>0</v>
      </c>
      <c r="Q501" s="14">
        <v>0</v>
      </c>
      <c r="R501" s="453">
        <v>0</v>
      </c>
      <c r="S501" s="453">
        <v>0</v>
      </c>
      <c r="T501" s="453">
        <v>0</v>
      </c>
      <c r="U501" s="453">
        <v>0</v>
      </c>
      <c r="V501" s="453">
        <v>0</v>
      </c>
      <c r="W501" s="453">
        <v>0</v>
      </c>
      <c r="X501" s="453">
        <v>0</v>
      </c>
      <c r="Y501" s="453">
        <v>0</v>
      </c>
      <c r="Z501" s="453">
        <v>0</v>
      </c>
      <c r="AA501" s="14">
        <v>0</v>
      </c>
      <c r="AB501" s="14">
        <v>0</v>
      </c>
      <c r="AC501" s="453">
        <v>0</v>
      </c>
      <c r="AD501" s="14">
        <v>0</v>
      </c>
      <c r="AE501" s="14">
        <v>0</v>
      </c>
      <c r="AF501" s="14">
        <v>0</v>
      </c>
      <c r="AG501" s="14">
        <v>0</v>
      </c>
      <c r="AH501" s="14">
        <v>0</v>
      </c>
      <c r="AI501" s="14">
        <v>0</v>
      </c>
      <c r="AJ501" s="14">
        <v>0</v>
      </c>
      <c r="AK501" s="14">
        <v>0</v>
      </c>
      <c r="AL501" s="14">
        <v>0</v>
      </c>
      <c r="AM501" s="453">
        <v>0</v>
      </c>
      <c r="AN501" s="453">
        <v>0</v>
      </c>
      <c r="AO501" s="453">
        <v>0</v>
      </c>
      <c r="AP501" s="453">
        <v>0</v>
      </c>
      <c r="AQ501" s="453">
        <v>0</v>
      </c>
      <c r="AR501" s="453">
        <v>0</v>
      </c>
      <c r="AS501" s="453">
        <v>0</v>
      </c>
      <c r="AT501" s="453">
        <v>0</v>
      </c>
      <c r="AU501" s="453">
        <v>0</v>
      </c>
      <c r="AV501" s="453">
        <v>0</v>
      </c>
      <c r="AW501" s="453">
        <v>0</v>
      </c>
      <c r="AX501" s="453">
        <v>0</v>
      </c>
      <c r="AY501" s="453">
        <v>0</v>
      </c>
      <c r="AZ501" s="453">
        <v>0</v>
      </c>
      <c r="BA501" s="453">
        <v>0</v>
      </c>
      <c r="BB501" s="453">
        <v>0</v>
      </c>
      <c r="BC501" s="453">
        <v>0</v>
      </c>
      <c r="BD501" s="453">
        <v>0</v>
      </c>
      <c r="BE501" s="105">
        <v>0</v>
      </c>
      <c r="BF501" s="453">
        <v>0</v>
      </c>
      <c r="BG501" s="453">
        <v>0</v>
      </c>
      <c r="BH501" s="105">
        <v>0</v>
      </c>
      <c r="BI501" s="453">
        <v>0</v>
      </c>
      <c r="BJ501" s="453">
        <v>0</v>
      </c>
      <c r="BK501" s="105">
        <v>0</v>
      </c>
      <c r="BL501" s="453">
        <v>0</v>
      </c>
      <c r="BM501" s="453">
        <v>0</v>
      </c>
      <c r="BN501" s="453">
        <v>0</v>
      </c>
      <c r="BO501" s="453">
        <v>0</v>
      </c>
      <c r="BP501" s="453">
        <v>0</v>
      </c>
      <c r="BQ501" s="453">
        <v>0</v>
      </c>
      <c r="BR501" s="14">
        <v>0</v>
      </c>
      <c r="BS501" s="14">
        <v>0</v>
      </c>
      <c r="BT501" s="377" t="str">
        <v/>
      </c>
      <c r="BU501" s="105" t="str">
        <v/>
      </c>
      <c r="BV501" s="453" t="str">
        <v/>
      </c>
      <c r="BW501" s="105" t="str">
        <f ca="1"/>
        <v/>
      </c>
    </row>
  </sheetData>
  <sheetProtection algorithmName="SHA-512" hashValue="R7fPd4Dj2uBYcyfKONejDRi28e+1sIxH9tSW93so4gtaM7ShQopGUnsH/Iqt/a1epOW+wafST5+sg4BFN48mBA==" saltValue="zvRIk56Zvg3ULinTmpqqFg==" spinCount="100000" sheet="1" objects="1" scenarios="1" formatColumns="0" formatRows="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ksAppData"/>
  <dimension ref="A1:BM3239"/>
  <sheetViews>
    <sheetView topLeftCell="M1" workbookViewId="0">
      <selection activeCell="R12" sqref="R12"/>
    </sheetView>
  </sheetViews>
  <sheetFormatPr defaultRowHeight="14.4" x14ac:dyDescent="0.3"/>
  <cols>
    <col min="1" max="1" width="15.44140625" style="1" bestFit="1" customWidth="1"/>
    <col min="2" max="2" width="20.33203125" bestFit="1" customWidth="1"/>
    <col min="3" max="3" width="19.109375" bestFit="1" customWidth="1"/>
    <col min="4" max="4" width="4.33203125" customWidth="1"/>
    <col min="5" max="5" width="13.109375" style="1" bestFit="1" customWidth="1"/>
    <col min="6" max="6" width="14.6640625" style="1" customWidth="1"/>
    <col min="7" max="7" width="18.33203125" customWidth="1"/>
    <col min="8" max="8" width="32.6640625" bestFit="1" customWidth="1"/>
    <col min="9" max="9" width="4.5546875" customWidth="1"/>
    <col min="12" max="12" width="9.33203125" customWidth="1"/>
    <col min="13" max="13" width="18.88671875" customWidth="1"/>
    <col min="16" max="16" width="15.33203125" bestFit="1" customWidth="1"/>
    <col min="20" max="20" width="11.33203125" customWidth="1"/>
    <col min="22" max="22" width="20.5546875" bestFit="1" customWidth="1"/>
    <col min="24" max="24" width="23.33203125" bestFit="1" customWidth="1"/>
    <col min="28" max="28" width="10" customWidth="1"/>
    <col min="30" max="30" width="8.44140625" bestFit="1" customWidth="1"/>
    <col min="31" max="31" width="146" bestFit="1" customWidth="1"/>
    <col min="32" max="32" width="9.6640625" customWidth="1"/>
    <col min="34" max="34" width="10.6640625" style="13" bestFit="1" customWidth="1"/>
    <col min="35" max="35" width="11.44140625" customWidth="1"/>
    <col min="36" max="36" width="18.33203125" style="13" customWidth="1"/>
    <col min="37" max="37" width="18.6640625" bestFit="1" customWidth="1"/>
    <col min="38" max="38" width="13" bestFit="1" customWidth="1"/>
    <col min="39" max="39" width="17.88671875" bestFit="1" customWidth="1"/>
    <col min="42" max="42" width="26.109375" bestFit="1" customWidth="1"/>
    <col min="51" max="51" width="13.109375" bestFit="1" customWidth="1"/>
    <col min="52" max="52" width="12.33203125" bestFit="1" customWidth="1"/>
    <col min="54" max="54" width="16" bestFit="1" customWidth="1"/>
    <col min="55" max="55" width="11.88671875" bestFit="1" customWidth="1"/>
    <col min="56" max="56" width="11.109375" customWidth="1"/>
    <col min="57" max="57" width="14.109375" customWidth="1"/>
    <col min="59" max="59" width="14.44140625" bestFit="1" customWidth="1"/>
    <col min="60" max="60" width="26.109375" bestFit="1" customWidth="1"/>
    <col min="61" max="61" width="11.44140625" customWidth="1"/>
    <col min="62" max="62" width="10.6640625" bestFit="1" customWidth="1"/>
    <col min="65" max="65" width="20.88671875" bestFit="1" customWidth="1"/>
  </cols>
  <sheetData>
    <row r="1" spans="1:65" x14ac:dyDescent="0.3">
      <c r="A1" s="6" t="s">
        <v>2608</v>
      </c>
      <c r="B1" s="6" t="s">
        <v>2609</v>
      </c>
      <c r="C1" s="6" t="s">
        <v>2612</v>
      </c>
      <c r="E1" t="s">
        <v>2608</v>
      </c>
      <c r="F1" t="s">
        <v>2609</v>
      </c>
      <c r="G1" t="s">
        <v>2610</v>
      </c>
      <c r="H1" t="s">
        <v>2611</v>
      </c>
      <c r="K1" s="2" t="s">
        <v>2502</v>
      </c>
      <c r="P1" t="s">
        <v>2535</v>
      </c>
      <c r="R1" t="s">
        <v>2535</v>
      </c>
      <c r="S1" t="s">
        <v>2534</v>
      </c>
      <c r="T1" t="s">
        <v>3111</v>
      </c>
      <c r="V1" t="s">
        <v>2534</v>
      </c>
      <c r="W1" t="s">
        <v>2535</v>
      </c>
      <c r="X1" t="s">
        <v>2552</v>
      </c>
      <c r="Z1" t="s">
        <v>2535</v>
      </c>
      <c r="AA1" t="s">
        <v>2534</v>
      </c>
      <c r="AD1" t="s">
        <v>2535</v>
      </c>
      <c r="AE1" t="s">
        <v>2534</v>
      </c>
      <c r="AH1" s="13" t="s">
        <v>2590</v>
      </c>
      <c r="AI1" t="s">
        <v>2585</v>
      </c>
      <c r="AJ1" s="13" t="s">
        <v>2586</v>
      </c>
      <c r="AK1" t="s">
        <v>2588</v>
      </c>
      <c r="AL1" s="13" t="s">
        <v>2587</v>
      </c>
      <c r="AM1" t="s">
        <v>2589</v>
      </c>
      <c r="AO1" t="s">
        <v>2585</v>
      </c>
      <c r="AP1" t="s">
        <v>2706</v>
      </c>
      <c r="AR1" t="s">
        <v>2770</v>
      </c>
      <c r="AS1" t="s">
        <v>2771</v>
      </c>
      <c r="AT1" t="s">
        <v>2772</v>
      </c>
      <c r="AU1" t="s">
        <v>2773</v>
      </c>
      <c r="AV1" t="s">
        <v>2774</v>
      </c>
      <c r="AW1" t="s">
        <v>2775</v>
      </c>
      <c r="AZ1" s="2" t="s">
        <v>2778</v>
      </c>
      <c r="BB1" s="2" t="s">
        <v>2795</v>
      </c>
      <c r="BD1" s="427" t="s">
        <v>2791</v>
      </c>
      <c r="BE1" s="427" t="s">
        <v>2792</v>
      </c>
      <c r="BG1" s="427" t="s">
        <v>3072</v>
      </c>
      <c r="BH1" s="427" t="s">
        <v>3071</v>
      </c>
      <c r="BI1" s="427" t="s">
        <v>2586</v>
      </c>
      <c r="BJ1" s="427" t="s">
        <v>2587</v>
      </c>
      <c r="BL1" t="s">
        <v>2535</v>
      </c>
      <c r="BM1" t="s">
        <v>2534</v>
      </c>
    </row>
    <row r="2" spans="1:65" x14ac:dyDescent="0.3">
      <c r="A2" s="3" t="s">
        <v>127</v>
      </c>
      <c r="B2" s="4" t="s">
        <v>27</v>
      </c>
      <c r="C2" s="4" t="s">
        <v>26</v>
      </c>
      <c r="E2" s="5" t="s">
        <v>127</v>
      </c>
      <c r="F2" s="5" t="s">
        <v>27</v>
      </c>
      <c r="G2" s="5" t="s">
        <v>172</v>
      </c>
      <c r="H2" s="5" t="s">
        <v>294</v>
      </c>
      <c r="K2" s="7" t="s">
        <v>2503</v>
      </c>
      <c r="P2" t="s">
        <v>20</v>
      </c>
      <c r="R2">
        <v>1</v>
      </c>
      <c r="S2" t="s">
        <v>2530</v>
      </c>
      <c r="T2" t="s">
        <v>3108</v>
      </c>
      <c r="V2" t="s">
        <v>2536</v>
      </c>
      <c r="W2">
        <v>1</v>
      </c>
      <c r="X2" t="str">
        <f>CONCATENATE(tblEthnicity[[#This Row],[Value]]," - ",tblEthnicity[[#This Row],[Name]])</f>
        <v>1 - Hispanic or Latino</v>
      </c>
      <c r="Z2">
        <v>1</v>
      </c>
      <c r="AA2" t="s">
        <v>18</v>
      </c>
      <c r="AD2">
        <v>1</v>
      </c>
      <c r="AE2" t="s">
        <v>2543</v>
      </c>
      <c r="AH2" s="15">
        <v>2019</v>
      </c>
      <c r="AI2" s="13">
        <v>1</v>
      </c>
      <c r="AJ2" s="16">
        <v>43647</v>
      </c>
      <c r="AK2" s="14">
        <f>INT(tblPyQtr[[#This Row],[StartDate]])</f>
        <v>43647</v>
      </c>
      <c r="AL2" s="14">
        <v>43738</v>
      </c>
      <c r="AM2" s="14">
        <f>INT(tblPyQtr[[#This Row],[EndDate]])</f>
        <v>43738</v>
      </c>
      <c r="AO2" s="13">
        <v>1</v>
      </c>
      <c r="AP2" t="s">
        <v>2663</v>
      </c>
      <c r="AR2">
        <v>65</v>
      </c>
      <c r="AS2" s="105">
        <f>tblAdj[height]*tblAdj[aspect]</f>
        <v>117</v>
      </c>
      <c r="AT2">
        <v>1.8</v>
      </c>
      <c r="AU2">
        <f>tblAdj[[#This Row],[height]]*tblAdj[[#This Row],[width]]</f>
        <v>7605</v>
      </c>
      <c r="AV2">
        <f>tblAdj[[#This Row],[sqr_pts]]/180</f>
        <v>42.25</v>
      </c>
      <c r="AW2" s="106">
        <f>IF(MOD(tblAdj[[#This Row],[height]],13)=0,1,0)</f>
        <v>1</v>
      </c>
      <c r="AY2" s="2" t="s">
        <v>2779</v>
      </c>
      <c r="AZ2" s="108" t="s">
        <v>2776</v>
      </c>
      <c r="BB2">
        <v>2020</v>
      </c>
      <c r="BD2" s="427">
        <v>2016</v>
      </c>
      <c r="BE2" s="427">
        <v>3</v>
      </c>
      <c r="BG2" s="427" t="s">
        <v>3074</v>
      </c>
      <c r="BH2" s="427" t="s">
        <v>2693</v>
      </c>
      <c r="BI2" s="428">
        <v>37171</v>
      </c>
      <c r="BJ2" s="428">
        <v>42001</v>
      </c>
      <c r="BL2">
        <v>1</v>
      </c>
      <c r="BM2" t="s">
        <v>3106</v>
      </c>
    </row>
    <row r="3" spans="1:65" x14ac:dyDescent="0.3">
      <c r="A3" s="3" t="s">
        <v>126</v>
      </c>
      <c r="B3" s="4" t="s">
        <v>25</v>
      </c>
      <c r="C3" s="4" t="s">
        <v>24</v>
      </c>
      <c r="E3" s="5" t="s">
        <v>127</v>
      </c>
      <c r="F3" s="5" t="s">
        <v>27</v>
      </c>
      <c r="G3" s="5" t="s">
        <v>295</v>
      </c>
      <c r="H3" s="5" t="s">
        <v>296</v>
      </c>
      <c r="K3" s="1" t="s">
        <v>2501</v>
      </c>
      <c r="P3" t="s">
        <v>21</v>
      </c>
      <c r="R3">
        <v>2</v>
      </c>
      <c r="S3" t="s">
        <v>2531</v>
      </c>
      <c r="T3" t="s">
        <v>3109</v>
      </c>
      <c r="V3" t="s">
        <v>2537</v>
      </c>
      <c r="W3">
        <v>0</v>
      </c>
      <c r="X3" t="str">
        <f>CONCATENATE(tblEthnicity[[#This Row],[Value]]," - ",tblEthnicity[[#This Row],[Name]])</f>
        <v>0 - Not Hispanic or Latino</v>
      </c>
      <c r="Z3">
        <v>0</v>
      </c>
      <c r="AA3" t="s">
        <v>19</v>
      </c>
      <c r="AD3">
        <v>2</v>
      </c>
      <c r="AE3" t="s">
        <v>2544</v>
      </c>
      <c r="AH3" s="15">
        <v>2019</v>
      </c>
      <c r="AI3" s="13">
        <v>2</v>
      </c>
      <c r="AJ3" s="14">
        <v>43739</v>
      </c>
      <c r="AK3" s="14">
        <f>INT(tblPyQtr[[#This Row],[StartDate]])</f>
        <v>43739</v>
      </c>
      <c r="AL3" s="14">
        <v>43830</v>
      </c>
      <c r="AM3" s="14">
        <f>INT(tblPyQtr[[#This Row],[EndDate]])</f>
        <v>43830</v>
      </c>
      <c r="AO3" s="13">
        <v>2</v>
      </c>
      <c r="AP3" t="s">
        <v>2707</v>
      </c>
      <c r="AR3">
        <v>78</v>
      </c>
      <c r="AS3" s="105">
        <f>tblAdj[height]*tblAdj[aspect]</f>
        <v>140.4</v>
      </c>
      <c r="AT3">
        <v>1.8</v>
      </c>
      <c r="AU3">
        <f>tblAdj[[#This Row],[height]]*tblAdj[[#This Row],[width]]</f>
        <v>10951.2</v>
      </c>
      <c r="AV3">
        <f>tblAdj[[#This Row],[sqr_pts]]/180</f>
        <v>60.84</v>
      </c>
      <c r="AW3" s="106">
        <f>IF(MOD(tblAdj[[#This Row],[height]],13)=0,1,0)</f>
        <v>1</v>
      </c>
      <c r="AZ3" t="s">
        <v>2777</v>
      </c>
      <c r="BD3" s="427">
        <v>2017</v>
      </c>
      <c r="BE3" s="427">
        <v>2</v>
      </c>
      <c r="BG3" s="427" t="s">
        <v>3073</v>
      </c>
      <c r="BH3" s="427" t="s">
        <v>2692</v>
      </c>
      <c r="BI3" s="428">
        <v>37700</v>
      </c>
      <c r="BJ3" s="428">
        <v>40895</v>
      </c>
      <c r="BL3">
        <v>2</v>
      </c>
      <c r="BM3" t="s">
        <v>3110</v>
      </c>
    </row>
    <row r="4" spans="1:65" x14ac:dyDescent="0.3">
      <c r="A4" s="3" t="s">
        <v>129</v>
      </c>
      <c r="B4" s="4" t="s">
        <v>31</v>
      </c>
      <c r="C4" s="4" t="s">
        <v>30</v>
      </c>
      <c r="E4" s="5" t="s">
        <v>127</v>
      </c>
      <c r="F4" s="5" t="s">
        <v>27</v>
      </c>
      <c r="G4" s="5" t="s">
        <v>297</v>
      </c>
      <c r="H4" s="5" t="s">
        <v>298</v>
      </c>
      <c r="P4" t="s">
        <v>22</v>
      </c>
      <c r="AD4">
        <v>3</v>
      </c>
      <c r="AE4" t="s">
        <v>2545</v>
      </c>
      <c r="AH4" s="15">
        <v>2019</v>
      </c>
      <c r="AI4" s="13">
        <v>3</v>
      </c>
      <c r="AJ4" s="14">
        <v>43831</v>
      </c>
      <c r="AK4" s="14">
        <f>INT(tblPyQtr[[#This Row],[StartDate]])</f>
        <v>43831</v>
      </c>
      <c r="AL4" s="14">
        <v>43921</v>
      </c>
      <c r="AM4" s="14">
        <f>INT(tblPyQtr[[#This Row],[EndDate]])</f>
        <v>43921</v>
      </c>
      <c r="AO4" s="13">
        <v>3</v>
      </c>
      <c r="AP4" t="s">
        <v>2709</v>
      </c>
      <c r="AR4">
        <v>91</v>
      </c>
      <c r="AS4" s="105">
        <f>tblAdj[height]*tblAdj[aspect]</f>
        <v>163.80000000000001</v>
      </c>
      <c r="AT4">
        <v>1.8</v>
      </c>
      <c r="AU4">
        <f>tblAdj[[#This Row],[height]]*tblAdj[[#This Row],[width]]</f>
        <v>14905.800000000001</v>
      </c>
      <c r="AV4">
        <f>tblAdj[[#This Row],[sqr_pts]]/180</f>
        <v>82.81</v>
      </c>
      <c r="AW4" s="106">
        <f>IF(MOD(tblAdj[[#This Row],[height]],13)=0,1,0)</f>
        <v>1</v>
      </c>
      <c r="BB4" s="2" t="s">
        <v>3078</v>
      </c>
      <c r="BD4" s="427">
        <v>2018</v>
      </c>
      <c r="BE4" s="427">
        <v>2</v>
      </c>
    </row>
    <row r="5" spans="1:65" x14ac:dyDescent="0.3">
      <c r="A5" s="3" t="s">
        <v>134</v>
      </c>
      <c r="B5" s="4" t="s">
        <v>135</v>
      </c>
      <c r="C5" s="4" t="s">
        <v>133</v>
      </c>
      <c r="E5" s="5" t="s">
        <v>127</v>
      </c>
      <c r="F5" s="5" t="s">
        <v>27</v>
      </c>
      <c r="G5" s="5" t="s">
        <v>299</v>
      </c>
      <c r="H5" s="5" t="s">
        <v>300</v>
      </c>
      <c r="P5" t="s">
        <v>23</v>
      </c>
      <c r="AD5">
        <v>4</v>
      </c>
      <c r="AE5" t="s">
        <v>2546</v>
      </c>
      <c r="AH5" s="15">
        <v>2019</v>
      </c>
      <c r="AI5" s="13">
        <v>4</v>
      </c>
      <c r="AJ5" s="14">
        <v>43922</v>
      </c>
      <c r="AK5" s="14">
        <f>INT(tblPyQtr[[#This Row],[StartDate]])</f>
        <v>43922</v>
      </c>
      <c r="AL5" s="14">
        <v>44012</v>
      </c>
      <c r="AM5" s="14">
        <f>INT(tblPyQtr[[#This Row],[EndDate]])</f>
        <v>44012</v>
      </c>
      <c r="AO5" s="13">
        <v>4</v>
      </c>
      <c r="AP5" t="s">
        <v>2710</v>
      </c>
      <c r="AR5">
        <v>104</v>
      </c>
      <c r="AS5" s="105">
        <f>tblAdj[height]*tblAdj[aspect]</f>
        <v>187.20000000000002</v>
      </c>
      <c r="AT5">
        <v>1.8</v>
      </c>
      <c r="AU5">
        <f>tblAdj[[#This Row],[height]]*tblAdj[[#This Row],[width]]</f>
        <v>19468.800000000003</v>
      </c>
      <c r="AV5">
        <f>tblAdj[[#This Row],[sqr_pts]]/180</f>
        <v>108.16000000000001</v>
      </c>
      <c r="AW5" s="106">
        <f>IF(MOD(tblAdj[[#This Row],[height]],13)=0,1,0)</f>
        <v>1</v>
      </c>
      <c r="BB5" s="1" t="s">
        <v>3079</v>
      </c>
      <c r="BD5" s="427">
        <v>2019</v>
      </c>
      <c r="BE5" s="427">
        <v>2</v>
      </c>
    </row>
    <row r="6" spans="1:65" x14ac:dyDescent="0.3">
      <c r="A6" s="3" t="s">
        <v>128</v>
      </c>
      <c r="B6" s="4" t="s">
        <v>29</v>
      </c>
      <c r="C6" s="4" t="s">
        <v>28</v>
      </c>
      <c r="E6" s="5" t="s">
        <v>127</v>
      </c>
      <c r="F6" s="5" t="s">
        <v>27</v>
      </c>
      <c r="G6" s="5" t="s">
        <v>301</v>
      </c>
      <c r="H6" s="5" t="s">
        <v>302</v>
      </c>
      <c r="P6" t="s">
        <v>2522</v>
      </c>
      <c r="AD6">
        <v>5</v>
      </c>
      <c r="AE6" t="s">
        <v>2547</v>
      </c>
      <c r="AH6" s="15">
        <v>2019</v>
      </c>
      <c r="AI6" s="13">
        <v>5</v>
      </c>
      <c r="AJ6" s="14">
        <v>44013</v>
      </c>
      <c r="AK6" s="14">
        <f>INT(tblPyQtr[[#This Row],[StartDate]])</f>
        <v>44013</v>
      </c>
      <c r="AL6" s="14">
        <v>44104</v>
      </c>
      <c r="AM6" s="14">
        <f>INT(tblPyQtr[[#This Row],[EndDate]])</f>
        <v>44104</v>
      </c>
      <c r="AO6" s="13">
        <v>5</v>
      </c>
      <c r="AP6" t="s">
        <v>2712</v>
      </c>
      <c r="AR6">
        <v>117</v>
      </c>
      <c r="AS6" s="105">
        <f>tblAdj[height]*tblAdj[aspect]</f>
        <v>210.6</v>
      </c>
      <c r="AT6">
        <v>1.8</v>
      </c>
      <c r="AU6">
        <f>tblAdj[[#This Row],[height]]*tblAdj[[#This Row],[width]]</f>
        <v>24640.2</v>
      </c>
      <c r="AV6">
        <f>tblAdj[[#This Row],[sqr_pts]]/180</f>
        <v>136.89000000000001</v>
      </c>
      <c r="AW6" s="106">
        <f>IF(MOD(tblAdj[[#This Row],[height]],13)=0,1,0)</f>
        <v>1</v>
      </c>
      <c r="BD6" s="427">
        <v>2020</v>
      </c>
      <c r="BE6" s="427">
        <v>2</v>
      </c>
    </row>
    <row r="7" spans="1:65" x14ac:dyDescent="0.3">
      <c r="A7" s="3" t="s">
        <v>130</v>
      </c>
      <c r="B7" s="4" t="s">
        <v>33</v>
      </c>
      <c r="C7" s="4" t="s">
        <v>32</v>
      </c>
      <c r="E7" s="5" t="s">
        <v>127</v>
      </c>
      <c r="F7" s="5" t="s">
        <v>27</v>
      </c>
      <c r="G7" s="5" t="s">
        <v>303</v>
      </c>
      <c r="H7" s="5" t="s">
        <v>304</v>
      </c>
      <c r="AD7">
        <v>6</v>
      </c>
      <c r="AE7" t="s">
        <v>2548</v>
      </c>
      <c r="AH7" s="15">
        <v>2019</v>
      </c>
      <c r="AI7" s="13">
        <v>6</v>
      </c>
      <c r="AJ7" s="14">
        <v>44105</v>
      </c>
      <c r="AK7" s="14">
        <f>INT(tblPyQtr[[#This Row],[StartDate]])</f>
        <v>44105</v>
      </c>
      <c r="AL7" s="14">
        <v>44196</v>
      </c>
      <c r="AM7" s="14">
        <f>INT(tblPyQtr[[#This Row],[EndDate]])</f>
        <v>44196</v>
      </c>
      <c r="AO7" s="13">
        <v>6</v>
      </c>
      <c r="AP7" t="s">
        <v>2708</v>
      </c>
      <c r="AR7">
        <v>130</v>
      </c>
      <c r="AS7" s="105">
        <f>tblAdj[height]*tblAdj[aspect]</f>
        <v>234</v>
      </c>
      <c r="AT7">
        <v>1.8</v>
      </c>
      <c r="AU7">
        <f>tblAdj[[#This Row],[height]]*tblAdj[[#This Row],[width]]</f>
        <v>30420</v>
      </c>
      <c r="AV7">
        <f>tblAdj[[#This Row],[sqr_pts]]/180</f>
        <v>169</v>
      </c>
      <c r="AW7" s="106">
        <f>IF(MOD(tblAdj[[#This Row],[height]],13)=0,1,0)</f>
        <v>1</v>
      </c>
      <c r="BD7" s="427">
        <v>2021</v>
      </c>
      <c r="BE7" s="427">
        <v>2</v>
      </c>
    </row>
    <row r="8" spans="1:65" x14ac:dyDescent="0.3">
      <c r="A8" s="3" t="s">
        <v>131</v>
      </c>
      <c r="B8" s="4" t="s">
        <v>35</v>
      </c>
      <c r="C8" s="4" t="s">
        <v>34</v>
      </c>
      <c r="E8" s="5" t="s">
        <v>127</v>
      </c>
      <c r="F8" s="5" t="s">
        <v>27</v>
      </c>
      <c r="G8" s="5" t="s">
        <v>305</v>
      </c>
      <c r="H8" s="5" t="s">
        <v>306</v>
      </c>
      <c r="AD8">
        <v>7</v>
      </c>
      <c r="AE8" t="s">
        <v>2549</v>
      </c>
      <c r="AH8" s="15">
        <v>2019</v>
      </c>
      <c r="AI8" s="13">
        <v>7</v>
      </c>
      <c r="AJ8" s="14">
        <v>44197</v>
      </c>
      <c r="AK8" s="14">
        <f>INT(tblPyQtr[[#This Row],[StartDate]])</f>
        <v>44197</v>
      </c>
      <c r="AL8" s="14">
        <v>44286</v>
      </c>
      <c r="AM8" s="14">
        <f>INT(tblPyQtr[[#This Row],[EndDate]])</f>
        <v>44286</v>
      </c>
      <c r="AO8" s="13">
        <v>7</v>
      </c>
      <c r="AP8" t="s">
        <v>2713</v>
      </c>
      <c r="AR8">
        <v>143</v>
      </c>
      <c r="AS8" s="105">
        <f>tblAdj[height]*tblAdj[aspect]</f>
        <v>257.40000000000003</v>
      </c>
      <c r="AT8">
        <v>1.8</v>
      </c>
      <c r="AU8">
        <f>tblAdj[[#This Row],[height]]*tblAdj[[#This Row],[width]]</f>
        <v>36808.200000000004</v>
      </c>
      <c r="AV8">
        <f>tblAdj[[#This Row],[sqr_pts]]/180</f>
        <v>204.49000000000004</v>
      </c>
      <c r="AW8" s="106">
        <f>IF(MOD(tblAdj[[#This Row],[height]],13)=0,1,0)</f>
        <v>1</v>
      </c>
      <c r="BD8" s="427">
        <v>2022</v>
      </c>
      <c r="BE8" s="427">
        <v>2</v>
      </c>
    </row>
    <row r="9" spans="1:65" x14ac:dyDescent="0.3">
      <c r="A9" s="3" t="s">
        <v>132</v>
      </c>
      <c r="B9" s="4" t="s">
        <v>37</v>
      </c>
      <c r="C9" s="4" t="s">
        <v>36</v>
      </c>
      <c r="E9" s="5" t="s">
        <v>127</v>
      </c>
      <c r="F9" s="5" t="s">
        <v>27</v>
      </c>
      <c r="G9" s="5" t="s">
        <v>307</v>
      </c>
      <c r="H9" s="5" t="s">
        <v>308</v>
      </c>
      <c r="AD9">
        <v>8</v>
      </c>
      <c r="AE9" t="s">
        <v>2550</v>
      </c>
      <c r="AH9" s="15">
        <v>2019</v>
      </c>
      <c r="AI9" s="13">
        <v>8</v>
      </c>
      <c r="AJ9" s="14">
        <v>44287</v>
      </c>
      <c r="AK9" s="14">
        <f>INT(tblPyQtr[[#This Row],[StartDate]])</f>
        <v>44287</v>
      </c>
      <c r="AL9" s="14">
        <v>44377</v>
      </c>
      <c r="AM9" s="14">
        <f>INT(tblPyQtr[[#This Row],[EndDate]])</f>
        <v>44377</v>
      </c>
      <c r="AO9" s="13">
        <v>8</v>
      </c>
      <c r="AP9" t="s">
        <v>2711</v>
      </c>
      <c r="AR9">
        <v>156</v>
      </c>
      <c r="AS9" s="105">
        <f>tblAdj[height]*tblAdj[aspect]</f>
        <v>280.8</v>
      </c>
      <c r="AT9">
        <v>1.8</v>
      </c>
      <c r="AU9">
        <f>tblAdj[[#This Row],[height]]*tblAdj[[#This Row],[width]]</f>
        <v>43804.800000000003</v>
      </c>
      <c r="AV9">
        <f>tblAdj[[#This Row],[sqr_pts]]/180</f>
        <v>243.36</v>
      </c>
      <c r="AW9" s="106">
        <f>IF(MOD(tblAdj[[#This Row],[height]],13)=0,1,0)</f>
        <v>1</v>
      </c>
      <c r="BD9" s="427">
        <v>2023</v>
      </c>
      <c r="BE9" s="427">
        <v>2</v>
      </c>
    </row>
    <row r="10" spans="1:65" x14ac:dyDescent="0.3">
      <c r="A10" s="3">
        <v>11</v>
      </c>
      <c r="B10" s="4" t="s">
        <v>41</v>
      </c>
      <c r="C10" s="4" t="s">
        <v>40</v>
      </c>
      <c r="E10" s="5" t="s">
        <v>127</v>
      </c>
      <c r="F10" s="5" t="s">
        <v>27</v>
      </c>
      <c r="G10" s="5" t="s">
        <v>309</v>
      </c>
      <c r="H10" s="5" t="s">
        <v>310</v>
      </c>
      <c r="AD10">
        <v>0</v>
      </c>
      <c r="AE10" t="s">
        <v>2551</v>
      </c>
      <c r="AR10">
        <v>169</v>
      </c>
      <c r="AS10" s="105">
        <f>tblAdj[height]*tblAdj[aspect]</f>
        <v>304.2</v>
      </c>
      <c r="AT10">
        <v>1.8</v>
      </c>
      <c r="AU10">
        <f>tblAdj[[#This Row],[height]]*tblAdj[[#This Row],[width]]</f>
        <v>51409.799999999996</v>
      </c>
      <c r="AV10">
        <f>tblAdj[[#This Row],[sqr_pts]]/180</f>
        <v>285.60999999999996</v>
      </c>
      <c r="AW10" s="106">
        <f>IF(MOD(tblAdj[[#This Row],[height]],13)=0,1,0)</f>
        <v>1</v>
      </c>
      <c r="BD10" s="427">
        <v>2024</v>
      </c>
      <c r="BE10" s="427">
        <v>2</v>
      </c>
    </row>
    <row r="11" spans="1:65" x14ac:dyDescent="0.3">
      <c r="A11" s="3">
        <v>10</v>
      </c>
      <c r="B11" s="4" t="s">
        <v>39</v>
      </c>
      <c r="C11" s="4" t="s">
        <v>38</v>
      </c>
      <c r="E11" s="5" t="s">
        <v>127</v>
      </c>
      <c r="F11" s="5" t="s">
        <v>27</v>
      </c>
      <c r="G11" s="5" t="s">
        <v>264</v>
      </c>
      <c r="H11" s="5" t="s">
        <v>311</v>
      </c>
      <c r="AR11">
        <v>182</v>
      </c>
      <c r="AS11" s="105">
        <f>tblAdj[height]*tblAdj[aspect]</f>
        <v>327.60000000000002</v>
      </c>
      <c r="AT11">
        <v>1.8</v>
      </c>
      <c r="AU11">
        <f>tblAdj[[#This Row],[height]]*tblAdj[[#This Row],[width]]</f>
        <v>59623.200000000004</v>
      </c>
      <c r="AV11">
        <f>tblAdj[[#This Row],[sqr_pts]]/180</f>
        <v>331.24</v>
      </c>
      <c r="AW11" s="106">
        <f>IF(MOD(tblAdj[[#This Row],[height]],13)=0,1,0)</f>
        <v>1</v>
      </c>
      <c r="BD11" s="427">
        <v>2025</v>
      </c>
      <c r="BE11" s="427">
        <v>2</v>
      </c>
    </row>
    <row r="12" spans="1:65" x14ac:dyDescent="0.3">
      <c r="A12" s="3">
        <v>12</v>
      </c>
      <c r="B12" s="4" t="s">
        <v>43</v>
      </c>
      <c r="C12" s="4" t="s">
        <v>42</v>
      </c>
      <c r="E12" s="5" t="s">
        <v>127</v>
      </c>
      <c r="F12" s="5" t="s">
        <v>27</v>
      </c>
      <c r="G12" s="5" t="s">
        <v>312</v>
      </c>
      <c r="H12" s="5" t="s">
        <v>313</v>
      </c>
      <c r="AR12">
        <v>195</v>
      </c>
      <c r="AS12" s="105">
        <f>tblAdj[height]*tblAdj[aspect]</f>
        <v>351</v>
      </c>
      <c r="AT12">
        <v>1.8</v>
      </c>
      <c r="AU12" s="106">
        <f>tblAdj[[#This Row],[height]]*tblAdj[[#This Row],[width]]</f>
        <v>68445</v>
      </c>
      <c r="AV12" s="106">
        <f>tblAdj[[#This Row],[sqr_pts]]/180</f>
        <v>380.25</v>
      </c>
      <c r="AW12" s="106">
        <f>IF(MOD(tblAdj[[#This Row],[height]],13)=0,1,0)</f>
        <v>1</v>
      </c>
      <c r="BD12" s="427">
        <v>2026</v>
      </c>
      <c r="BE12" s="427">
        <v>2</v>
      </c>
    </row>
    <row r="13" spans="1:65" ht="28.8" x14ac:dyDescent="0.3">
      <c r="A13" s="3" t="s">
        <v>137</v>
      </c>
      <c r="B13" s="4" t="s">
        <v>138</v>
      </c>
      <c r="C13" s="4" t="s">
        <v>136</v>
      </c>
      <c r="E13" s="5" t="s">
        <v>127</v>
      </c>
      <c r="F13" s="5" t="s">
        <v>27</v>
      </c>
      <c r="G13" s="5" t="s">
        <v>314</v>
      </c>
      <c r="H13" s="5" t="s">
        <v>315</v>
      </c>
      <c r="AR13">
        <v>208</v>
      </c>
      <c r="AS13" s="105">
        <f>tblAdj[height]*tblAdj[aspect]</f>
        <v>374.40000000000003</v>
      </c>
      <c r="AT13">
        <v>1.8</v>
      </c>
      <c r="AU13" s="106">
        <f>tblAdj[[#This Row],[height]]*tblAdj[[#This Row],[width]]</f>
        <v>77875.200000000012</v>
      </c>
      <c r="AV13" s="106">
        <f>tblAdj[[#This Row],[sqr_pts]]/180</f>
        <v>432.64000000000004</v>
      </c>
      <c r="AW13" s="106">
        <f>IF(MOD(tblAdj[[#This Row],[height]],13)=0,1,0)</f>
        <v>1</v>
      </c>
      <c r="BD13" s="427">
        <v>2027</v>
      </c>
      <c r="BE13" s="427">
        <v>2</v>
      </c>
    </row>
    <row r="14" spans="1:65" x14ac:dyDescent="0.3">
      <c r="A14" s="3">
        <v>13</v>
      </c>
      <c r="B14" s="4" t="s">
        <v>45</v>
      </c>
      <c r="C14" s="4" t="s">
        <v>44</v>
      </c>
      <c r="E14" s="5" t="s">
        <v>127</v>
      </c>
      <c r="F14" s="5" t="s">
        <v>27</v>
      </c>
      <c r="G14" s="5" t="s">
        <v>316</v>
      </c>
      <c r="H14" s="5" t="s">
        <v>317</v>
      </c>
      <c r="AR14">
        <v>221</v>
      </c>
      <c r="AS14" s="105">
        <f>tblAdj[height]*tblAdj[aspect]</f>
        <v>397.8</v>
      </c>
      <c r="AT14">
        <v>1.8</v>
      </c>
      <c r="AU14" s="106">
        <f>tblAdj[[#This Row],[height]]*tblAdj[[#This Row],[width]]</f>
        <v>87913.8</v>
      </c>
      <c r="AV14" s="106">
        <f>tblAdj[[#This Row],[sqr_pts]]/180</f>
        <v>488.41</v>
      </c>
      <c r="AW14" s="106">
        <f>IF(MOD(tblAdj[[#This Row],[height]],13)=0,1,0)</f>
        <v>1</v>
      </c>
      <c r="BD14" s="427">
        <v>2028</v>
      </c>
      <c r="BE14" s="427">
        <v>2</v>
      </c>
    </row>
    <row r="15" spans="1:65" x14ac:dyDescent="0.3">
      <c r="A15" s="3" t="s">
        <v>140</v>
      </c>
      <c r="B15" s="4" t="s">
        <v>141</v>
      </c>
      <c r="C15" s="4" t="s">
        <v>139</v>
      </c>
      <c r="E15" s="5" t="s">
        <v>127</v>
      </c>
      <c r="F15" s="5" t="s">
        <v>27</v>
      </c>
      <c r="G15" s="5" t="s">
        <v>318</v>
      </c>
      <c r="H15" s="5" t="s">
        <v>319</v>
      </c>
      <c r="AR15">
        <v>234</v>
      </c>
      <c r="AS15" s="105">
        <f>tblAdj[height]*tblAdj[aspect]</f>
        <v>421.2</v>
      </c>
      <c r="AT15">
        <v>1.8</v>
      </c>
      <c r="AU15" s="106">
        <f>tblAdj[[#This Row],[height]]*tblAdj[[#This Row],[width]]</f>
        <v>98560.8</v>
      </c>
      <c r="AV15" s="106">
        <f>tblAdj[[#This Row],[sqr_pts]]/180</f>
        <v>547.56000000000006</v>
      </c>
      <c r="AW15" s="106">
        <f>IF(MOD(tblAdj[[#This Row],[height]],13)=0,1,0)</f>
        <v>1</v>
      </c>
      <c r="BD15" s="427">
        <v>2029</v>
      </c>
      <c r="BE15" s="427">
        <v>2</v>
      </c>
    </row>
    <row r="16" spans="1:65" x14ac:dyDescent="0.3">
      <c r="A16" s="3">
        <v>15</v>
      </c>
      <c r="B16" s="4" t="s">
        <v>47</v>
      </c>
      <c r="C16" s="4" t="s">
        <v>46</v>
      </c>
      <c r="E16" s="5" t="s">
        <v>127</v>
      </c>
      <c r="F16" s="5" t="s">
        <v>27</v>
      </c>
      <c r="G16" s="5" t="s">
        <v>320</v>
      </c>
      <c r="H16" s="5" t="s">
        <v>321</v>
      </c>
      <c r="AR16">
        <v>247</v>
      </c>
      <c r="AS16" s="105">
        <f>tblAdj[height]*tblAdj[aspect]</f>
        <v>444.6</v>
      </c>
      <c r="AT16">
        <v>1.8</v>
      </c>
      <c r="AU16" s="106">
        <f>tblAdj[[#This Row],[height]]*tblAdj[[#This Row],[width]]</f>
        <v>109816.20000000001</v>
      </c>
      <c r="AV16" s="106">
        <f>tblAdj[[#This Row],[sqr_pts]]/180</f>
        <v>610.09</v>
      </c>
      <c r="AW16" s="106">
        <f>IF(MOD(tblAdj[[#This Row],[height]],13)=0,1,0)</f>
        <v>1</v>
      </c>
      <c r="BD16" s="427">
        <v>2030</v>
      </c>
      <c r="BE16" s="427">
        <v>2</v>
      </c>
    </row>
    <row r="17" spans="1:57" x14ac:dyDescent="0.3">
      <c r="A17" s="3">
        <v>19</v>
      </c>
      <c r="B17" s="4" t="s">
        <v>55</v>
      </c>
      <c r="C17" s="4" t="s">
        <v>54</v>
      </c>
      <c r="E17" s="5" t="s">
        <v>127</v>
      </c>
      <c r="F17" s="5" t="s">
        <v>27</v>
      </c>
      <c r="G17" s="5" t="s">
        <v>322</v>
      </c>
      <c r="H17" s="5" t="s">
        <v>323</v>
      </c>
      <c r="AR17">
        <v>260</v>
      </c>
      <c r="AS17" s="105">
        <f>tblAdj[height]*tblAdj[aspect]</f>
        <v>468</v>
      </c>
      <c r="AT17">
        <v>1.8</v>
      </c>
      <c r="AU17" s="106">
        <f>tblAdj[[#This Row],[height]]*tblAdj[[#This Row],[width]]</f>
        <v>121680</v>
      </c>
      <c r="AV17" s="106">
        <f>tblAdj[[#This Row],[sqr_pts]]/180</f>
        <v>676</v>
      </c>
      <c r="AW17" s="106">
        <f>IF(MOD(tblAdj[[#This Row],[height]],13)=0,1,0)</f>
        <v>1</v>
      </c>
      <c r="BD17" s="427">
        <v>2031</v>
      </c>
      <c r="BE17" s="427">
        <v>2</v>
      </c>
    </row>
    <row r="18" spans="1:57" x14ac:dyDescent="0.3">
      <c r="A18" s="3">
        <v>16</v>
      </c>
      <c r="B18" s="4" t="s">
        <v>49</v>
      </c>
      <c r="C18" s="4" t="s">
        <v>48</v>
      </c>
      <c r="E18" s="5" t="s">
        <v>127</v>
      </c>
      <c r="F18" s="5" t="s">
        <v>27</v>
      </c>
      <c r="G18" s="5" t="s">
        <v>324</v>
      </c>
      <c r="H18" s="5" t="s">
        <v>325</v>
      </c>
      <c r="AR18">
        <v>273</v>
      </c>
      <c r="AS18" s="105">
        <f>tblAdj[height]*tblAdj[aspect]</f>
        <v>491.40000000000003</v>
      </c>
      <c r="AT18">
        <v>1.8</v>
      </c>
      <c r="AU18" s="106">
        <f>tblAdj[[#This Row],[height]]*tblAdj[[#This Row],[width]]</f>
        <v>134152.20000000001</v>
      </c>
      <c r="AV18" s="106">
        <f>tblAdj[[#This Row],[sqr_pts]]/180</f>
        <v>745.29000000000008</v>
      </c>
      <c r="AW18" s="106">
        <f>IF(MOD(tblAdj[[#This Row],[height]],13)=0,1,0)</f>
        <v>1</v>
      </c>
      <c r="BD18" s="427">
        <v>2032</v>
      </c>
      <c r="BE18" s="427">
        <v>2</v>
      </c>
    </row>
    <row r="19" spans="1:57" x14ac:dyDescent="0.3">
      <c r="A19" s="3">
        <v>17</v>
      </c>
      <c r="B19" s="4" t="s">
        <v>51</v>
      </c>
      <c r="C19" s="4" t="s">
        <v>50</v>
      </c>
      <c r="E19" s="5" t="s">
        <v>127</v>
      </c>
      <c r="F19" s="5" t="s">
        <v>27</v>
      </c>
      <c r="G19" s="5" t="s">
        <v>326</v>
      </c>
      <c r="H19" s="5" t="s">
        <v>327</v>
      </c>
      <c r="AR19">
        <v>286</v>
      </c>
      <c r="AS19" s="105">
        <f>tblAdj[height]*tblAdj[aspect]</f>
        <v>514.80000000000007</v>
      </c>
      <c r="AT19">
        <v>1.8</v>
      </c>
      <c r="AU19" s="106">
        <f>tblAdj[[#This Row],[height]]*tblAdj[[#This Row],[width]]</f>
        <v>147232.80000000002</v>
      </c>
      <c r="AV19" s="106">
        <f>tblAdj[[#This Row],[sqr_pts]]/180</f>
        <v>817.96000000000015</v>
      </c>
      <c r="AW19" s="106">
        <f>IF(MOD(tblAdj[[#This Row],[height]],13)=0,1,0)</f>
        <v>1</v>
      </c>
      <c r="BD19" s="427">
        <v>2033</v>
      </c>
      <c r="BE19" s="427">
        <v>2</v>
      </c>
    </row>
    <row r="20" spans="1:57" x14ac:dyDescent="0.3">
      <c r="A20" s="3">
        <v>18</v>
      </c>
      <c r="B20" s="4" t="s">
        <v>53</v>
      </c>
      <c r="C20" s="4" t="s">
        <v>52</v>
      </c>
      <c r="E20" s="5" t="s">
        <v>127</v>
      </c>
      <c r="F20" s="5" t="s">
        <v>27</v>
      </c>
      <c r="G20" s="5" t="s">
        <v>328</v>
      </c>
      <c r="H20" s="5" t="s">
        <v>329</v>
      </c>
      <c r="AR20">
        <v>299</v>
      </c>
      <c r="AS20" s="105">
        <f>tblAdj[height]*tblAdj[aspect]</f>
        <v>538.20000000000005</v>
      </c>
      <c r="AT20">
        <v>1.8</v>
      </c>
      <c r="AU20" s="106">
        <f>tblAdj[[#This Row],[height]]*tblAdj[[#This Row],[width]]</f>
        <v>160921.80000000002</v>
      </c>
      <c r="AV20" s="106">
        <f>tblAdj[[#This Row],[sqr_pts]]/180</f>
        <v>894.0100000000001</v>
      </c>
      <c r="AW20" s="106">
        <f>IF(MOD(tblAdj[[#This Row],[height]],13)=0,1,0)</f>
        <v>1</v>
      </c>
      <c r="BD20" s="427">
        <v>2034</v>
      </c>
      <c r="BE20" s="427">
        <v>2</v>
      </c>
    </row>
    <row r="21" spans="1:57" x14ac:dyDescent="0.3">
      <c r="A21" s="3">
        <v>20</v>
      </c>
      <c r="B21" s="4" t="s">
        <v>57</v>
      </c>
      <c r="C21" s="4" t="s">
        <v>56</v>
      </c>
      <c r="E21" s="5" t="s">
        <v>127</v>
      </c>
      <c r="F21" s="5" t="s">
        <v>27</v>
      </c>
      <c r="G21" s="5" t="s">
        <v>330</v>
      </c>
      <c r="H21" s="5" t="s">
        <v>331</v>
      </c>
      <c r="AR21">
        <v>312</v>
      </c>
      <c r="AS21" s="105">
        <f>tblAdj[height]*tblAdj[aspect]</f>
        <v>561.6</v>
      </c>
      <c r="AT21">
        <v>1.8</v>
      </c>
      <c r="AU21" s="106">
        <f>tblAdj[[#This Row],[height]]*tblAdj[[#This Row],[width]]</f>
        <v>175219.20000000001</v>
      </c>
      <c r="AV21" s="106">
        <f>tblAdj[[#This Row],[sqr_pts]]/180</f>
        <v>973.44</v>
      </c>
      <c r="AW21" s="106">
        <f>IF(MOD(tblAdj[[#This Row],[height]],13)=0,1,0)</f>
        <v>1</v>
      </c>
      <c r="BD21" s="427">
        <v>2035</v>
      </c>
      <c r="BE21" s="427">
        <v>2</v>
      </c>
    </row>
    <row r="22" spans="1:57" x14ac:dyDescent="0.3">
      <c r="A22" s="3">
        <v>21</v>
      </c>
      <c r="B22" s="4" t="s">
        <v>59</v>
      </c>
      <c r="C22" s="4" t="s">
        <v>58</v>
      </c>
      <c r="E22" s="5" t="s">
        <v>127</v>
      </c>
      <c r="F22" s="5" t="s">
        <v>27</v>
      </c>
      <c r="G22" s="5" t="s">
        <v>332</v>
      </c>
      <c r="H22" s="5" t="s">
        <v>333</v>
      </c>
      <c r="AR22">
        <v>325</v>
      </c>
      <c r="AS22" s="105">
        <f>tblAdj[height]*tblAdj[aspect]</f>
        <v>585</v>
      </c>
      <c r="AT22">
        <v>1.8</v>
      </c>
      <c r="AU22" s="106">
        <f>tblAdj[[#This Row],[height]]*tblAdj[[#This Row],[width]]</f>
        <v>190125</v>
      </c>
      <c r="AV22" s="106">
        <f>tblAdj[[#This Row],[sqr_pts]]/180</f>
        <v>1056.25</v>
      </c>
      <c r="AW22" s="106">
        <f>IF(MOD(tblAdj[[#This Row],[height]],13)=0,1,0)</f>
        <v>1</v>
      </c>
      <c r="BD22" s="427">
        <v>2036</v>
      </c>
      <c r="BE22" s="427">
        <v>2</v>
      </c>
    </row>
    <row r="23" spans="1:57" x14ac:dyDescent="0.3">
      <c r="A23" s="3">
        <v>22</v>
      </c>
      <c r="B23" s="4" t="s">
        <v>61</v>
      </c>
      <c r="C23" s="4" t="s">
        <v>60</v>
      </c>
      <c r="E23" s="5" t="s">
        <v>127</v>
      </c>
      <c r="F23" s="5" t="s">
        <v>27</v>
      </c>
      <c r="G23" s="5" t="s">
        <v>334</v>
      </c>
      <c r="H23" s="5" t="s">
        <v>335</v>
      </c>
      <c r="AR23">
        <v>338</v>
      </c>
      <c r="AS23" s="105">
        <f>tblAdj[height]*tblAdj[aspect]</f>
        <v>608.4</v>
      </c>
      <c r="AT23">
        <v>1.8</v>
      </c>
      <c r="AU23" s="106">
        <f>tblAdj[[#This Row],[height]]*tblAdj[[#This Row],[width]]</f>
        <v>205639.19999999998</v>
      </c>
      <c r="AV23" s="106">
        <f>tblAdj[[#This Row],[sqr_pts]]/180</f>
        <v>1142.4399999999998</v>
      </c>
      <c r="AW23" s="106">
        <f>IF(MOD(tblAdj[[#This Row],[height]],13)=0,1,0)</f>
        <v>1</v>
      </c>
      <c r="BD23" s="427">
        <v>2037</v>
      </c>
      <c r="BE23" s="427">
        <v>2</v>
      </c>
    </row>
    <row r="24" spans="1:57" x14ac:dyDescent="0.3">
      <c r="A24" s="3">
        <v>25</v>
      </c>
      <c r="B24" s="4" t="s">
        <v>67</v>
      </c>
      <c r="C24" s="4" t="s">
        <v>66</v>
      </c>
      <c r="E24" s="5" t="s">
        <v>127</v>
      </c>
      <c r="F24" s="5" t="s">
        <v>27</v>
      </c>
      <c r="G24" s="5" t="s">
        <v>336</v>
      </c>
      <c r="H24" s="5" t="s">
        <v>337</v>
      </c>
      <c r="AR24">
        <v>351</v>
      </c>
      <c r="AS24" s="105">
        <f>tblAdj[height]*tblAdj[aspect]</f>
        <v>631.80000000000007</v>
      </c>
      <c r="AT24">
        <v>1.8</v>
      </c>
      <c r="AU24" s="106">
        <f>tblAdj[[#This Row],[height]]*tblAdj[[#This Row],[width]]</f>
        <v>221761.80000000002</v>
      </c>
      <c r="AV24" s="106">
        <f>tblAdj[[#This Row],[sqr_pts]]/180</f>
        <v>1232.01</v>
      </c>
      <c r="AW24" s="106">
        <f>IF(MOD(tblAdj[[#This Row],[height]],13)=0,1,0)</f>
        <v>1</v>
      </c>
      <c r="BD24" s="427">
        <v>2038</v>
      </c>
      <c r="BE24" s="427">
        <v>2</v>
      </c>
    </row>
    <row r="25" spans="1:57" x14ac:dyDescent="0.3">
      <c r="A25" s="3">
        <v>24</v>
      </c>
      <c r="B25" s="4" t="s">
        <v>65</v>
      </c>
      <c r="C25" s="4" t="s">
        <v>64</v>
      </c>
      <c r="E25" s="5" t="s">
        <v>127</v>
      </c>
      <c r="F25" s="5" t="s">
        <v>27</v>
      </c>
      <c r="G25" s="5" t="s">
        <v>338</v>
      </c>
      <c r="H25" s="5" t="s">
        <v>339</v>
      </c>
      <c r="AR25">
        <v>364</v>
      </c>
      <c r="AS25" s="105">
        <f>tblAdj[height]*tblAdj[aspect]</f>
        <v>655.20000000000005</v>
      </c>
      <c r="AT25">
        <v>1.8</v>
      </c>
      <c r="AU25" s="106">
        <f>tblAdj[[#This Row],[height]]*tblAdj[[#This Row],[width]]</f>
        <v>238492.80000000002</v>
      </c>
      <c r="AV25" s="106">
        <f>tblAdj[[#This Row],[sqr_pts]]/180</f>
        <v>1324.96</v>
      </c>
      <c r="AW25" s="106">
        <f>IF(MOD(tblAdj[[#This Row],[height]],13)=0,1,0)</f>
        <v>1</v>
      </c>
      <c r="BD25" s="427">
        <v>2039</v>
      </c>
      <c r="BE25" s="427">
        <v>2</v>
      </c>
    </row>
    <row r="26" spans="1:57" x14ac:dyDescent="0.3">
      <c r="A26" s="3">
        <v>23</v>
      </c>
      <c r="B26" s="4" t="s">
        <v>63</v>
      </c>
      <c r="C26" s="4" t="s">
        <v>62</v>
      </c>
      <c r="E26" s="5" t="s">
        <v>127</v>
      </c>
      <c r="F26" s="5" t="s">
        <v>27</v>
      </c>
      <c r="G26" s="5" t="s">
        <v>340</v>
      </c>
      <c r="H26" s="5" t="s">
        <v>341</v>
      </c>
      <c r="AR26">
        <v>377</v>
      </c>
      <c r="AS26" s="105">
        <f>tblAdj[height]*tblAdj[aspect]</f>
        <v>678.6</v>
      </c>
      <c r="AT26">
        <v>1.8</v>
      </c>
      <c r="AU26" s="106">
        <f>tblAdj[[#This Row],[height]]*tblAdj[[#This Row],[width]]</f>
        <v>255832.2</v>
      </c>
      <c r="AV26" s="106">
        <f>tblAdj[[#This Row],[sqr_pts]]/180</f>
        <v>1421.29</v>
      </c>
      <c r="AW26" s="106">
        <f>IF(MOD(tblAdj[[#This Row],[height]],13)=0,1,0)</f>
        <v>1</v>
      </c>
      <c r="BD26" s="427">
        <v>2040</v>
      </c>
      <c r="BE26" s="427">
        <v>2</v>
      </c>
    </row>
    <row r="27" spans="1:57" x14ac:dyDescent="0.3">
      <c r="A27" s="3" t="s">
        <v>143</v>
      </c>
      <c r="B27" s="4" t="s">
        <v>144</v>
      </c>
      <c r="C27" s="4" t="s">
        <v>142</v>
      </c>
      <c r="E27" s="5" t="s">
        <v>127</v>
      </c>
      <c r="F27" s="5" t="s">
        <v>27</v>
      </c>
      <c r="G27" s="5" t="s">
        <v>342</v>
      </c>
      <c r="H27" s="5" t="s">
        <v>343</v>
      </c>
      <c r="AR27">
        <v>390</v>
      </c>
      <c r="AS27" s="105">
        <f>tblAdj[height]*tblAdj[aspect]</f>
        <v>702</v>
      </c>
      <c r="AT27">
        <v>1.8</v>
      </c>
      <c r="AU27" s="106">
        <f>tblAdj[[#This Row],[height]]*tblAdj[[#This Row],[width]]</f>
        <v>273780</v>
      </c>
      <c r="AV27" s="106">
        <f>tblAdj[[#This Row],[sqr_pts]]/180</f>
        <v>1521</v>
      </c>
      <c r="AW27" s="106">
        <f>IF(MOD(tblAdj[[#This Row],[height]],13)=0,1,0)</f>
        <v>1</v>
      </c>
      <c r="BD27" s="427"/>
      <c r="BE27" s="427"/>
    </row>
    <row r="28" spans="1:57" x14ac:dyDescent="0.3">
      <c r="A28" s="3">
        <v>26</v>
      </c>
      <c r="B28" s="4" t="s">
        <v>69</v>
      </c>
      <c r="C28" s="4" t="s">
        <v>68</v>
      </c>
      <c r="E28" s="5" t="s">
        <v>127</v>
      </c>
      <c r="F28" s="5" t="s">
        <v>27</v>
      </c>
      <c r="G28" s="5" t="s">
        <v>344</v>
      </c>
      <c r="H28" s="5" t="s">
        <v>345</v>
      </c>
      <c r="AR28">
        <v>403</v>
      </c>
      <c r="AS28" s="105">
        <f>tblAdj[height]*tblAdj[aspect]</f>
        <v>725.4</v>
      </c>
      <c r="AT28">
        <v>1.8</v>
      </c>
      <c r="AU28" s="106">
        <f>tblAdj[[#This Row],[height]]*tblAdj[[#This Row],[width]]</f>
        <v>292336.2</v>
      </c>
      <c r="AV28" s="106">
        <f>tblAdj[[#This Row],[sqr_pts]]/180</f>
        <v>1624.0900000000001</v>
      </c>
      <c r="AW28" s="106">
        <f>IF(MOD(tblAdj[[#This Row],[height]],13)=0,1,0)</f>
        <v>1</v>
      </c>
    </row>
    <row r="29" spans="1:57" x14ac:dyDescent="0.3">
      <c r="A29" s="3">
        <v>27</v>
      </c>
      <c r="B29" s="4" t="s">
        <v>71</v>
      </c>
      <c r="C29" s="4" t="s">
        <v>70</v>
      </c>
      <c r="E29" s="5" t="s">
        <v>127</v>
      </c>
      <c r="F29" s="5" t="s">
        <v>27</v>
      </c>
      <c r="G29" s="5" t="s">
        <v>346</v>
      </c>
      <c r="H29" s="5" t="s">
        <v>347</v>
      </c>
      <c r="AR29">
        <v>416</v>
      </c>
      <c r="AS29" s="105">
        <f>tblAdj[height]*tblAdj[aspect]</f>
        <v>748.80000000000007</v>
      </c>
      <c r="AT29">
        <v>1.8</v>
      </c>
      <c r="AU29" s="106">
        <f>tblAdj[[#This Row],[height]]*tblAdj[[#This Row],[width]]</f>
        <v>311500.80000000005</v>
      </c>
      <c r="AV29" s="106">
        <f>tblAdj[[#This Row],[sqr_pts]]/180</f>
        <v>1730.5600000000002</v>
      </c>
      <c r="AW29" s="106">
        <f>IF(MOD(tblAdj[[#This Row],[height]],13)=0,1,0)</f>
        <v>1</v>
      </c>
    </row>
    <row r="30" spans="1:57" x14ac:dyDescent="0.3">
      <c r="A30" s="3">
        <v>29</v>
      </c>
      <c r="B30" s="4" t="s">
        <v>75</v>
      </c>
      <c r="C30" s="4" t="s">
        <v>74</v>
      </c>
      <c r="E30" s="5" t="s">
        <v>127</v>
      </c>
      <c r="F30" s="5" t="s">
        <v>27</v>
      </c>
      <c r="G30" s="5" t="s">
        <v>348</v>
      </c>
      <c r="H30" s="5" t="s">
        <v>349</v>
      </c>
      <c r="AR30">
        <v>429</v>
      </c>
      <c r="AS30" s="105">
        <f>tblAdj[height]*tblAdj[aspect]</f>
        <v>772.2</v>
      </c>
      <c r="AT30">
        <v>1.8</v>
      </c>
      <c r="AU30" s="106">
        <f>tblAdj[[#This Row],[height]]*tblAdj[[#This Row],[width]]</f>
        <v>331273.80000000005</v>
      </c>
      <c r="AV30" s="106">
        <f>tblAdj[[#This Row],[sqr_pts]]/180</f>
        <v>1840.4100000000003</v>
      </c>
      <c r="AW30" s="106">
        <f>IF(MOD(tblAdj[[#This Row],[height]],13)=0,1,0)</f>
        <v>1</v>
      </c>
    </row>
    <row r="31" spans="1:57" ht="28.8" x14ac:dyDescent="0.3">
      <c r="A31" s="3" t="s">
        <v>146</v>
      </c>
      <c r="B31" s="4" t="s">
        <v>147</v>
      </c>
      <c r="C31" s="4" t="s">
        <v>145</v>
      </c>
      <c r="E31" s="5" t="s">
        <v>126</v>
      </c>
      <c r="F31" s="5" t="s">
        <v>25</v>
      </c>
      <c r="G31" s="5" t="s">
        <v>160</v>
      </c>
      <c r="H31" s="5" t="s">
        <v>161</v>
      </c>
      <c r="AR31">
        <v>442</v>
      </c>
      <c r="AS31" s="105">
        <f>tblAdj[height]*tblAdj[aspect]</f>
        <v>795.6</v>
      </c>
      <c r="AT31">
        <v>1.8</v>
      </c>
      <c r="AU31" s="106">
        <f>tblAdj[[#This Row],[height]]*tblAdj[[#This Row],[width]]</f>
        <v>351655.2</v>
      </c>
      <c r="AV31" s="106">
        <f>tblAdj[[#This Row],[sqr_pts]]/180</f>
        <v>1953.64</v>
      </c>
      <c r="AW31" s="106">
        <f>IF(MOD(tblAdj[[#This Row],[height]],13)=0,1,0)</f>
        <v>1</v>
      </c>
    </row>
    <row r="32" spans="1:57" x14ac:dyDescent="0.3">
      <c r="A32" s="3">
        <v>28</v>
      </c>
      <c r="B32" s="4" t="s">
        <v>73</v>
      </c>
      <c r="C32" s="4" t="s">
        <v>72</v>
      </c>
      <c r="E32" s="5" t="s">
        <v>126</v>
      </c>
      <c r="F32" s="5" t="s">
        <v>25</v>
      </c>
      <c r="G32" s="5" t="s">
        <v>162</v>
      </c>
      <c r="H32" s="5" t="s">
        <v>163</v>
      </c>
      <c r="AR32">
        <v>455</v>
      </c>
      <c r="AS32" s="105">
        <f>tblAdj[height]*tblAdj[aspect]</f>
        <v>819</v>
      </c>
      <c r="AT32">
        <v>1.8</v>
      </c>
      <c r="AU32" s="106">
        <f>tblAdj[[#This Row],[height]]*tblAdj[[#This Row],[width]]</f>
        <v>372645</v>
      </c>
      <c r="AV32" s="106">
        <f>tblAdj[[#This Row],[sqr_pts]]/180</f>
        <v>2070.25</v>
      </c>
      <c r="AW32" s="106">
        <f>IF(MOD(tblAdj[[#This Row],[height]],13)=0,1,0)</f>
        <v>1</v>
      </c>
    </row>
    <row r="33" spans="1:49" x14ac:dyDescent="0.3">
      <c r="A33" s="3">
        <v>30</v>
      </c>
      <c r="B33" s="4" t="s">
        <v>77</v>
      </c>
      <c r="C33" s="4" t="s">
        <v>76</v>
      </c>
      <c r="E33" s="5" t="s">
        <v>126</v>
      </c>
      <c r="F33" s="5" t="s">
        <v>25</v>
      </c>
      <c r="G33" s="5" t="s">
        <v>164</v>
      </c>
      <c r="H33" s="5" t="s">
        <v>165</v>
      </c>
      <c r="AR33">
        <v>468</v>
      </c>
      <c r="AS33" s="105">
        <f>tblAdj[height]*tblAdj[aspect]</f>
        <v>842.4</v>
      </c>
      <c r="AT33">
        <v>1.8</v>
      </c>
      <c r="AU33" s="106">
        <f>tblAdj[[#This Row],[height]]*tblAdj[[#This Row],[width]]</f>
        <v>394243.2</v>
      </c>
      <c r="AV33" s="106">
        <f>tblAdj[[#This Row],[sqr_pts]]/180</f>
        <v>2190.2400000000002</v>
      </c>
      <c r="AW33" s="106">
        <f>IF(MOD(tblAdj[[#This Row],[height]],13)=0,1,0)</f>
        <v>1</v>
      </c>
    </row>
    <row r="34" spans="1:49" x14ac:dyDescent="0.3">
      <c r="A34" s="3">
        <v>37</v>
      </c>
      <c r="B34" s="4" t="s">
        <v>91</v>
      </c>
      <c r="C34" s="4" t="s">
        <v>90</v>
      </c>
      <c r="E34" s="5" t="s">
        <v>126</v>
      </c>
      <c r="F34" s="5" t="s">
        <v>25</v>
      </c>
      <c r="G34" s="5" t="s">
        <v>166</v>
      </c>
      <c r="H34" s="5" t="s">
        <v>167</v>
      </c>
      <c r="AR34">
        <v>481</v>
      </c>
      <c r="AS34" s="105">
        <f>tblAdj[height]*tblAdj[aspect]</f>
        <v>865.80000000000007</v>
      </c>
      <c r="AT34">
        <v>1.8</v>
      </c>
      <c r="AU34" s="106">
        <f>tblAdj[[#This Row],[height]]*tblAdj[[#This Row],[width]]</f>
        <v>416449.80000000005</v>
      </c>
      <c r="AV34" s="106">
        <f>tblAdj[[#This Row],[sqr_pts]]/180</f>
        <v>2313.61</v>
      </c>
      <c r="AW34" s="106">
        <f>IF(MOD(tblAdj[[#This Row],[height]],13)=0,1,0)</f>
        <v>1</v>
      </c>
    </row>
    <row r="35" spans="1:49" x14ac:dyDescent="0.3">
      <c r="A35" s="3">
        <v>38</v>
      </c>
      <c r="B35" s="4" t="s">
        <v>93</v>
      </c>
      <c r="C35" s="4" t="s">
        <v>92</v>
      </c>
      <c r="E35" s="5" t="s">
        <v>126</v>
      </c>
      <c r="F35" s="5" t="s">
        <v>25</v>
      </c>
      <c r="G35" s="5" t="s">
        <v>168</v>
      </c>
      <c r="H35" s="5" t="s">
        <v>169</v>
      </c>
      <c r="AR35">
        <v>494</v>
      </c>
      <c r="AS35" s="105">
        <f>tblAdj[height]*tblAdj[aspect]</f>
        <v>889.2</v>
      </c>
      <c r="AT35">
        <v>1.8</v>
      </c>
      <c r="AU35" s="106">
        <f>tblAdj[[#This Row],[height]]*tblAdj[[#This Row],[width]]</f>
        <v>439264.80000000005</v>
      </c>
      <c r="AV35" s="106">
        <f>tblAdj[[#This Row],[sqr_pts]]/180</f>
        <v>2440.36</v>
      </c>
      <c r="AW35" s="106">
        <f>IF(MOD(tblAdj[[#This Row],[height]],13)=0,1,0)</f>
        <v>1</v>
      </c>
    </row>
    <row r="36" spans="1:49" x14ac:dyDescent="0.3">
      <c r="A36" s="3">
        <v>31</v>
      </c>
      <c r="B36" s="4" t="s">
        <v>79</v>
      </c>
      <c r="C36" s="4" t="s">
        <v>78</v>
      </c>
      <c r="E36" s="5" t="s">
        <v>126</v>
      </c>
      <c r="F36" s="5" t="s">
        <v>25</v>
      </c>
      <c r="G36" s="5" t="s">
        <v>170</v>
      </c>
      <c r="H36" s="5" t="s">
        <v>171</v>
      </c>
      <c r="AR36">
        <v>507</v>
      </c>
      <c r="AS36" s="105">
        <f>tblAdj[height]*tblAdj[aspect]</f>
        <v>912.6</v>
      </c>
      <c r="AT36">
        <v>1.8</v>
      </c>
      <c r="AU36" s="106">
        <f>tblAdj[[#This Row],[height]]*tblAdj[[#This Row],[width]]</f>
        <v>462688.2</v>
      </c>
      <c r="AV36" s="106">
        <f>tblAdj[[#This Row],[sqr_pts]]/180</f>
        <v>2570.4900000000002</v>
      </c>
      <c r="AW36" s="106">
        <f>IF(MOD(tblAdj[[#This Row],[height]],13)=0,1,0)</f>
        <v>1</v>
      </c>
    </row>
    <row r="37" spans="1:49" x14ac:dyDescent="0.3">
      <c r="A37" s="3">
        <v>33</v>
      </c>
      <c r="B37" s="4" t="s">
        <v>83</v>
      </c>
      <c r="C37" s="4" t="s">
        <v>82</v>
      </c>
      <c r="E37" s="5" t="s">
        <v>126</v>
      </c>
      <c r="F37" s="5" t="s">
        <v>25</v>
      </c>
      <c r="G37" s="5" t="s">
        <v>172</v>
      </c>
      <c r="H37" s="5" t="s">
        <v>173</v>
      </c>
      <c r="AR37">
        <v>520</v>
      </c>
      <c r="AS37" s="105">
        <f>tblAdj[height]*tblAdj[aspect]</f>
        <v>936</v>
      </c>
      <c r="AT37">
        <v>1.8</v>
      </c>
      <c r="AU37" s="106">
        <f>tblAdj[[#This Row],[height]]*tblAdj[[#This Row],[width]]</f>
        <v>486720</v>
      </c>
      <c r="AV37" s="106">
        <f>tblAdj[[#This Row],[sqr_pts]]/180</f>
        <v>2704</v>
      </c>
      <c r="AW37" s="106">
        <f>IF(MOD(tblAdj[[#This Row],[height]],13)=0,1,0)</f>
        <v>1</v>
      </c>
    </row>
    <row r="38" spans="1:49" x14ac:dyDescent="0.3">
      <c r="A38" s="3">
        <v>34</v>
      </c>
      <c r="B38" s="4" t="s">
        <v>85</v>
      </c>
      <c r="C38" s="4" t="s">
        <v>84</v>
      </c>
      <c r="E38" s="5" t="s">
        <v>126</v>
      </c>
      <c r="F38" s="5" t="s">
        <v>25</v>
      </c>
      <c r="G38" s="5" t="s">
        <v>174</v>
      </c>
      <c r="H38" s="5" t="s">
        <v>175</v>
      </c>
      <c r="AR38">
        <v>533</v>
      </c>
      <c r="AS38" s="105">
        <f>tblAdj[height]*tblAdj[aspect]</f>
        <v>959.4</v>
      </c>
      <c r="AT38">
        <v>1.8</v>
      </c>
      <c r="AU38" s="106">
        <f>tblAdj[[#This Row],[height]]*tblAdj[[#This Row],[width]]</f>
        <v>511360.2</v>
      </c>
      <c r="AV38" s="106">
        <f>tblAdj[[#This Row],[sqr_pts]]/180</f>
        <v>2840.89</v>
      </c>
      <c r="AW38" s="106">
        <f>IF(MOD(tblAdj[[#This Row],[height]],13)=0,1,0)</f>
        <v>1</v>
      </c>
    </row>
    <row r="39" spans="1:49" x14ac:dyDescent="0.3">
      <c r="A39" s="3">
        <v>35</v>
      </c>
      <c r="B39" s="4" t="s">
        <v>87</v>
      </c>
      <c r="C39" s="4" t="s">
        <v>86</v>
      </c>
      <c r="E39" s="5" t="s">
        <v>126</v>
      </c>
      <c r="F39" s="5" t="s">
        <v>25</v>
      </c>
      <c r="G39" s="5" t="s">
        <v>176</v>
      </c>
      <c r="H39" s="5" t="s">
        <v>177</v>
      </c>
      <c r="AR39">
        <v>546</v>
      </c>
      <c r="AS39" s="105">
        <f>tblAdj[height]*tblAdj[aspect]</f>
        <v>982.80000000000007</v>
      </c>
      <c r="AT39">
        <v>1.8</v>
      </c>
      <c r="AU39" s="106">
        <f>tblAdj[[#This Row],[height]]*tblAdj[[#This Row],[width]]</f>
        <v>536608.80000000005</v>
      </c>
      <c r="AV39" s="106">
        <f>tblAdj[[#This Row],[sqr_pts]]/180</f>
        <v>2981.1600000000003</v>
      </c>
      <c r="AW39" s="106">
        <f>IF(MOD(tblAdj[[#This Row],[height]],13)=0,1,0)</f>
        <v>1</v>
      </c>
    </row>
    <row r="40" spans="1:49" x14ac:dyDescent="0.3">
      <c r="A40" s="3">
        <v>32</v>
      </c>
      <c r="B40" s="4" t="s">
        <v>81</v>
      </c>
      <c r="C40" s="4" t="s">
        <v>80</v>
      </c>
      <c r="E40" s="5" t="s">
        <v>126</v>
      </c>
      <c r="F40" s="5" t="s">
        <v>25</v>
      </c>
      <c r="G40" s="5" t="s">
        <v>178</v>
      </c>
      <c r="H40" s="5" t="s">
        <v>179</v>
      </c>
    </row>
    <row r="41" spans="1:49" x14ac:dyDescent="0.3">
      <c r="A41" s="3">
        <v>36</v>
      </c>
      <c r="B41" s="4" t="s">
        <v>89</v>
      </c>
      <c r="C41" s="4" t="s">
        <v>88</v>
      </c>
      <c r="E41" s="5" t="s">
        <v>126</v>
      </c>
      <c r="F41" s="5" t="s">
        <v>25</v>
      </c>
      <c r="G41" s="5" t="s">
        <v>180</v>
      </c>
      <c r="H41" s="5" t="s">
        <v>181</v>
      </c>
    </row>
    <row r="42" spans="1:49" x14ac:dyDescent="0.3">
      <c r="A42" s="3">
        <v>39</v>
      </c>
      <c r="B42" s="4" t="s">
        <v>95</v>
      </c>
      <c r="C42" s="4" t="s">
        <v>94</v>
      </c>
      <c r="E42" s="5" t="s">
        <v>126</v>
      </c>
      <c r="F42" s="5" t="s">
        <v>25</v>
      </c>
      <c r="G42" s="5" t="s">
        <v>182</v>
      </c>
      <c r="H42" s="5" t="s">
        <v>183</v>
      </c>
    </row>
    <row r="43" spans="1:49" x14ac:dyDescent="0.3">
      <c r="A43" s="3">
        <v>40</v>
      </c>
      <c r="B43" s="4" t="s">
        <v>97</v>
      </c>
      <c r="C43" s="4" t="s">
        <v>96</v>
      </c>
      <c r="E43" s="5" t="s">
        <v>126</v>
      </c>
      <c r="F43" s="5" t="s">
        <v>25</v>
      </c>
      <c r="G43" s="5" t="s">
        <v>184</v>
      </c>
      <c r="H43" s="5" t="s">
        <v>185</v>
      </c>
    </row>
    <row r="44" spans="1:49" x14ac:dyDescent="0.3">
      <c r="A44" s="3">
        <v>41</v>
      </c>
      <c r="B44" s="4" t="s">
        <v>99</v>
      </c>
      <c r="C44" s="4" t="s">
        <v>98</v>
      </c>
      <c r="E44" s="5" t="s">
        <v>126</v>
      </c>
      <c r="F44" s="5" t="s">
        <v>25</v>
      </c>
      <c r="G44" s="5" t="s">
        <v>186</v>
      </c>
      <c r="H44" s="5" t="s">
        <v>187</v>
      </c>
    </row>
    <row r="45" spans="1:49" x14ac:dyDescent="0.3">
      <c r="A45" s="3">
        <v>42</v>
      </c>
      <c r="B45" s="4" t="s">
        <v>101</v>
      </c>
      <c r="C45" s="4" t="s">
        <v>100</v>
      </c>
      <c r="E45" s="5" t="s">
        <v>126</v>
      </c>
      <c r="F45" s="5" t="s">
        <v>25</v>
      </c>
      <c r="G45" s="5" t="s">
        <v>188</v>
      </c>
      <c r="H45" s="5" t="s">
        <v>189</v>
      </c>
    </row>
    <row r="46" spans="1:49" x14ac:dyDescent="0.3">
      <c r="A46" s="3" t="s">
        <v>152</v>
      </c>
      <c r="B46" s="4" t="s">
        <v>153</v>
      </c>
      <c r="C46" s="4" t="s">
        <v>151</v>
      </c>
      <c r="E46" s="5" t="s">
        <v>126</v>
      </c>
      <c r="F46" s="5" t="s">
        <v>25</v>
      </c>
      <c r="G46" s="5" t="s">
        <v>190</v>
      </c>
      <c r="H46" s="5" t="s">
        <v>191</v>
      </c>
    </row>
    <row r="47" spans="1:49" x14ac:dyDescent="0.3">
      <c r="A47" s="3" t="s">
        <v>149</v>
      </c>
      <c r="B47" s="4" t="s">
        <v>150</v>
      </c>
      <c r="C47" s="4" t="s">
        <v>148</v>
      </c>
      <c r="E47" s="5" t="s">
        <v>126</v>
      </c>
      <c r="F47" s="5" t="s">
        <v>25</v>
      </c>
      <c r="G47" s="5" t="s">
        <v>192</v>
      </c>
      <c r="H47" s="5" t="s">
        <v>193</v>
      </c>
    </row>
    <row r="48" spans="1:49" x14ac:dyDescent="0.3">
      <c r="A48" s="3">
        <v>44</v>
      </c>
      <c r="B48" s="4" t="s">
        <v>103</v>
      </c>
      <c r="C48" s="4" t="s">
        <v>102</v>
      </c>
      <c r="E48" s="5" t="s">
        <v>126</v>
      </c>
      <c r="F48" s="5" t="s">
        <v>25</v>
      </c>
      <c r="G48" s="5" t="s">
        <v>194</v>
      </c>
      <c r="H48" s="5" t="s">
        <v>195</v>
      </c>
    </row>
    <row r="49" spans="1:8" x14ac:dyDescent="0.3">
      <c r="A49" s="3">
        <v>45</v>
      </c>
      <c r="B49" s="4" t="s">
        <v>105</v>
      </c>
      <c r="C49" s="4" t="s">
        <v>104</v>
      </c>
      <c r="E49" s="5" t="s">
        <v>126</v>
      </c>
      <c r="F49" s="5" t="s">
        <v>25</v>
      </c>
      <c r="G49" s="5" t="s">
        <v>196</v>
      </c>
      <c r="H49" s="5" t="s">
        <v>197</v>
      </c>
    </row>
    <row r="50" spans="1:8" x14ac:dyDescent="0.3">
      <c r="A50" s="3">
        <v>46</v>
      </c>
      <c r="B50" s="4" t="s">
        <v>107</v>
      </c>
      <c r="C50" s="4" t="s">
        <v>106</v>
      </c>
      <c r="E50" s="5" t="s">
        <v>126</v>
      </c>
      <c r="F50" s="5" t="s">
        <v>25</v>
      </c>
      <c r="G50" s="5" t="s">
        <v>198</v>
      </c>
      <c r="H50" s="5" t="s">
        <v>199</v>
      </c>
    </row>
    <row r="51" spans="1:8" x14ac:dyDescent="0.3">
      <c r="A51" s="3">
        <v>47</v>
      </c>
      <c r="B51" s="4" t="s">
        <v>109</v>
      </c>
      <c r="C51" s="4" t="s">
        <v>108</v>
      </c>
      <c r="E51" s="5" t="s">
        <v>126</v>
      </c>
      <c r="F51" s="5" t="s">
        <v>25</v>
      </c>
      <c r="G51" s="5" t="s">
        <v>200</v>
      </c>
      <c r="H51" s="5" t="s">
        <v>201</v>
      </c>
    </row>
    <row r="52" spans="1:8" x14ac:dyDescent="0.3">
      <c r="A52" s="3">
        <v>48</v>
      </c>
      <c r="B52" s="4" t="s">
        <v>111</v>
      </c>
      <c r="C52" s="4" t="s">
        <v>110</v>
      </c>
      <c r="E52" s="5" t="s">
        <v>126</v>
      </c>
      <c r="F52" s="5" t="s">
        <v>25</v>
      </c>
      <c r="G52" s="5" t="s">
        <v>202</v>
      </c>
      <c r="H52" s="5" t="s">
        <v>203</v>
      </c>
    </row>
    <row r="53" spans="1:8" ht="28.8" x14ac:dyDescent="0.3">
      <c r="A53" s="3" t="s">
        <v>158</v>
      </c>
      <c r="B53" s="4" t="s">
        <v>159</v>
      </c>
      <c r="C53" s="4" t="s">
        <v>157</v>
      </c>
      <c r="E53" s="5" t="s">
        <v>126</v>
      </c>
      <c r="F53" s="5" t="s">
        <v>25</v>
      </c>
      <c r="G53" s="5" t="s">
        <v>204</v>
      </c>
      <c r="H53" s="5" t="s">
        <v>205</v>
      </c>
    </row>
    <row r="54" spans="1:8" x14ac:dyDescent="0.3">
      <c r="A54" s="3">
        <v>49</v>
      </c>
      <c r="B54" s="4" t="s">
        <v>113</v>
      </c>
      <c r="C54" s="4" t="s">
        <v>112</v>
      </c>
      <c r="E54" s="5" t="s">
        <v>126</v>
      </c>
      <c r="F54" s="5" t="s">
        <v>25</v>
      </c>
      <c r="G54" s="5" t="s">
        <v>206</v>
      </c>
      <c r="H54" s="5" t="s">
        <v>207</v>
      </c>
    </row>
    <row r="55" spans="1:8" x14ac:dyDescent="0.3">
      <c r="A55" s="3">
        <v>51</v>
      </c>
      <c r="B55" s="4" t="s">
        <v>117</v>
      </c>
      <c r="C55" s="4" t="s">
        <v>116</v>
      </c>
      <c r="E55" s="5" t="s">
        <v>126</v>
      </c>
      <c r="F55" s="5" t="s">
        <v>25</v>
      </c>
      <c r="G55" s="5" t="s">
        <v>208</v>
      </c>
      <c r="H55" s="5" t="s">
        <v>209</v>
      </c>
    </row>
    <row r="56" spans="1:8" x14ac:dyDescent="0.3">
      <c r="A56" s="3" t="s">
        <v>155</v>
      </c>
      <c r="B56" s="4" t="s">
        <v>156</v>
      </c>
      <c r="C56" s="4" t="s">
        <v>154</v>
      </c>
      <c r="E56" s="5" t="s">
        <v>126</v>
      </c>
      <c r="F56" s="5" t="s">
        <v>25</v>
      </c>
      <c r="G56" s="5" t="s">
        <v>210</v>
      </c>
      <c r="H56" s="5" t="s">
        <v>211</v>
      </c>
    </row>
    <row r="57" spans="1:8" x14ac:dyDescent="0.3">
      <c r="A57" s="3">
        <v>50</v>
      </c>
      <c r="B57" s="4" t="s">
        <v>115</v>
      </c>
      <c r="C57" s="4" t="s">
        <v>114</v>
      </c>
      <c r="E57" s="5" t="s">
        <v>126</v>
      </c>
      <c r="F57" s="5" t="s">
        <v>25</v>
      </c>
      <c r="G57" s="5" t="s">
        <v>212</v>
      </c>
      <c r="H57" s="5" t="s">
        <v>213</v>
      </c>
    </row>
    <row r="58" spans="1:8" x14ac:dyDescent="0.3">
      <c r="A58" s="3">
        <v>53</v>
      </c>
      <c r="B58" s="4" t="s">
        <v>119</v>
      </c>
      <c r="C58" s="4" t="s">
        <v>118</v>
      </c>
      <c r="E58" s="5" t="s">
        <v>126</v>
      </c>
      <c r="F58" s="5" t="s">
        <v>25</v>
      </c>
      <c r="G58" s="5" t="s">
        <v>214</v>
      </c>
      <c r="H58" s="5" t="s">
        <v>215</v>
      </c>
    </row>
    <row r="59" spans="1:8" x14ac:dyDescent="0.3">
      <c r="A59" s="3">
        <v>55</v>
      </c>
      <c r="B59" s="4" t="s">
        <v>123</v>
      </c>
      <c r="C59" s="4" t="s">
        <v>122</v>
      </c>
      <c r="E59" s="5" t="s">
        <v>126</v>
      </c>
      <c r="F59" s="5" t="s">
        <v>25</v>
      </c>
      <c r="G59" s="5" t="s">
        <v>216</v>
      </c>
      <c r="H59" s="5" t="s">
        <v>217</v>
      </c>
    </row>
    <row r="60" spans="1:8" x14ac:dyDescent="0.3">
      <c r="A60" s="3">
        <v>54</v>
      </c>
      <c r="B60" s="4" t="s">
        <v>121</v>
      </c>
      <c r="C60" s="4" t="s">
        <v>120</v>
      </c>
      <c r="E60" s="5" t="s">
        <v>126</v>
      </c>
      <c r="F60" s="5" t="s">
        <v>25</v>
      </c>
      <c r="G60" s="5" t="s">
        <v>218</v>
      </c>
      <c r="H60" s="5" t="s">
        <v>219</v>
      </c>
    </row>
    <row r="61" spans="1:8" x14ac:dyDescent="0.3">
      <c r="A61" s="3">
        <v>56</v>
      </c>
      <c r="B61" s="4" t="s">
        <v>125</v>
      </c>
      <c r="C61" s="4" t="s">
        <v>124</v>
      </c>
      <c r="E61" s="5" t="s">
        <v>126</v>
      </c>
      <c r="F61" s="5" t="s">
        <v>25</v>
      </c>
      <c r="G61" s="5" t="s">
        <v>220</v>
      </c>
      <c r="H61" s="5" t="s">
        <v>221</v>
      </c>
    </row>
    <row r="62" spans="1:8" x14ac:dyDescent="0.3">
      <c r="E62" s="5" t="s">
        <v>126</v>
      </c>
      <c r="F62" s="5" t="s">
        <v>25</v>
      </c>
      <c r="G62" s="5" t="s">
        <v>222</v>
      </c>
      <c r="H62" s="5" t="s">
        <v>223</v>
      </c>
    </row>
    <row r="63" spans="1:8" x14ac:dyDescent="0.3">
      <c r="E63" s="5" t="s">
        <v>126</v>
      </c>
      <c r="F63" s="5" t="s">
        <v>25</v>
      </c>
      <c r="G63" s="5" t="s">
        <v>224</v>
      </c>
      <c r="H63" s="5" t="s">
        <v>225</v>
      </c>
    </row>
    <row r="64" spans="1:8" x14ac:dyDescent="0.3">
      <c r="E64" s="5" t="s">
        <v>126</v>
      </c>
      <c r="F64" s="5" t="s">
        <v>25</v>
      </c>
      <c r="G64" s="5" t="s">
        <v>226</v>
      </c>
      <c r="H64" s="5" t="s">
        <v>227</v>
      </c>
    </row>
    <row r="65" spans="5:8" x14ac:dyDescent="0.3">
      <c r="E65" s="5" t="s">
        <v>126</v>
      </c>
      <c r="F65" s="5" t="s">
        <v>25</v>
      </c>
      <c r="G65" s="5" t="s">
        <v>228</v>
      </c>
      <c r="H65" s="5" t="s">
        <v>229</v>
      </c>
    </row>
    <row r="66" spans="5:8" x14ac:dyDescent="0.3">
      <c r="E66" s="5" t="s">
        <v>126</v>
      </c>
      <c r="F66" s="5" t="s">
        <v>25</v>
      </c>
      <c r="G66" s="5" t="s">
        <v>230</v>
      </c>
      <c r="H66" s="5" t="s">
        <v>231</v>
      </c>
    </row>
    <row r="67" spans="5:8" x14ac:dyDescent="0.3">
      <c r="E67" s="5" t="s">
        <v>126</v>
      </c>
      <c r="F67" s="5" t="s">
        <v>25</v>
      </c>
      <c r="G67" s="5" t="s">
        <v>232</v>
      </c>
      <c r="H67" s="5" t="s">
        <v>233</v>
      </c>
    </row>
    <row r="68" spans="5:8" x14ac:dyDescent="0.3">
      <c r="E68" s="5" t="s">
        <v>126</v>
      </c>
      <c r="F68" s="5" t="s">
        <v>25</v>
      </c>
      <c r="G68" s="5" t="s">
        <v>234</v>
      </c>
      <c r="H68" s="5" t="s">
        <v>235</v>
      </c>
    </row>
    <row r="69" spans="5:8" x14ac:dyDescent="0.3">
      <c r="E69" s="5" t="s">
        <v>126</v>
      </c>
      <c r="F69" s="5" t="s">
        <v>25</v>
      </c>
      <c r="G69" s="5" t="s">
        <v>236</v>
      </c>
      <c r="H69" s="5" t="s">
        <v>237</v>
      </c>
    </row>
    <row r="70" spans="5:8" x14ac:dyDescent="0.3">
      <c r="E70" s="5" t="s">
        <v>126</v>
      </c>
      <c r="F70" s="5" t="s">
        <v>25</v>
      </c>
      <c r="G70" s="5" t="s">
        <v>238</v>
      </c>
      <c r="H70" s="5" t="s">
        <v>239</v>
      </c>
    </row>
    <row r="71" spans="5:8" x14ac:dyDescent="0.3">
      <c r="E71" s="5" t="s">
        <v>126</v>
      </c>
      <c r="F71" s="5" t="s">
        <v>25</v>
      </c>
      <c r="G71" s="5" t="s">
        <v>240</v>
      </c>
      <c r="H71" s="5" t="s">
        <v>241</v>
      </c>
    </row>
    <row r="72" spans="5:8" x14ac:dyDescent="0.3">
      <c r="E72" s="5" t="s">
        <v>126</v>
      </c>
      <c r="F72" s="5" t="s">
        <v>25</v>
      </c>
      <c r="G72" s="5" t="s">
        <v>242</v>
      </c>
      <c r="H72" s="5" t="s">
        <v>243</v>
      </c>
    </row>
    <row r="73" spans="5:8" x14ac:dyDescent="0.3">
      <c r="E73" s="5" t="s">
        <v>126</v>
      </c>
      <c r="F73" s="5" t="s">
        <v>25</v>
      </c>
      <c r="G73" s="5" t="s">
        <v>244</v>
      </c>
      <c r="H73" s="5" t="s">
        <v>245</v>
      </c>
    </row>
    <row r="74" spans="5:8" x14ac:dyDescent="0.3">
      <c r="E74" s="5" t="s">
        <v>126</v>
      </c>
      <c r="F74" s="5" t="s">
        <v>25</v>
      </c>
      <c r="G74" s="5" t="s">
        <v>246</v>
      </c>
      <c r="H74" s="5" t="s">
        <v>247</v>
      </c>
    </row>
    <row r="75" spans="5:8" x14ac:dyDescent="0.3">
      <c r="E75" s="5" t="s">
        <v>126</v>
      </c>
      <c r="F75" s="5" t="s">
        <v>25</v>
      </c>
      <c r="G75" s="5" t="s">
        <v>248</v>
      </c>
      <c r="H75" s="5" t="s">
        <v>249</v>
      </c>
    </row>
    <row r="76" spans="5:8" x14ac:dyDescent="0.3">
      <c r="E76" s="5" t="s">
        <v>126</v>
      </c>
      <c r="F76" s="5" t="s">
        <v>25</v>
      </c>
      <c r="G76" s="5" t="s">
        <v>250</v>
      </c>
      <c r="H76" s="5" t="s">
        <v>251</v>
      </c>
    </row>
    <row r="77" spans="5:8" x14ac:dyDescent="0.3">
      <c r="E77" s="5" t="s">
        <v>126</v>
      </c>
      <c r="F77" s="5" t="s">
        <v>25</v>
      </c>
      <c r="G77" s="5" t="s">
        <v>252</v>
      </c>
      <c r="H77" s="5" t="s">
        <v>253</v>
      </c>
    </row>
    <row r="78" spans="5:8" x14ac:dyDescent="0.3">
      <c r="E78" s="5" t="s">
        <v>126</v>
      </c>
      <c r="F78" s="5" t="s">
        <v>25</v>
      </c>
      <c r="G78" s="5" t="s">
        <v>254</v>
      </c>
      <c r="H78" s="5" t="s">
        <v>255</v>
      </c>
    </row>
    <row r="79" spans="5:8" x14ac:dyDescent="0.3">
      <c r="E79" s="5" t="s">
        <v>126</v>
      </c>
      <c r="F79" s="5" t="s">
        <v>25</v>
      </c>
      <c r="G79" s="5" t="s">
        <v>256</v>
      </c>
      <c r="H79" s="5" t="s">
        <v>257</v>
      </c>
    </row>
    <row r="80" spans="5:8" x14ac:dyDescent="0.3">
      <c r="E80" s="5" t="s">
        <v>126</v>
      </c>
      <c r="F80" s="5" t="s">
        <v>25</v>
      </c>
      <c r="G80" s="5" t="s">
        <v>258</v>
      </c>
      <c r="H80" s="5" t="s">
        <v>259</v>
      </c>
    </row>
    <row r="81" spans="5:8" x14ac:dyDescent="0.3">
      <c r="E81" s="5" t="s">
        <v>126</v>
      </c>
      <c r="F81" s="5" t="s">
        <v>25</v>
      </c>
      <c r="G81" s="5" t="s">
        <v>260</v>
      </c>
      <c r="H81" s="5" t="s">
        <v>261</v>
      </c>
    </row>
    <row r="82" spans="5:8" x14ac:dyDescent="0.3">
      <c r="E82" s="5" t="s">
        <v>126</v>
      </c>
      <c r="F82" s="5" t="s">
        <v>25</v>
      </c>
      <c r="G82" s="5" t="s">
        <v>262</v>
      </c>
      <c r="H82" s="5" t="s">
        <v>263</v>
      </c>
    </row>
    <row r="83" spans="5:8" x14ac:dyDescent="0.3">
      <c r="E83" s="5" t="s">
        <v>126</v>
      </c>
      <c r="F83" s="5" t="s">
        <v>25</v>
      </c>
      <c r="G83" s="5" t="s">
        <v>264</v>
      </c>
      <c r="H83" s="5" t="s">
        <v>265</v>
      </c>
    </row>
    <row r="84" spans="5:8" x14ac:dyDescent="0.3">
      <c r="E84" s="5" t="s">
        <v>126</v>
      </c>
      <c r="F84" s="5" t="s">
        <v>25</v>
      </c>
      <c r="G84" s="5" t="s">
        <v>266</v>
      </c>
      <c r="H84" s="5" t="s">
        <v>267</v>
      </c>
    </row>
    <row r="85" spans="5:8" x14ac:dyDescent="0.3">
      <c r="E85" s="5" t="s">
        <v>126</v>
      </c>
      <c r="F85" s="5" t="s">
        <v>25</v>
      </c>
      <c r="G85" s="5" t="s">
        <v>268</v>
      </c>
      <c r="H85" s="5" t="s">
        <v>269</v>
      </c>
    </row>
    <row r="86" spans="5:8" x14ac:dyDescent="0.3">
      <c r="E86" s="5" t="s">
        <v>126</v>
      </c>
      <c r="F86" s="5" t="s">
        <v>25</v>
      </c>
      <c r="G86" s="5" t="s">
        <v>270</v>
      </c>
      <c r="H86" s="5" t="s">
        <v>271</v>
      </c>
    </row>
    <row r="87" spans="5:8" x14ac:dyDescent="0.3">
      <c r="E87" s="5" t="s">
        <v>126</v>
      </c>
      <c r="F87" s="5" t="s">
        <v>25</v>
      </c>
      <c r="G87" s="5" t="s">
        <v>272</v>
      </c>
      <c r="H87" s="5" t="s">
        <v>273</v>
      </c>
    </row>
    <row r="88" spans="5:8" x14ac:dyDescent="0.3">
      <c r="E88" s="5" t="s">
        <v>126</v>
      </c>
      <c r="F88" s="5" t="s">
        <v>25</v>
      </c>
      <c r="G88" s="5" t="s">
        <v>276</v>
      </c>
      <c r="H88" s="5" t="s">
        <v>277</v>
      </c>
    </row>
    <row r="89" spans="5:8" x14ac:dyDescent="0.3">
      <c r="E89" s="5" t="s">
        <v>126</v>
      </c>
      <c r="F89" s="5" t="s">
        <v>25</v>
      </c>
      <c r="G89" s="5" t="s">
        <v>274</v>
      </c>
      <c r="H89" s="5" t="s">
        <v>275</v>
      </c>
    </row>
    <row r="90" spans="5:8" x14ac:dyDescent="0.3">
      <c r="E90" s="5" t="s">
        <v>126</v>
      </c>
      <c r="F90" s="5" t="s">
        <v>25</v>
      </c>
      <c r="G90" s="5" t="s">
        <v>278</v>
      </c>
      <c r="H90" s="5" t="s">
        <v>279</v>
      </c>
    </row>
    <row r="91" spans="5:8" x14ac:dyDescent="0.3">
      <c r="E91" s="5" t="s">
        <v>126</v>
      </c>
      <c r="F91" s="5" t="s">
        <v>25</v>
      </c>
      <c r="G91" s="5" t="s">
        <v>280</v>
      </c>
      <c r="H91" s="5" t="s">
        <v>281</v>
      </c>
    </row>
    <row r="92" spans="5:8" x14ac:dyDescent="0.3">
      <c r="E92" s="5" t="s">
        <v>126</v>
      </c>
      <c r="F92" s="5" t="s">
        <v>25</v>
      </c>
      <c r="G92" s="5" t="s">
        <v>282</v>
      </c>
      <c r="H92" s="5" t="s">
        <v>283</v>
      </c>
    </row>
    <row r="93" spans="5:8" x14ac:dyDescent="0.3">
      <c r="E93" s="5" t="s">
        <v>126</v>
      </c>
      <c r="F93" s="5" t="s">
        <v>25</v>
      </c>
      <c r="G93" s="5" t="s">
        <v>284</v>
      </c>
      <c r="H93" s="5" t="s">
        <v>285</v>
      </c>
    </row>
    <row r="94" spans="5:8" x14ac:dyDescent="0.3">
      <c r="E94" s="5" t="s">
        <v>126</v>
      </c>
      <c r="F94" s="5" t="s">
        <v>25</v>
      </c>
      <c r="G94" s="5" t="s">
        <v>286</v>
      </c>
      <c r="H94" s="5" t="s">
        <v>287</v>
      </c>
    </row>
    <row r="95" spans="5:8" x14ac:dyDescent="0.3">
      <c r="E95" s="5" t="s">
        <v>126</v>
      </c>
      <c r="F95" s="5" t="s">
        <v>25</v>
      </c>
      <c r="G95" s="5" t="s">
        <v>288</v>
      </c>
      <c r="H95" s="5" t="s">
        <v>289</v>
      </c>
    </row>
    <row r="96" spans="5:8" x14ac:dyDescent="0.3">
      <c r="E96" s="5" t="s">
        <v>126</v>
      </c>
      <c r="F96" s="5" t="s">
        <v>25</v>
      </c>
      <c r="G96" s="5" t="s">
        <v>290</v>
      </c>
      <c r="H96" s="5" t="s">
        <v>291</v>
      </c>
    </row>
    <row r="97" spans="5:8" x14ac:dyDescent="0.3">
      <c r="E97" s="5" t="s">
        <v>126</v>
      </c>
      <c r="F97" s="5" t="s">
        <v>25</v>
      </c>
      <c r="G97" s="5" t="s">
        <v>292</v>
      </c>
      <c r="H97" s="5" t="s">
        <v>293</v>
      </c>
    </row>
    <row r="98" spans="5:8" x14ac:dyDescent="0.3">
      <c r="E98" s="5" t="s">
        <v>129</v>
      </c>
      <c r="F98" s="5" t="s">
        <v>31</v>
      </c>
      <c r="G98" s="5" t="s">
        <v>160</v>
      </c>
      <c r="H98" s="5" t="s">
        <v>366</v>
      </c>
    </row>
    <row r="99" spans="5:8" x14ac:dyDescent="0.3">
      <c r="E99" s="5" t="s">
        <v>129</v>
      </c>
      <c r="F99" s="5" t="s">
        <v>31</v>
      </c>
      <c r="G99" s="5" t="s">
        <v>162</v>
      </c>
      <c r="H99" s="5" t="s">
        <v>367</v>
      </c>
    </row>
    <row r="100" spans="5:8" x14ac:dyDescent="0.3">
      <c r="E100" s="5" t="s">
        <v>129</v>
      </c>
      <c r="F100" s="5" t="s">
        <v>31</v>
      </c>
      <c r="G100" s="5" t="s">
        <v>164</v>
      </c>
      <c r="H100" s="5" t="s">
        <v>368</v>
      </c>
    </row>
    <row r="101" spans="5:8" x14ac:dyDescent="0.3">
      <c r="E101" s="5" t="s">
        <v>129</v>
      </c>
      <c r="F101" s="5" t="s">
        <v>31</v>
      </c>
      <c r="G101" s="5" t="s">
        <v>166</v>
      </c>
      <c r="H101" s="5" t="s">
        <v>369</v>
      </c>
    </row>
    <row r="102" spans="5:8" x14ac:dyDescent="0.3">
      <c r="E102" s="5" t="s">
        <v>129</v>
      </c>
      <c r="F102" s="5" t="s">
        <v>31</v>
      </c>
      <c r="G102" s="5" t="s">
        <v>168</v>
      </c>
      <c r="H102" s="5" t="s">
        <v>370</v>
      </c>
    </row>
    <row r="103" spans="5:8" x14ac:dyDescent="0.3">
      <c r="E103" s="5" t="s">
        <v>129</v>
      </c>
      <c r="F103" s="5" t="s">
        <v>31</v>
      </c>
      <c r="G103" s="5" t="s">
        <v>170</v>
      </c>
      <c r="H103" s="5" t="s">
        <v>371</v>
      </c>
    </row>
    <row r="104" spans="5:8" x14ac:dyDescent="0.3">
      <c r="E104" s="5" t="s">
        <v>129</v>
      </c>
      <c r="F104" s="5" t="s">
        <v>31</v>
      </c>
      <c r="G104" s="5" t="s">
        <v>172</v>
      </c>
      <c r="H104" s="5" t="s">
        <v>175</v>
      </c>
    </row>
    <row r="105" spans="5:8" x14ac:dyDescent="0.3">
      <c r="E105" s="5" t="s">
        <v>129</v>
      </c>
      <c r="F105" s="5" t="s">
        <v>31</v>
      </c>
      <c r="G105" s="5" t="s">
        <v>174</v>
      </c>
      <c r="H105" s="5" t="s">
        <v>372</v>
      </c>
    </row>
    <row r="106" spans="5:8" x14ac:dyDescent="0.3">
      <c r="E106" s="5" t="s">
        <v>129</v>
      </c>
      <c r="F106" s="5" t="s">
        <v>31</v>
      </c>
      <c r="G106" s="5" t="s">
        <v>176</v>
      </c>
      <c r="H106" s="5" t="s">
        <v>373</v>
      </c>
    </row>
    <row r="107" spans="5:8" x14ac:dyDescent="0.3">
      <c r="E107" s="5" t="s">
        <v>129</v>
      </c>
      <c r="F107" s="5" t="s">
        <v>31</v>
      </c>
      <c r="G107" s="5" t="s">
        <v>178</v>
      </c>
      <c r="H107" s="5" t="s">
        <v>374</v>
      </c>
    </row>
    <row r="108" spans="5:8" x14ac:dyDescent="0.3">
      <c r="E108" s="5" t="s">
        <v>129</v>
      </c>
      <c r="F108" s="5" t="s">
        <v>31</v>
      </c>
      <c r="G108" s="5" t="s">
        <v>180</v>
      </c>
      <c r="H108" s="5" t="s">
        <v>187</v>
      </c>
    </row>
    <row r="109" spans="5:8" x14ac:dyDescent="0.3">
      <c r="E109" s="5" t="s">
        <v>129</v>
      </c>
      <c r="F109" s="5" t="s">
        <v>31</v>
      </c>
      <c r="G109" s="5" t="s">
        <v>182</v>
      </c>
      <c r="H109" s="5" t="s">
        <v>189</v>
      </c>
    </row>
    <row r="110" spans="5:8" x14ac:dyDescent="0.3">
      <c r="E110" s="5" t="s">
        <v>129</v>
      </c>
      <c r="F110" s="5" t="s">
        <v>31</v>
      </c>
      <c r="G110" s="5" t="s">
        <v>184</v>
      </c>
      <c r="H110" s="5" t="s">
        <v>375</v>
      </c>
    </row>
    <row r="111" spans="5:8" x14ac:dyDescent="0.3">
      <c r="E111" s="5" t="s">
        <v>129</v>
      </c>
      <c r="F111" s="5" t="s">
        <v>31</v>
      </c>
      <c r="G111" s="5" t="s">
        <v>186</v>
      </c>
      <c r="H111" s="5" t="s">
        <v>376</v>
      </c>
    </row>
    <row r="112" spans="5:8" x14ac:dyDescent="0.3">
      <c r="E112" s="5" t="s">
        <v>129</v>
      </c>
      <c r="F112" s="5" t="s">
        <v>31</v>
      </c>
      <c r="G112" s="5" t="s">
        <v>188</v>
      </c>
      <c r="H112" s="5" t="s">
        <v>377</v>
      </c>
    </row>
    <row r="113" spans="5:8" x14ac:dyDescent="0.3">
      <c r="E113" s="5" t="s">
        <v>129</v>
      </c>
      <c r="F113" s="5" t="s">
        <v>31</v>
      </c>
      <c r="G113" s="5" t="s">
        <v>190</v>
      </c>
      <c r="H113" s="5" t="s">
        <v>378</v>
      </c>
    </row>
    <row r="114" spans="5:8" x14ac:dyDescent="0.3">
      <c r="E114" s="5" t="s">
        <v>129</v>
      </c>
      <c r="F114" s="5" t="s">
        <v>31</v>
      </c>
      <c r="G114" s="5" t="s">
        <v>192</v>
      </c>
      <c r="H114" s="5" t="s">
        <v>379</v>
      </c>
    </row>
    <row r="115" spans="5:8" x14ac:dyDescent="0.3">
      <c r="E115" s="5" t="s">
        <v>129</v>
      </c>
      <c r="F115" s="5" t="s">
        <v>31</v>
      </c>
      <c r="G115" s="5" t="s">
        <v>194</v>
      </c>
      <c r="H115" s="5" t="s">
        <v>380</v>
      </c>
    </row>
    <row r="116" spans="5:8" x14ac:dyDescent="0.3">
      <c r="E116" s="5" t="s">
        <v>129</v>
      </c>
      <c r="F116" s="5" t="s">
        <v>31</v>
      </c>
      <c r="G116" s="5" t="s">
        <v>196</v>
      </c>
      <c r="H116" s="5" t="s">
        <v>381</v>
      </c>
    </row>
    <row r="117" spans="5:8" x14ac:dyDescent="0.3">
      <c r="E117" s="5" t="s">
        <v>129</v>
      </c>
      <c r="F117" s="5" t="s">
        <v>31</v>
      </c>
      <c r="G117" s="5" t="s">
        <v>198</v>
      </c>
      <c r="H117" s="5" t="s">
        <v>207</v>
      </c>
    </row>
    <row r="118" spans="5:8" x14ac:dyDescent="0.3">
      <c r="E118" s="5" t="s">
        <v>129</v>
      </c>
      <c r="F118" s="5" t="s">
        <v>31</v>
      </c>
      <c r="G118" s="5" t="s">
        <v>200</v>
      </c>
      <c r="H118" s="5" t="s">
        <v>382</v>
      </c>
    </row>
    <row r="119" spans="5:8" x14ac:dyDescent="0.3">
      <c r="E119" s="5" t="s">
        <v>129</v>
      </c>
      <c r="F119" s="5" t="s">
        <v>31</v>
      </c>
      <c r="G119" s="5" t="s">
        <v>202</v>
      </c>
      <c r="H119" s="5" t="s">
        <v>383</v>
      </c>
    </row>
    <row r="120" spans="5:8" x14ac:dyDescent="0.3">
      <c r="E120" s="5" t="s">
        <v>129</v>
      </c>
      <c r="F120" s="5" t="s">
        <v>31</v>
      </c>
      <c r="G120" s="5" t="s">
        <v>204</v>
      </c>
      <c r="H120" s="5" t="s">
        <v>384</v>
      </c>
    </row>
    <row r="121" spans="5:8" x14ac:dyDescent="0.3">
      <c r="E121" s="5" t="s">
        <v>129</v>
      </c>
      <c r="F121" s="5" t="s">
        <v>31</v>
      </c>
      <c r="G121" s="5" t="s">
        <v>206</v>
      </c>
      <c r="H121" s="5" t="s">
        <v>219</v>
      </c>
    </row>
    <row r="122" spans="5:8" x14ac:dyDescent="0.3">
      <c r="E122" s="5" t="s">
        <v>129</v>
      </c>
      <c r="F122" s="5" t="s">
        <v>31</v>
      </c>
      <c r="G122" s="5" t="s">
        <v>208</v>
      </c>
      <c r="H122" s="5" t="s">
        <v>385</v>
      </c>
    </row>
    <row r="123" spans="5:8" x14ac:dyDescent="0.3">
      <c r="E123" s="5" t="s">
        <v>129</v>
      </c>
      <c r="F123" s="5" t="s">
        <v>31</v>
      </c>
      <c r="G123" s="5" t="s">
        <v>210</v>
      </c>
      <c r="H123" s="5" t="s">
        <v>386</v>
      </c>
    </row>
    <row r="124" spans="5:8" x14ac:dyDescent="0.3">
      <c r="E124" s="5" t="s">
        <v>129</v>
      </c>
      <c r="F124" s="5" t="s">
        <v>31</v>
      </c>
      <c r="G124" s="5" t="s">
        <v>212</v>
      </c>
      <c r="H124" s="5" t="s">
        <v>387</v>
      </c>
    </row>
    <row r="125" spans="5:8" x14ac:dyDescent="0.3">
      <c r="E125" s="5" t="s">
        <v>129</v>
      </c>
      <c r="F125" s="5" t="s">
        <v>31</v>
      </c>
      <c r="G125" s="5" t="s">
        <v>214</v>
      </c>
      <c r="H125" s="5" t="s">
        <v>223</v>
      </c>
    </row>
    <row r="126" spans="5:8" x14ac:dyDescent="0.3">
      <c r="E126" s="5" t="s">
        <v>129</v>
      </c>
      <c r="F126" s="5" t="s">
        <v>31</v>
      </c>
      <c r="G126" s="5" t="s">
        <v>216</v>
      </c>
      <c r="H126" s="5" t="s">
        <v>388</v>
      </c>
    </row>
    <row r="127" spans="5:8" x14ac:dyDescent="0.3">
      <c r="E127" s="5" t="s">
        <v>129</v>
      </c>
      <c r="F127" s="5" t="s">
        <v>31</v>
      </c>
      <c r="G127" s="5" t="s">
        <v>218</v>
      </c>
      <c r="H127" s="5" t="s">
        <v>389</v>
      </c>
    </row>
    <row r="128" spans="5:8" x14ac:dyDescent="0.3">
      <c r="E128" s="5" t="s">
        <v>129</v>
      </c>
      <c r="F128" s="5" t="s">
        <v>31</v>
      </c>
      <c r="G128" s="5" t="s">
        <v>220</v>
      </c>
      <c r="H128" s="5" t="s">
        <v>390</v>
      </c>
    </row>
    <row r="129" spans="5:8" x14ac:dyDescent="0.3">
      <c r="E129" s="5" t="s">
        <v>129</v>
      </c>
      <c r="F129" s="5" t="s">
        <v>31</v>
      </c>
      <c r="G129" s="5" t="s">
        <v>222</v>
      </c>
      <c r="H129" s="5" t="s">
        <v>391</v>
      </c>
    </row>
    <row r="130" spans="5:8" x14ac:dyDescent="0.3">
      <c r="E130" s="5" t="s">
        <v>129</v>
      </c>
      <c r="F130" s="5" t="s">
        <v>31</v>
      </c>
      <c r="G130" s="5" t="s">
        <v>224</v>
      </c>
      <c r="H130" s="5" t="s">
        <v>392</v>
      </c>
    </row>
    <row r="131" spans="5:8" x14ac:dyDescent="0.3">
      <c r="E131" s="5" t="s">
        <v>129</v>
      </c>
      <c r="F131" s="5" t="s">
        <v>31</v>
      </c>
      <c r="G131" s="5" t="s">
        <v>226</v>
      </c>
      <c r="H131" s="5" t="s">
        <v>231</v>
      </c>
    </row>
    <row r="132" spans="5:8" x14ac:dyDescent="0.3">
      <c r="E132" s="5" t="s">
        <v>129</v>
      </c>
      <c r="F132" s="5" t="s">
        <v>31</v>
      </c>
      <c r="G132" s="5" t="s">
        <v>228</v>
      </c>
      <c r="H132" s="5" t="s">
        <v>233</v>
      </c>
    </row>
    <row r="133" spans="5:8" x14ac:dyDescent="0.3">
      <c r="E133" s="5" t="s">
        <v>129</v>
      </c>
      <c r="F133" s="5" t="s">
        <v>31</v>
      </c>
      <c r="G133" s="5" t="s">
        <v>230</v>
      </c>
      <c r="H133" s="5" t="s">
        <v>393</v>
      </c>
    </row>
    <row r="134" spans="5:8" x14ac:dyDescent="0.3">
      <c r="E134" s="5" t="s">
        <v>129</v>
      </c>
      <c r="F134" s="5" t="s">
        <v>31</v>
      </c>
      <c r="G134" s="5" t="s">
        <v>232</v>
      </c>
      <c r="H134" s="5" t="s">
        <v>394</v>
      </c>
    </row>
    <row r="135" spans="5:8" x14ac:dyDescent="0.3">
      <c r="E135" s="5" t="s">
        <v>129</v>
      </c>
      <c r="F135" s="5" t="s">
        <v>31</v>
      </c>
      <c r="G135" s="5" t="s">
        <v>234</v>
      </c>
      <c r="H135" s="5" t="s">
        <v>239</v>
      </c>
    </row>
    <row r="136" spans="5:8" x14ac:dyDescent="0.3">
      <c r="E136" s="5" t="s">
        <v>129</v>
      </c>
      <c r="F136" s="5" t="s">
        <v>31</v>
      </c>
      <c r="G136" s="5" t="s">
        <v>236</v>
      </c>
      <c r="H136" s="5" t="s">
        <v>241</v>
      </c>
    </row>
    <row r="137" spans="5:8" x14ac:dyDescent="0.3">
      <c r="E137" s="5" t="s">
        <v>129</v>
      </c>
      <c r="F137" s="5" t="s">
        <v>31</v>
      </c>
      <c r="G137" s="5" t="s">
        <v>238</v>
      </c>
      <c r="H137" s="5" t="s">
        <v>395</v>
      </c>
    </row>
    <row r="138" spans="5:8" x14ac:dyDescent="0.3">
      <c r="E138" s="5" t="s">
        <v>129</v>
      </c>
      <c r="F138" s="5" t="s">
        <v>31</v>
      </c>
      <c r="G138" s="5" t="s">
        <v>240</v>
      </c>
      <c r="H138" s="5" t="s">
        <v>396</v>
      </c>
    </row>
    <row r="139" spans="5:8" x14ac:dyDescent="0.3">
      <c r="E139" s="5" t="s">
        <v>129</v>
      </c>
      <c r="F139" s="5" t="s">
        <v>31</v>
      </c>
      <c r="G139" s="5" t="s">
        <v>242</v>
      </c>
      <c r="H139" s="5" t="s">
        <v>397</v>
      </c>
    </row>
    <row r="140" spans="5:8" x14ac:dyDescent="0.3">
      <c r="E140" s="5" t="s">
        <v>129</v>
      </c>
      <c r="F140" s="5" t="s">
        <v>31</v>
      </c>
      <c r="G140" s="5" t="s">
        <v>244</v>
      </c>
      <c r="H140" s="5" t="s">
        <v>398</v>
      </c>
    </row>
    <row r="141" spans="5:8" x14ac:dyDescent="0.3">
      <c r="E141" s="5" t="s">
        <v>129</v>
      </c>
      <c r="F141" s="5" t="s">
        <v>31</v>
      </c>
      <c r="G141" s="5" t="s">
        <v>246</v>
      </c>
      <c r="H141" s="5" t="s">
        <v>249</v>
      </c>
    </row>
    <row r="142" spans="5:8" x14ac:dyDescent="0.3">
      <c r="E142" s="5" t="s">
        <v>129</v>
      </c>
      <c r="F142" s="5" t="s">
        <v>31</v>
      </c>
      <c r="G142" s="5" t="s">
        <v>248</v>
      </c>
      <c r="H142" s="5" t="s">
        <v>253</v>
      </c>
    </row>
    <row r="143" spans="5:8" x14ac:dyDescent="0.3">
      <c r="E143" s="5" t="s">
        <v>129</v>
      </c>
      <c r="F143" s="5" t="s">
        <v>31</v>
      </c>
      <c r="G143" s="5" t="s">
        <v>250</v>
      </c>
      <c r="H143" s="5" t="s">
        <v>399</v>
      </c>
    </row>
    <row r="144" spans="5:8" x14ac:dyDescent="0.3">
      <c r="E144" s="5" t="s">
        <v>129</v>
      </c>
      <c r="F144" s="5" t="s">
        <v>31</v>
      </c>
      <c r="G144" s="5" t="s">
        <v>252</v>
      </c>
      <c r="H144" s="5" t="s">
        <v>400</v>
      </c>
    </row>
    <row r="145" spans="5:8" x14ac:dyDescent="0.3">
      <c r="E145" s="5" t="s">
        <v>129</v>
      </c>
      <c r="F145" s="5" t="s">
        <v>31</v>
      </c>
      <c r="G145" s="5" t="s">
        <v>254</v>
      </c>
      <c r="H145" s="5" t="s">
        <v>259</v>
      </c>
    </row>
    <row r="146" spans="5:8" x14ac:dyDescent="0.3">
      <c r="E146" s="5" t="s">
        <v>129</v>
      </c>
      <c r="F146" s="5" t="s">
        <v>31</v>
      </c>
      <c r="G146" s="5" t="s">
        <v>256</v>
      </c>
      <c r="H146" s="5" t="s">
        <v>261</v>
      </c>
    </row>
    <row r="147" spans="5:8" x14ac:dyDescent="0.3">
      <c r="E147" s="5" t="s">
        <v>129</v>
      </c>
      <c r="F147" s="5" t="s">
        <v>31</v>
      </c>
      <c r="G147" s="5" t="s">
        <v>258</v>
      </c>
      <c r="H147" s="5" t="s">
        <v>401</v>
      </c>
    </row>
    <row r="148" spans="5:8" x14ac:dyDescent="0.3">
      <c r="E148" s="5" t="s">
        <v>129</v>
      </c>
      <c r="F148" s="5" t="s">
        <v>31</v>
      </c>
      <c r="G148" s="5" t="s">
        <v>260</v>
      </c>
      <c r="H148" s="5" t="s">
        <v>402</v>
      </c>
    </row>
    <row r="149" spans="5:8" x14ac:dyDescent="0.3">
      <c r="E149" s="5" t="s">
        <v>129</v>
      </c>
      <c r="F149" s="5" t="s">
        <v>31</v>
      </c>
      <c r="G149" s="5" t="s">
        <v>262</v>
      </c>
      <c r="H149" s="5" t="s">
        <v>403</v>
      </c>
    </row>
    <row r="150" spans="5:8" x14ac:dyDescent="0.3">
      <c r="E150" s="5" t="s">
        <v>129</v>
      </c>
      <c r="F150" s="5" t="s">
        <v>31</v>
      </c>
      <c r="G150" s="5" t="s">
        <v>264</v>
      </c>
      <c r="H150" s="5" t="s">
        <v>265</v>
      </c>
    </row>
    <row r="151" spans="5:8" x14ac:dyDescent="0.3">
      <c r="E151" s="5" t="s">
        <v>129</v>
      </c>
      <c r="F151" s="5" t="s">
        <v>31</v>
      </c>
      <c r="G151" s="5" t="s">
        <v>266</v>
      </c>
      <c r="H151" s="5" t="s">
        <v>404</v>
      </c>
    </row>
    <row r="152" spans="5:8" x14ac:dyDescent="0.3">
      <c r="E152" s="5" t="s">
        <v>129</v>
      </c>
      <c r="F152" s="5" t="s">
        <v>31</v>
      </c>
      <c r="G152" s="5" t="s">
        <v>268</v>
      </c>
      <c r="H152" s="5" t="s">
        <v>269</v>
      </c>
    </row>
    <row r="153" spans="5:8" x14ac:dyDescent="0.3">
      <c r="E153" s="5" t="s">
        <v>129</v>
      </c>
      <c r="F153" s="5" t="s">
        <v>31</v>
      </c>
      <c r="G153" s="5" t="s">
        <v>270</v>
      </c>
      <c r="H153" s="5" t="s">
        <v>405</v>
      </c>
    </row>
    <row r="154" spans="5:8" x14ac:dyDescent="0.3">
      <c r="E154" s="5" t="s">
        <v>129</v>
      </c>
      <c r="F154" s="5" t="s">
        <v>31</v>
      </c>
      <c r="G154" s="5" t="s">
        <v>272</v>
      </c>
      <c r="H154" s="5" t="s">
        <v>406</v>
      </c>
    </row>
    <row r="155" spans="5:8" x14ac:dyDescent="0.3">
      <c r="E155" s="5" t="s">
        <v>129</v>
      </c>
      <c r="F155" s="5" t="s">
        <v>31</v>
      </c>
      <c r="G155" s="5" t="s">
        <v>274</v>
      </c>
      <c r="H155" s="5" t="s">
        <v>407</v>
      </c>
    </row>
    <row r="156" spans="5:8" x14ac:dyDescent="0.3">
      <c r="E156" s="5" t="s">
        <v>129</v>
      </c>
      <c r="F156" s="5" t="s">
        <v>31</v>
      </c>
      <c r="G156" s="5" t="s">
        <v>276</v>
      </c>
      <c r="H156" s="5" t="s">
        <v>408</v>
      </c>
    </row>
    <row r="157" spans="5:8" x14ac:dyDescent="0.3">
      <c r="E157" s="5" t="s">
        <v>129</v>
      </c>
      <c r="F157" s="5" t="s">
        <v>31</v>
      </c>
      <c r="G157" s="5" t="s">
        <v>278</v>
      </c>
      <c r="H157" s="5" t="s">
        <v>409</v>
      </c>
    </row>
    <row r="158" spans="5:8" x14ac:dyDescent="0.3">
      <c r="E158" s="5" t="s">
        <v>129</v>
      </c>
      <c r="F158" s="5" t="s">
        <v>31</v>
      </c>
      <c r="G158" s="5" t="s">
        <v>280</v>
      </c>
      <c r="H158" s="5" t="s">
        <v>271</v>
      </c>
    </row>
    <row r="159" spans="5:8" x14ac:dyDescent="0.3">
      <c r="E159" s="5" t="s">
        <v>129</v>
      </c>
      <c r="F159" s="5" t="s">
        <v>31</v>
      </c>
      <c r="G159" s="5" t="s">
        <v>284</v>
      </c>
      <c r="H159" s="5" t="s">
        <v>411</v>
      </c>
    </row>
    <row r="160" spans="5:8" x14ac:dyDescent="0.3">
      <c r="E160" s="5" t="s">
        <v>129</v>
      </c>
      <c r="F160" s="5" t="s">
        <v>31</v>
      </c>
      <c r="G160" s="5" t="s">
        <v>286</v>
      </c>
      <c r="H160" s="5" t="s">
        <v>412</v>
      </c>
    </row>
    <row r="161" spans="5:8" x14ac:dyDescent="0.3">
      <c r="E161" s="5" t="s">
        <v>129</v>
      </c>
      <c r="F161" s="5" t="s">
        <v>31</v>
      </c>
      <c r="G161" s="5" t="s">
        <v>288</v>
      </c>
      <c r="H161" s="5" t="s">
        <v>413</v>
      </c>
    </row>
    <row r="162" spans="5:8" x14ac:dyDescent="0.3">
      <c r="E162" s="5" t="s">
        <v>129</v>
      </c>
      <c r="F162" s="5" t="s">
        <v>31</v>
      </c>
      <c r="G162" s="5" t="s">
        <v>290</v>
      </c>
      <c r="H162" s="5" t="s">
        <v>414</v>
      </c>
    </row>
    <row r="163" spans="5:8" x14ac:dyDescent="0.3">
      <c r="E163" s="5" t="s">
        <v>129</v>
      </c>
      <c r="F163" s="5" t="s">
        <v>31</v>
      </c>
      <c r="G163" s="5" t="s">
        <v>292</v>
      </c>
      <c r="H163" s="5" t="s">
        <v>415</v>
      </c>
    </row>
    <row r="164" spans="5:8" x14ac:dyDescent="0.3">
      <c r="E164" s="5" t="s">
        <v>129</v>
      </c>
      <c r="F164" s="5" t="s">
        <v>31</v>
      </c>
      <c r="G164" s="5" t="s">
        <v>416</v>
      </c>
      <c r="H164" s="5" t="s">
        <v>417</v>
      </c>
    </row>
    <row r="165" spans="5:8" x14ac:dyDescent="0.3">
      <c r="E165" s="5" t="s">
        <v>129</v>
      </c>
      <c r="F165" s="5" t="s">
        <v>31</v>
      </c>
      <c r="G165" s="5" t="s">
        <v>282</v>
      </c>
      <c r="H165" s="5" t="s">
        <v>410</v>
      </c>
    </row>
    <row r="166" spans="5:8" x14ac:dyDescent="0.3">
      <c r="E166" s="5" t="s">
        <v>129</v>
      </c>
      <c r="F166" s="5" t="s">
        <v>31</v>
      </c>
      <c r="G166" s="5" t="s">
        <v>418</v>
      </c>
      <c r="H166" s="5" t="s">
        <v>419</v>
      </c>
    </row>
    <row r="167" spans="5:8" x14ac:dyDescent="0.3">
      <c r="E167" s="5" t="s">
        <v>129</v>
      </c>
      <c r="F167" s="5" t="s">
        <v>31</v>
      </c>
      <c r="G167" s="5" t="s">
        <v>420</v>
      </c>
      <c r="H167" s="5" t="s">
        <v>421</v>
      </c>
    </row>
    <row r="168" spans="5:8" x14ac:dyDescent="0.3">
      <c r="E168" s="5" t="s">
        <v>129</v>
      </c>
      <c r="F168" s="5" t="s">
        <v>31</v>
      </c>
      <c r="G168" s="5" t="s">
        <v>422</v>
      </c>
      <c r="H168" s="5" t="s">
        <v>423</v>
      </c>
    </row>
    <row r="169" spans="5:8" x14ac:dyDescent="0.3">
      <c r="E169" s="5" t="s">
        <v>129</v>
      </c>
      <c r="F169" s="5" t="s">
        <v>31</v>
      </c>
      <c r="G169" s="5" t="s">
        <v>424</v>
      </c>
      <c r="H169" s="5" t="s">
        <v>289</v>
      </c>
    </row>
    <row r="170" spans="5:8" x14ac:dyDescent="0.3">
      <c r="E170" s="5" t="s">
        <v>129</v>
      </c>
      <c r="F170" s="5" t="s">
        <v>31</v>
      </c>
      <c r="G170" s="5" t="s">
        <v>425</v>
      </c>
      <c r="H170" s="5" t="s">
        <v>426</v>
      </c>
    </row>
    <row r="171" spans="5:8" x14ac:dyDescent="0.3">
      <c r="E171" s="5" t="s">
        <v>129</v>
      </c>
      <c r="F171" s="5" t="s">
        <v>31</v>
      </c>
      <c r="G171" s="5" t="s">
        <v>427</v>
      </c>
      <c r="H171" s="5" t="s">
        <v>428</v>
      </c>
    </row>
    <row r="172" spans="5:8" x14ac:dyDescent="0.3">
      <c r="E172" s="5" t="s">
        <v>129</v>
      </c>
      <c r="F172" s="5" t="s">
        <v>31</v>
      </c>
      <c r="G172" s="5" t="s">
        <v>429</v>
      </c>
      <c r="H172" s="5" t="s">
        <v>430</v>
      </c>
    </row>
    <row r="173" spans="5:8" x14ac:dyDescent="0.3">
      <c r="E173" s="5" t="s">
        <v>134</v>
      </c>
      <c r="F173" s="5" t="s">
        <v>135</v>
      </c>
      <c r="G173" s="5" t="s">
        <v>2403</v>
      </c>
      <c r="H173" s="5" t="s">
        <v>2404</v>
      </c>
    </row>
    <row r="174" spans="5:8" x14ac:dyDescent="0.3">
      <c r="E174" s="5" t="s">
        <v>134</v>
      </c>
      <c r="F174" s="5" t="s">
        <v>135</v>
      </c>
      <c r="G174" s="5" t="s">
        <v>297</v>
      </c>
      <c r="H174" s="5" t="s">
        <v>2405</v>
      </c>
    </row>
    <row r="175" spans="5:8" x14ac:dyDescent="0.3">
      <c r="E175" s="5" t="s">
        <v>134</v>
      </c>
      <c r="F175" s="5" t="s">
        <v>135</v>
      </c>
      <c r="G175" s="5" t="s">
        <v>2406</v>
      </c>
      <c r="H175" s="5" t="s">
        <v>2407</v>
      </c>
    </row>
    <row r="176" spans="5:8" x14ac:dyDescent="0.3">
      <c r="E176" s="5" t="s">
        <v>134</v>
      </c>
      <c r="F176" s="5" t="s">
        <v>135</v>
      </c>
      <c r="G176" s="5" t="s">
        <v>2408</v>
      </c>
      <c r="H176" s="5" t="s">
        <v>2409</v>
      </c>
    </row>
    <row r="177" spans="5:8" x14ac:dyDescent="0.3">
      <c r="E177" s="5" t="s">
        <v>134</v>
      </c>
      <c r="F177" s="5" t="s">
        <v>135</v>
      </c>
      <c r="G177" s="5" t="s">
        <v>299</v>
      </c>
      <c r="H177" s="5" t="s">
        <v>2410</v>
      </c>
    </row>
    <row r="178" spans="5:8" x14ac:dyDescent="0.3">
      <c r="E178" s="5" t="s">
        <v>128</v>
      </c>
      <c r="F178" s="5" t="s">
        <v>29</v>
      </c>
      <c r="G178" s="5" t="s">
        <v>160</v>
      </c>
      <c r="H178" s="5" t="s">
        <v>350</v>
      </c>
    </row>
    <row r="179" spans="5:8" x14ac:dyDescent="0.3">
      <c r="E179" s="5" t="s">
        <v>128</v>
      </c>
      <c r="F179" s="5" t="s">
        <v>29</v>
      </c>
      <c r="G179" s="5" t="s">
        <v>162</v>
      </c>
      <c r="H179" s="5" t="s">
        <v>351</v>
      </c>
    </row>
    <row r="180" spans="5:8" x14ac:dyDescent="0.3">
      <c r="E180" s="5" t="s">
        <v>128</v>
      </c>
      <c r="F180" s="5" t="s">
        <v>29</v>
      </c>
      <c r="G180" s="5" t="s">
        <v>164</v>
      </c>
      <c r="H180" s="5" t="s">
        <v>352</v>
      </c>
    </row>
    <row r="181" spans="5:8" x14ac:dyDescent="0.3">
      <c r="E181" s="5" t="s">
        <v>128</v>
      </c>
      <c r="F181" s="5" t="s">
        <v>29</v>
      </c>
      <c r="G181" s="5" t="s">
        <v>166</v>
      </c>
      <c r="H181" s="5" t="s">
        <v>353</v>
      </c>
    </row>
    <row r="182" spans="5:8" x14ac:dyDescent="0.3">
      <c r="E182" s="5" t="s">
        <v>128</v>
      </c>
      <c r="F182" s="5" t="s">
        <v>29</v>
      </c>
      <c r="G182" s="5" t="s">
        <v>168</v>
      </c>
      <c r="H182" s="5" t="s">
        <v>354</v>
      </c>
    </row>
    <row r="183" spans="5:8" x14ac:dyDescent="0.3">
      <c r="E183" s="5" t="s">
        <v>128</v>
      </c>
      <c r="F183" s="5" t="s">
        <v>29</v>
      </c>
      <c r="G183" s="5" t="s">
        <v>170</v>
      </c>
      <c r="H183" s="5" t="s">
        <v>355</v>
      </c>
    </row>
    <row r="184" spans="5:8" x14ac:dyDescent="0.3">
      <c r="E184" s="5" t="s">
        <v>128</v>
      </c>
      <c r="F184" s="5" t="s">
        <v>29</v>
      </c>
      <c r="G184" s="5" t="s">
        <v>356</v>
      </c>
      <c r="H184" s="5" t="s">
        <v>357</v>
      </c>
    </row>
    <row r="185" spans="5:8" x14ac:dyDescent="0.3">
      <c r="E185" s="5" t="s">
        <v>128</v>
      </c>
      <c r="F185" s="5" t="s">
        <v>29</v>
      </c>
      <c r="G185" s="5" t="s">
        <v>172</v>
      </c>
      <c r="H185" s="5" t="s">
        <v>358</v>
      </c>
    </row>
    <row r="186" spans="5:8" x14ac:dyDescent="0.3">
      <c r="E186" s="5" t="s">
        <v>128</v>
      </c>
      <c r="F186" s="5" t="s">
        <v>29</v>
      </c>
      <c r="G186" s="5" t="s">
        <v>174</v>
      </c>
      <c r="H186" s="5" t="s">
        <v>359</v>
      </c>
    </row>
    <row r="187" spans="5:8" x14ac:dyDescent="0.3">
      <c r="E187" s="5" t="s">
        <v>128</v>
      </c>
      <c r="F187" s="5" t="s">
        <v>29</v>
      </c>
      <c r="G187" s="5" t="s">
        <v>176</v>
      </c>
      <c r="H187" s="5" t="s">
        <v>360</v>
      </c>
    </row>
    <row r="188" spans="5:8" x14ac:dyDescent="0.3">
      <c r="E188" s="5" t="s">
        <v>128</v>
      </c>
      <c r="F188" s="5" t="s">
        <v>29</v>
      </c>
      <c r="G188" s="5" t="s">
        <v>178</v>
      </c>
      <c r="H188" s="5" t="s">
        <v>361</v>
      </c>
    </row>
    <row r="189" spans="5:8" x14ac:dyDescent="0.3">
      <c r="E189" s="5" t="s">
        <v>128</v>
      </c>
      <c r="F189" s="5" t="s">
        <v>29</v>
      </c>
      <c r="G189" s="5" t="s">
        <v>180</v>
      </c>
      <c r="H189" s="5" t="s">
        <v>362</v>
      </c>
    </row>
    <row r="190" spans="5:8" x14ac:dyDescent="0.3">
      <c r="E190" s="5" t="s">
        <v>128</v>
      </c>
      <c r="F190" s="5" t="s">
        <v>29</v>
      </c>
      <c r="G190" s="5" t="s">
        <v>182</v>
      </c>
      <c r="H190" s="5" t="s">
        <v>363</v>
      </c>
    </row>
    <row r="191" spans="5:8" x14ac:dyDescent="0.3">
      <c r="E191" s="5" t="s">
        <v>128</v>
      </c>
      <c r="F191" s="5" t="s">
        <v>29</v>
      </c>
      <c r="G191" s="5" t="s">
        <v>184</v>
      </c>
      <c r="H191" s="5" t="s">
        <v>364</v>
      </c>
    </row>
    <row r="192" spans="5:8" x14ac:dyDescent="0.3">
      <c r="E192" s="5" t="s">
        <v>128</v>
      </c>
      <c r="F192" s="5" t="s">
        <v>29</v>
      </c>
      <c r="G192" s="5" t="s">
        <v>186</v>
      </c>
      <c r="H192" s="5" t="s">
        <v>365</v>
      </c>
    </row>
    <row r="193" spans="5:8" x14ac:dyDescent="0.3">
      <c r="E193" s="5" t="s">
        <v>130</v>
      </c>
      <c r="F193" s="5" t="s">
        <v>33</v>
      </c>
      <c r="G193" s="5" t="s">
        <v>160</v>
      </c>
      <c r="H193" s="5" t="s">
        <v>431</v>
      </c>
    </row>
    <row r="194" spans="5:8" x14ac:dyDescent="0.3">
      <c r="E194" s="5" t="s">
        <v>130</v>
      </c>
      <c r="F194" s="5" t="s">
        <v>33</v>
      </c>
      <c r="G194" s="5" t="s">
        <v>162</v>
      </c>
      <c r="H194" s="5" t="s">
        <v>432</v>
      </c>
    </row>
    <row r="195" spans="5:8" x14ac:dyDescent="0.3">
      <c r="E195" s="5" t="s">
        <v>130</v>
      </c>
      <c r="F195" s="5" t="s">
        <v>33</v>
      </c>
      <c r="G195" s="5" t="s">
        <v>164</v>
      </c>
      <c r="H195" s="5" t="s">
        <v>433</v>
      </c>
    </row>
    <row r="196" spans="5:8" x14ac:dyDescent="0.3">
      <c r="E196" s="5" t="s">
        <v>130</v>
      </c>
      <c r="F196" s="5" t="s">
        <v>33</v>
      </c>
      <c r="G196" s="5" t="s">
        <v>166</v>
      </c>
      <c r="H196" s="5" t="s">
        <v>434</v>
      </c>
    </row>
    <row r="197" spans="5:8" x14ac:dyDescent="0.3">
      <c r="E197" s="5" t="s">
        <v>130</v>
      </c>
      <c r="F197" s="5" t="s">
        <v>33</v>
      </c>
      <c r="G197" s="5" t="s">
        <v>168</v>
      </c>
      <c r="H197" s="5" t="s">
        <v>435</v>
      </c>
    </row>
    <row r="198" spans="5:8" x14ac:dyDescent="0.3">
      <c r="E198" s="5" t="s">
        <v>130</v>
      </c>
      <c r="F198" s="5" t="s">
        <v>33</v>
      </c>
      <c r="G198" s="5" t="s">
        <v>170</v>
      </c>
      <c r="H198" s="5" t="s">
        <v>436</v>
      </c>
    </row>
    <row r="199" spans="5:8" x14ac:dyDescent="0.3">
      <c r="E199" s="5" t="s">
        <v>130</v>
      </c>
      <c r="F199" s="5" t="s">
        <v>33</v>
      </c>
      <c r="G199" s="5" t="s">
        <v>172</v>
      </c>
      <c r="H199" s="5" t="s">
        <v>437</v>
      </c>
    </row>
    <row r="200" spans="5:8" x14ac:dyDescent="0.3">
      <c r="E200" s="5" t="s">
        <v>130</v>
      </c>
      <c r="F200" s="5" t="s">
        <v>33</v>
      </c>
      <c r="G200" s="5" t="s">
        <v>174</v>
      </c>
      <c r="H200" s="5" t="s">
        <v>438</v>
      </c>
    </row>
    <row r="201" spans="5:8" x14ac:dyDescent="0.3">
      <c r="E201" s="5" t="s">
        <v>130</v>
      </c>
      <c r="F201" s="5" t="s">
        <v>33</v>
      </c>
      <c r="G201" s="5" t="s">
        <v>176</v>
      </c>
      <c r="H201" s="5" t="s">
        <v>439</v>
      </c>
    </row>
    <row r="202" spans="5:8" x14ac:dyDescent="0.3">
      <c r="E202" s="5" t="s">
        <v>130</v>
      </c>
      <c r="F202" s="5" t="s">
        <v>33</v>
      </c>
      <c r="G202" s="5" t="s">
        <v>178</v>
      </c>
      <c r="H202" s="5" t="s">
        <v>440</v>
      </c>
    </row>
    <row r="203" spans="5:8" x14ac:dyDescent="0.3">
      <c r="E203" s="5" t="s">
        <v>130</v>
      </c>
      <c r="F203" s="5" t="s">
        <v>33</v>
      </c>
      <c r="G203" s="5" t="s">
        <v>180</v>
      </c>
      <c r="H203" s="5" t="s">
        <v>441</v>
      </c>
    </row>
    <row r="204" spans="5:8" x14ac:dyDescent="0.3">
      <c r="E204" s="5" t="s">
        <v>130</v>
      </c>
      <c r="F204" s="5" t="s">
        <v>33</v>
      </c>
      <c r="G204" s="5" t="s">
        <v>182</v>
      </c>
      <c r="H204" s="5" t="s">
        <v>442</v>
      </c>
    </row>
    <row r="205" spans="5:8" x14ac:dyDescent="0.3">
      <c r="E205" s="5" t="s">
        <v>130</v>
      </c>
      <c r="F205" s="5" t="s">
        <v>33</v>
      </c>
      <c r="G205" s="5" t="s">
        <v>184</v>
      </c>
      <c r="H205" s="5" t="s">
        <v>443</v>
      </c>
    </row>
    <row r="206" spans="5:8" x14ac:dyDescent="0.3">
      <c r="E206" s="5" t="s">
        <v>130</v>
      </c>
      <c r="F206" s="5" t="s">
        <v>33</v>
      </c>
      <c r="G206" s="5" t="s">
        <v>186</v>
      </c>
      <c r="H206" s="5" t="s">
        <v>444</v>
      </c>
    </row>
    <row r="207" spans="5:8" x14ac:dyDescent="0.3">
      <c r="E207" s="5" t="s">
        <v>130</v>
      </c>
      <c r="F207" s="5" t="s">
        <v>33</v>
      </c>
      <c r="G207" s="5" t="s">
        <v>188</v>
      </c>
      <c r="H207" s="5" t="s">
        <v>445</v>
      </c>
    </row>
    <row r="208" spans="5:8" x14ac:dyDescent="0.3">
      <c r="E208" s="5" t="s">
        <v>130</v>
      </c>
      <c r="F208" s="5" t="s">
        <v>33</v>
      </c>
      <c r="G208" s="5" t="s">
        <v>190</v>
      </c>
      <c r="H208" s="5" t="s">
        <v>446</v>
      </c>
    </row>
    <row r="209" spans="5:8" x14ac:dyDescent="0.3">
      <c r="E209" s="5" t="s">
        <v>130</v>
      </c>
      <c r="F209" s="5" t="s">
        <v>33</v>
      </c>
      <c r="G209" s="5" t="s">
        <v>192</v>
      </c>
      <c r="H209" s="5" t="s">
        <v>447</v>
      </c>
    </row>
    <row r="210" spans="5:8" x14ac:dyDescent="0.3">
      <c r="E210" s="5" t="s">
        <v>130</v>
      </c>
      <c r="F210" s="5" t="s">
        <v>33</v>
      </c>
      <c r="G210" s="5" t="s">
        <v>194</v>
      </c>
      <c r="H210" s="5" t="s">
        <v>448</v>
      </c>
    </row>
    <row r="211" spans="5:8" x14ac:dyDescent="0.3">
      <c r="E211" s="5" t="s">
        <v>130</v>
      </c>
      <c r="F211" s="5" t="s">
        <v>33</v>
      </c>
      <c r="G211" s="5" t="s">
        <v>196</v>
      </c>
      <c r="H211" s="5" t="s">
        <v>449</v>
      </c>
    </row>
    <row r="212" spans="5:8" x14ac:dyDescent="0.3">
      <c r="E212" s="5" t="s">
        <v>130</v>
      </c>
      <c r="F212" s="5" t="s">
        <v>33</v>
      </c>
      <c r="G212" s="5" t="s">
        <v>198</v>
      </c>
      <c r="H212" s="5" t="s">
        <v>450</v>
      </c>
    </row>
    <row r="213" spans="5:8" x14ac:dyDescent="0.3">
      <c r="E213" s="5" t="s">
        <v>130</v>
      </c>
      <c r="F213" s="5" t="s">
        <v>33</v>
      </c>
      <c r="G213" s="5" t="s">
        <v>200</v>
      </c>
      <c r="H213" s="5" t="s">
        <v>451</v>
      </c>
    </row>
    <row r="214" spans="5:8" x14ac:dyDescent="0.3">
      <c r="E214" s="5" t="s">
        <v>130</v>
      </c>
      <c r="F214" s="5" t="s">
        <v>33</v>
      </c>
      <c r="G214" s="5" t="s">
        <v>202</v>
      </c>
      <c r="H214" s="5" t="s">
        <v>452</v>
      </c>
    </row>
    <row r="215" spans="5:8" x14ac:dyDescent="0.3">
      <c r="E215" s="5" t="s">
        <v>130</v>
      </c>
      <c r="F215" s="5" t="s">
        <v>33</v>
      </c>
      <c r="G215" s="5" t="s">
        <v>204</v>
      </c>
      <c r="H215" s="5" t="s">
        <v>453</v>
      </c>
    </row>
    <row r="216" spans="5:8" x14ac:dyDescent="0.3">
      <c r="E216" s="5" t="s">
        <v>130</v>
      </c>
      <c r="F216" s="5" t="s">
        <v>33</v>
      </c>
      <c r="G216" s="5" t="s">
        <v>206</v>
      </c>
      <c r="H216" s="5" t="s">
        <v>454</v>
      </c>
    </row>
    <row r="217" spans="5:8" x14ac:dyDescent="0.3">
      <c r="E217" s="5" t="s">
        <v>130</v>
      </c>
      <c r="F217" s="5" t="s">
        <v>33</v>
      </c>
      <c r="G217" s="5" t="s">
        <v>208</v>
      </c>
      <c r="H217" s="5" t="s">
        <v>455</v>
      </c>
    </row>
    <row r="218" spans="5:8" x14ac:dyDescent="0.3">
      <c r="E218" s="5" t="s">
        <v>130</v>
      </c>
      <c r="F218" s="5" t="s">
        <v>33</v>
      </c>
      <c r="G218" s="5" t="s">
        <v>210</v>
      </c>
      <c r="H218" s="5" t="s">
        <v>456</v>
      </c>
    </row>
    <row r="219" spans="5:8" x14ac:dyDescent="0.3">
      <c r="E219" s="5" t="s">
        <v>130</v>
      </c>
      <c r="F219" s="5" t="s">
        <v>33</v>
      </c>
      <c r="G219" s="5" t="s">
        <v>212</v>
      </c>
      <c r="H219" s="5" t="s">
        <v>457</v>
      </c>
    </row>
    <row r="220" spans="5:8" x14ac:dyDescent="0.3">
      <c r="E220" s="5" t="s">
        <v>130</v>
      </c>
      <c r="F220" s="5" t="s">
        <v>33</v>
      </c>
      <c r="G220" s="5" t="s">
        <v>214</v>
      </c>
      <c r="H220" s="5" t="s">
        <v>458</v>
      </c>
    </row>
    <row r="221" spans="5:8" x14ac:dyDescent="0.3">
      <c r="E221" s="5" t="s">
        <v>130</v>
      </c>
      <c r="F221" s="5" t="s">
        <v>33</v>
      </c>
      <c r="G221" s="5" t="s">
        <v>216</v>
      </c>
      <c r="H221" s="5" t="s">
        <v>401</v>
      </c>
    </row>
    <row r="222" spans="5:8" x14ac:dyDescent="0.3">
      <c r="E222" s="5" t="s">
        <v>130</v>
      </c>
      <c r="F222" s="5" t="s">
        <v>33</v>
      </c>
      <c r="G222" s="5" t="s">
        <v>218</v>
      </c>
      <c r="H222" s="5" t="s">
        <v>459</v>
      </c>
    </row>
    <row r="223" spans="5:8" x14ac:dyDescent="0.3">
      <c r="E223" s="5" t="s">
        <v>130</v>
      </c>
      <c r="F223" s="5" t="s">
        <v>33</v>
      </c>
      <c r="G223" s="5" t="s">
        <v>220</v>
      </c>
      <c r="H223" s="5" t="s">
        <v>460</v>
      </c>
    </row>
    <row r="224" spans="5:8" x14ac:dyDescent="0.3">
      <c r="E224" s="5" t="s">
        <v>130</v>
      </c>
      <c r="F224" s="5" t="s">
        <v>33</v>
      </c>
      <c r="G224" s="5" t="s">
        <v>222</v>
      </c>
      <c r="H224" s="5" t="s">
        <v>461</v>
      </c>
    </row>
    <row r="225" spans="5:8" x14ac:dyDescent="0.3">
      <c r="E225" s="5" t="s">
        <v>130</v>
      </c>
      <c r="F225" s="5" t="s">
        <v>33</v>
      </c>
      <c r="G225" s="5" t="s">
        <v>224</v>
      </c>
      <c r="H225" s="5" t="s">
        <v>462</v>
      </c>
    </row>
    <row r="226" spans="5:8" x14ac:dyDescent="0.3">
      <c r="E226" s="5" t="s">
        <v>130</v>
      </c>
      <c r="F226" s="5" t="s">
        <v>33</v>
      </c>
      <c r="G226" s="5" t="s">
        <v>226</v>
      </c>
      <c r="H226" s="5" t="s">
        <v>463</v>
      </c>
    </row>
    <row r="227" spans="5:8" x14ac:dyDescent="0.3">
      <c r="E227" s="5" t="s">
        <v>130</v>
      </c>
      <c r="F227" s="5" t="s">
        <v>33</v>
      </c>
      <c r="G227" s="5" t="s">
        <v>228</v>
      </c>
      <c r="H227" s="5" t="s">
        <v>464</v>
      </c>
    </row>
    <row r="228" spans="5:8" x14ac:dyDescent="0.3">
      <c r="E228" s="5" t="s">
        <v>130</v>
      </c>
      <c r="F228" s="5" t="s">
        <v>33</v>
      </c>
      <c r="G228" s="5" t="s">
        <v>230</v>
      </c>
      <c r="H228" s="5" t="s">
        <v>465</v>
      </c>
    </row>
    <row r="229" spans="5:8" x14ac:dyDescent="0.3">
      <c r="E229" s="5" t="s">
        <v>130</v>
      </c>
      <c r="F229" s="5" t="s">
        <v>33</v>
      </c>
      <c r="G229" s="5" t="s">
        <v>232</v>
      </c>
      <c r="H229" s="5" t="s">
        <v>466</v>
      </c>
    </row>
    <row r="230" spans="5:8" x14ac:dyDescent="0.3">
      <c r="E230" s="5" t="s">
        <v>130</v>
      </c>
      <c r="F230" s="5" t="s">
        <v>33</v>
      </c>
      <c r="G230" s="5" t="s">
        <v>234</v>
      </c>
      <c r="H230" s="5" t="s">
        <v>467</v>
      </c>
    </row>
    <row r="231" spans="5:8" x14ac:dyDescent="0.3">
      <c r="E231" s="5" t="s">
        <v>130</v>
      </c>
      <c r="F231" s="5" t="s">
        <v>33</v>
      </c>
      <c r="G231" s="5" t="s">
        <v>236</v>
      </c>
      <c r="H231" s="5" t="s">
        <v>468</v>
      </c>
    </row>
    <row r="232" spans="5:8" x14ac:dyDescent="0.3">
      <c r="E232" s="5" t="s">
        <v>130</v>
      </c>
      <c r="F232" s="5" t="s">
        <v>33</v>
      </c>
      <c r="G232" s="5" t="s">
        <v>238</v>
      </c>
      <c r="H232" s="5" t="s">
        <v>469</v>
      </c>
    </row>
    <row r="233" spans="5:8" x14ac:dyDescent="0.3">
      <c r="E233" s="5" t="s">
        <v>130</v>
      </c>
      <c r="F233" s="5" t="s">
        <v>33</v>
      </c>
      <c r="G233" s="5" t="s">
        <v>240</v>
      </c>
      <c r="H233" s="5" t="s">
        <v>470</v>
      </c>
    </row>
    <row r="234" spans="5:8" x14ac:dyDescent="0.3">
      <c r="E234" s="5" t="s">
        <v>130</v>
      </c>
      <c r="F234" s="5" t="s">
        <v>33</v>
      </c>
      <c r="G234" s="5" t="s">
        <v>242</v>
      </c>
      <c r="H234" s="5" t="s">
        <v>471</v>
      </c>
    </row>
    <row r="235" spans="5:8" x14ac:dyDescent="0.3">
      <c r="E235" s="5" t="s">
        <v>130</v>
      </c>
      <c r="F235" s="5" t="s">
        <v>33</v>
      </c>
      <c r="G235" s="5" t="s">
        <v>244</v>
      </c>
      <c r="H235" s="5" t="s">
        <v>472</v>
      </c>
    </row>
    <row r="236" spans="5:8" x14ac:dyDescent="0.3">
      <c r="E236" s="5" t="s">
        <v>130</v>
      </c>
      <c r="F236" s="5" t="s">
        <v>33</v>
      </c>
      <c r="G236" s="5" t="s">
        <v>246</v>
      </c>
      <c r="H236" s="5" t="s">
        <v>363</v>
      </c>
    </row>
    <row r="237" spans="5:8" x14ac:dyDescent="0.3">
      <c r="E237" s="5" t="s">
        <v>130</v>
      </c>
      <c r="F237" s="5" t="s">
        <v>33</v>
      </c>
      <c r="G237" s="5" t="s">
        <v>248</v>
      </c>
      <c r="H237" s="5" t="s">
        <v>473</v>
      </c>
    </row>
    <row r="238" spans="5:8" x14ac:dyDescent="0.3">
      <c r="E238" s="5" t="s">
        <v>130</v>
      </c>
      <c r="F238" s="5" t="s">
        <v>33</v>
      </c>
      <c r="G238" s="5" t="s">
        <v>250</v>
      </c>
      <c r="H238" s="5" t="s">
        <v>474</v>
      </c>
    </row>
    <row r="239" spans="5:8" x14ac:dyDescent="0.3">
      <c r="E239" s="5" t="s">
        <v>130</v>
      </c>
      <c r="F239" s="5" t="s">
        <v>33</v>
      </c>
      <c r="G239" s="5" t="s">
        <v>252</v>
      </c>
      <c r="H239" s="5" t="s">
        <v>475</v>
      </c>
    </row>
    <row r="240" spans="5:8" x14ac:dyDescent="0.3">
      <c r="E240" s="5" t="s">
        <v>130</v>
      </c>
      <c r="F240" s="5" t="s">
        <v>33</v>
      </c>
      <c r="G240" s="5" t="s">
        <v>254</v>
      </c>
      <c r="H240" s="5" t="s">
        <v>476</v>
      </c>
    </row>
    <row r="241" spans="5:8" x14ac:dyDescent="0.3">
      <c r="E241" s="5" t="s">
        <v>130</v>
      </c>
      <c r="F241" s="5" t="s">
        <v>33</v>
      </c>
      <c r="G241" s="5" t="s">
        <v>256</v>
      </c>
      <c r="H241" s="5" t="s">
        <v>477</v>
      </c>
    </row>
    <row r="242" spans="5:8" x14ac:dyDescent="0.3">
      <c r="E242" s="5" t="s">
        <v>130</v>
      </c>
      <c r="F242" s="5" t="s">
        <v>33</v>
      </c>
      <c r="G242" s="5" t="s">
        <v>258</v>
      </c>
      <c r="H242" s="5" t="s">
        <v>478</v>
      </c>
    </row>
    <row r="243" spans="5:8" x14ac:dyDescent="0.3">
      <c r="E243" s="5" t="s">
        <v>130</v>
      </c>
      <c r="F243" s="5" t="s">
        <v>33</v>
      </c>
      <c r="G243" s="5" t="s">
        <v>260</v>
      </c>
      <c r="H243" s="5" t="s">
        <v>479</v>
      </c>
    </row>
    <row r="244" spans="5:8" x14ac:dyDescent="0.3">
      <c r="E244" s="5" t="s">
        <v>130</v>
      </c>
      <c r="F244" s="5" t="s">
        <v>33</v>
      </c>
      <c r="G244" s="5" t="s">
        <v>262</v>
      </c>
      <c r="H244" s="5" t="s">
        <v>480</v>
      </c>
    </row>
    <row r="245" spans="5:8" x14ac:dyDescent="0.3">
      <c r="E245" s="5" t="s">
        <v>130</v>
      </c>
      <c r="F245" s="5" t="s">
        <v>33</v>
      </c>
      <c r="G245" s="5" t="s">
        <v>264</v>
      </c>
      <c r="H245" s="5" t="s">
        <v>481</v>
      </c>
    </row>
    <row r="246" spans="5:8" x14ac:dyDescent="0.3">
      <c r="E246" s="5" t="s">
        <v>130</v>
      </c>
      <c r="F246" s="5" t="s">
        <v>33</v>
      </c>
      <c r="G246" s="5" t="s">
        <v>266</v>
      </c>
      <c r="H246" s="5" t="s">
        <v>482</v>
      </c>
    </row>
    <row r="247" spans="5:8" x14ac:dyDescent="0.3">
      <c r="E247" s="5" t="s">
        <v>130</v>
      </c>
      <c r="F247" s="5" t="s">
        <v>33</v>
      </c>
      <c r="G247" s="5" t="s">
        <v>268</v>
      </c>
      <c r="H247" s="5" t="s">
        <v>483</v>
      </c>
    </row>
    <row r="248" spans="5:8" x14ac:dyDescent="0.3">
      <c r="E248" s="5" t="s">
        <v>130</v>
      </c>
      <c r="F248" s="5" t="s">
        <v>33</v>
      </c>
      <c r="G248" s="5" t="s">
        <v>270</v>
      </c>
      <c r="H248" s="5" t="s">
        <v>484</v>
      </c>
    </row>
    <row r="249" spans="5:8" x14ac:dyDescent="0.3">
      <c r="E249" s="5" t="s">
        <v>130</v>
      </c>
      <c r="F249" s="5" t="s">
        <v>33</v>
      </c>
      <c r="G249" s="5" t="s">
        <v>272</v>
      </c>
      <c r="H249" s="5" t="s">
        <v>485</v>
      </c>
    </row>
    <row r="250" spans="5:8" x14ac:dyDescent="0.3">
      <c r="E250" s="5" t="s">
        <v>130</v>
      </c>
      <c r="F250" s="5" t="s">
        <v>33</v>
      </c>
      <c r="G250" s="5" t="s">
        <v>274</v>
      </c>
      <c r="H250" s="5" t="s">
        <v>486</v>
      </c>
    </row>
    <row r="251" spans="5:8" x14ac:dyDescent="0.3">
      <c r="E251" s="5" t="s">
        <v>131</v>
      </c>
      <c r="F251" s="5" t="s">
        <v>35</v>
      </c>
      <c r="G251" s="5" t="s">
        <v>160</v>
      </c>
      <c r="H251" s="5" t="s">
        <v>487</v>
      </c>
    </row>
    <row r="252" spans="5:8" x14ac:dyDescent="0.3">
      <c r="E252" s="5" t="s">
        <v>131</v>
      </c>
      <c r="F252" s="5" t="s">
        <v>35</v>
      </c>
      <c r="G252" s="5" t="s">
        <v>162</v>
      </c>
      <c r="H252" s="5" t="s">
        <v>488</v>
      </c>
    </row>
    <row r="253" spans="5:8" x14ac:dyDescent="0.3">
      <c r="E253" s="5" t="s">
        <v>131</v>
      </c>
      <c r="F253" s="5" t="s">
        <v>35</v>
      </c>
      <c r="G253" s="5" t="s">
        <v>164</v>
      </c>
      <c r="H253" s="5" t="s">
        <v>489</v>
      </c>
    </row>
    <row r="254" spans="5:8" x14ac:dyDescent="0.3">
      <c r="E254" s="5" t="s">
        <v>131</v>
      </c>
      <c r="F254" s="5" t="s">
        <v>35</v>
      </c>
      <c r="G254" s="5" t="s">
        <v>166</v>
      </c>
      <c r="H254" s="5" t="s">
        <v>490</v>
      </c>
    </row>
    <row r="255" spans="5:8" x14ac:dyDescent="0.3">
      <c r="E255" s="5" t="s">
        <v>131</v>
      </c>
      <c r="F255" s="5" t="s">
        <v>35</v>
      </c>
      <c r="G255" s="5" t="s">
        <v>168</v>
      </c>
      <c r="H255" s="5" t="s">
        <v>491</v>
      </c>
    </row>
    <row r="256" spans="5:8" x14ac:dyDescent="0.3">
      <c r="E256" s="5" t="s">
        <v>131</v>
      </c>
      <c r="F256" s="5" t="s">
        <v>35</v>
      </c>
      <c r="G256" s="5" t="s">
        <v>170</v>
      </c>
      <c r="H256" s="5" t="s">
        <v>492</v>
      </c>
    </row>
    <row r="257" spans="5:8" x14ac:dyDescent="0.3">
      <c r="E257" s="5" t="s">
        <v>131</v>
      </c>
      <c r="F257" s="5" t="s">
        <v>35</v>
      </c>
      <c r="G257" s="5" t="s">
        <v>172</v>
      </c>
      <c r="H257" s="5" t="s">
        <v>493</v>
      </c>
    </row>
    <row r="258" spans="5:8" x14ac:dyDescent="0.3">
      <c r="E258" s="5" t="s">
        <v>131</v>
      </c>
      <c r="F258" s="5" t="s">
        <v>35</v>
      </c>
      <c r="G258" s="5" t="s">
        <v>494</v>
      </c>
      <c r="H258" s="5" t="s">
        <v>495</v>
      </c>
    </row>
    <row r="259" spans="5:8" x14ac:dyDescent="0.3">
      <c r="E259" s="5" t="s">
        <v>131</v>
      </c>
      <c r="F259" s="5" t="s">
        <v>35</v>
      </c>
      <c r="G259" s="5" t="s">
        <v>174</v>
      </c>
      <c r="H259" s="5" t="s">
        <v>496</v>
      </c>
    </row>
    <row r="260" spans="5:8" x14ac:dyDescent="0.3">
      <c r="E260" s="5" t="s">
        <v>131</v>
      </c>
      <c r="F260" s="5" t="s">
        <v>35</v>
      </c>
      <c r="G260" s="5" t="s">
        <v>176</v>
      </c>
      <c r="H260" s="5" t="s">
        <v>497</v>
      </c>
    </row>
    <row r="261" spans="5:8" x14ac:dyDescent="0.3">
      <c r="E261" s="5" t="s">
        <v>131</v>
      </c>
      <c r="F261" s="5" t="s">
        <v>35</v>
      </c>
      <c r="G261" s="5" t="s">
        <v>178</v>
      </c>
      <c r="H261" s="5" t="s">
        <v>498</v>
      </c>
    </row>
    <row r="262" spans="5:8" x14ac:dyDescent="0.3">
      <c r="E262" s="5" t="s">
        <v>131</v>
      </c>
      <c r="F262" s="5" t="s">
        <v>35</v>
      </c>
      <c r="G262" s="5" t="s">
        <v>180</v>
      </c>
      <c r="H262" s="5" t="s">
        <v>499</v>
      </c>
    </row>
    <row r="263" spans="5:8" x14ac:dyDescent="0.3">
      <c r="E263" s="5" t="s">
        <v>131</v>
      </c>
      <c r="F263" s="5" t="s">
        <v>35</v>
      </c>
      <c r="G263" s="5" t="s">
        <v>182</v>
      </c>
      <c r="H263" s="5" t="s">
        <v>500</v>
      </c>
    </row>
    <row r="264" spans="5:8" x14ac:dyDescent="0.3">
      <c r="E264" s="5" t="s">
        <v>131</v>
      </c>
      <c r="F264" s="5" t="s">
        <v>35</v>
      </c>
      <c r="G264" s="5" t="s">
        <v>184</v>
      </c>
      <c r="H264" s="5" t="s">
        <v>501</v>
      </c>
    </row>
    <row r="265" spans="5:8" x14ac:dyDescent="0.3">
      <c r="E265" s="5" t="s">
        <v>131</v>
      </c>
      <c r="F265" s="5" t="s">
        <v>35</v>
      </c>
      <c r="G265" s="5" t="s">
        <v>186</v>
      </c>
      <c r="H265" s="5" t="s">
        <v>502</v>
      </c>
    </row>
    <row r="266" spans="5:8" x14ac:dyDescent="0.3">
      <c r="E266" s="5" t="s">
        <v>131</v>
      </c>
      <c r="F266" s="5" t="s">
        <v>35</v>
      </c>
      <c r="G266" s="5" t="s">
        <v>188</v>
      </c>
      <c r="H266" s="5" t="s">
        <v>503</v>
      </c>
    </row>
    <row r="267" spans="5:8" x14ac:dyDescent="0.3">
      <c r="E267" s="5" t="s">
        <v>131</v>
      </c>
      <c r="F267" s="5" t="s">
        <v>35</v>
      </c>
      <c r="G267" s="5" t="s">
        <v>190</v>
      </c>
      <c r="H267" s="5" t="s">
        <v>504</v>
      </c>
    </row>
    <row r="268" spans="5:8" x14ac:dyDescent="0.3">
      <c r="E268" s="5" t="s">
        <v>131</v>
      </c>
      <c r="F268" s="5" t="s">
        <v>35</v>
      </c>
      <c r="G268" s="5" t="s">
        <v>192</v>
      </c>
      <c r="H268" s="5" t="s">
        <v>505</v>
      </c>
    </row>
    <row r="269" spans="5:8" x14ac:dyDescent="0.3">
      <c r="E269" s="5" t="s">
        <v>131</v>
      </c>
      <c r="F269" s="5" t="s">
        <v>35</v>
      </c>
      <c r="G269" s="5" t="s">
        <v>194</v>
      </c>
      <c r="H269" s="5" t="s">
        <v>506</v>
      </c>
    </row>
    <row r="270" spans="5:8" x14ac:dyDescent="0.3">
      <c r="E270" s="5" t="s">
        <v>131</v>
      </c>
      <c r="F270" s="5" t="s">
        <v>35</v>
      </c>
      <c r="G270" s="5" t="s">
        <v>196</v>
      </c>
      <c r="H270" s="5" t="s">
        <v>507</v>
      </c>
    </row>
    <row r="271" spans="5:8" x14ac:dyDescent="0.3">
      <c r="E271" s="5" t="s">
        <v>131</v>
      </c>
      <c r="F271" s="5" t="s">
        <v>35</v>
      </c>
      <c r="G271" s="5" t="s">
        <v>200</v>
      </c>
      <c r="H271" s="5" t="s">
        <v>509</v>
      </c>
    </row>
    <row r="272" spans="5:8" x14ac:dyDescent="0.3">
      <c r="E272" s="5" t="s">
        <v>131</v>
      </c>
      <c r="F272" s="5" t="s">
        <v>35</v>
      </c>
      <c r="G272" s="5" t="s">
        <v>198</v>
      </c>
      <c r="H272" s="5" t="s">
        <v>508</v>
      </c>
    </row>
    <row r="273" spans="5:8" x14ac:dyDescent="0.3">
      <c r="E273" s="5" t="s">
        <v>131</v>
      </c>
      <c r="F273" s="5" t="s">
        <v>35</v>
      </c>
      <c r="G273" s="5" t="s">
        <v>202</v>
      </c>
      <c r="H273" s="5" t="s">
        <v>510</v>
      </c>
    </row>
    <row r="274" spans="5:8" x14ac:dyDescent="0.3">
      <c r="E274" s="5" t="s">
        <v>131</v>
      </c>
      <c r="F274" s="5" t="s">
        <v>35</v>
      </c>
      <c r="G274" s="5" t="s">
        <v>204</v>
      </c>
      <c r="H274" s="5" t="s">
        <v>511</v>
      </c>
    </row>
    <row r="275" spans="5:8" x14ac:dyDescent="0.3">
      <c r="E275" s="5" t="s">
        <v>131</v>
      </c>
      <c r="F275" s="5" t="s">
        <v>35</v>
      </c>
      <c r="G275" s="5" t="s">
        <v>206</v>
      </c>
      <c r="H275" s="5" t="s">
        <v>512</v>
      </c>
    </row>
    <row r="276" spans="5:8" x14ac:dyDescent="0.3">
      <c r="E276" s="5" t="s">
        <v>131</v>
      </c>
      <c r="F276" s="5" t="s">
        <v>35</v>
      </c>
      <c r="G276" s="5" t="s">
        <v>208</v>
      </c>
      <c r="H276" s="5" t="s">
        <v>513</v>
      </c>
    </row>
    <row r="277" spans="5:8" x14ac:dyDescent="0.3">
      <c r="E277" s="5" t="s">
        <v>131</v>
      </c>
      <c r="F277" s="5" t="s">
        <v>35</v>
      </c>
      <c r="G277" s="5" t="s">
        <v>210</v>
      </c>
      <c r="H277" s="5" t="s">
        <v>514</v>
      </c>
    </row>
    <row r="278" spans="5:8" x14ac:dyDescent="0.3">
      <c r="E278" s="5" t="s">
        <v>131</v>
      </c>
      <c r="F278" s="5" t="s">
        <v>35</v>
      </c>
      <c r="G278" s="5" t="s">
        <v>212</v>
      </c>
      <c r="H278" s="5" t="s">
        <v>515</v>
      </c>
    </row>
    <row r="279" spans="5:8" x14ac:dyDescent="0.3">
      <c r="E279" s="5" t="s">
        <v>131</v>
      </c>
      <c r="F279" s="5" t="s">
        <v>35</v>
      </c>
      <c r="G279" s="5" t="s">
        <v>214</v>
      </c>
      <c r="H279" s="5" t="s">
        <v>516</v>
      </c>
    </row>
    <row r="280" spans="5:8" x14ac:dyDescent="0.3">
      <c r="E280" s="5" t="s">
        <v>131</v>
      </c>
      <c r="F280" s="5" t="s">
        <v>35</v>
      </c>
      <c r="G280" s="5" t="s">
        <v>216</v>
      </c>
      <c r="H280" s="5" t="s">
        <v>231</v>
      </c>
    </row>
    <row r="281" spans="5:8" x14ac:dyDescent="0.3">
      <c r="E281" s="5" t="s">
        <v>131</v>
      </c>
      <c r="F281" s="5" t="s">
        <v>35</v>
      </c>
      <c r="G281" s="5" t="s">
        <v>218</v>
      </c>
      <c r="H281" s="5" t="s">
        <v>233</v>
      </c>
    </row>
    <row r="282" spans="5:8" x14ac:dyDescent="0.3">
      <c r="E282" s="5" t="s">
        <v>131</v>
      </c>
      <c r="F282" s="5" t="s">
        <v>35</v>
      </c>
      <c r="G282" s="5" t="s">
        <v>220</v>
      </c>
      <c r="H282" s="5" t="s">
        <v>517</v>
      </c>
    </row>
    <row r="283" spans="5:8" x14ac:dyDescent="0.3">
      <c r="E283" s="5" t="s">
        <v>131</v>
      </c>
      <c r="F283" s="5" t="s">
        <v>35</v>
      </c>
      <c r="G283" s="5" t="s">
        <v>222</v>
      </c>
      <c r="H283" s="5" t="s">
        <v>518</v>
      </c>
    </row>
    <row r="284" spans="5:8" x14ac:dyDescent="0.3">
      <c r="E284" s="5" t="s">
        <v>131</v>
      </c>
      <c r="F284" s="5" t="s">
        <v>35</v>
      </c>
      <c r="G284" s="5" t="s">
        <v>226</v>
      </c>
      <c r="H284" s="5" t="s">
        <v>519</v>
      </c>
    </row>
    <row r="285" spans="5:8" x14ac:dyDescent="0.3">
      <c r="E285" s="5" t="s">
        <v>131</v>
      </c>
      <c r="F285" s="5" t="s">
        <v>35</v>
      </c>
      <c r="G285" s="5" t="s">
        <v>224</v>
      </c>
      <c r="H285" s="5" t="s">
        <v>447</v>
      </c>
    </row>
    <row r="286" spans="5:8" x14ac:dyDescent="0.3">
      <c r="E286" s="5" t="s">
        <v>131</v>
      </c>
      <c r="F286" s="5" t="s">
        <v>35</v>
      </c>
      <c r="G286" s="5" t="s">
        <v>228</v>
      </c>
      <c r="H286" s="5" t="s">
        <v>520</v>
      </c>
    </row>
    <row r="287" spans="5:8" x14ac:dyDescent="0.3">
      <c r="E287" s="5" t="s">
        <v>131</v>
      </c>
      <c r="F287" s="5" t="s">
        <v>35</v>
      </c>
      <c r="G287" s="5" t="s">
        <v>230</v>
      </c>
      <c r="H287" s="5" t="s">
        <v>521</v>
      </c>
    </row>
    <row r="288" spans="5:8" x14ac:dyDescent="0.3">
      <c r="E288" s="5" t="s">
        <v>131</v>
      </c>
      <c r="F288" s="5" t="s">
        <v>35</v>
      </c>
      <c r="G288" s="5" t="s">
        <v>232</v>
      </c>
      <c r="H288" s="5" t="s">
        <v>395</v>
      </c>
    </row>
    <row r="289" spans="5:8" x14ac:dyDescent="0.3">
      <c r="E289" s="5" t="s">
        <v>131</v>
      </c>
      <c r="F289" s="5" t="s">
        <v>35</v>
      </c>
      <c r="G289" s="5" t="s">
        <v>234</v>
      </c>
      <c r="H289" s="5" t="s">
        <v>397</v>
      </c>
    </row>
    <row r="290" spans="5:8" x14ac:dyDescent="0.3">
      <c r="E290" s="5" t="s">
        <v>131</v>
      </c>
      <c r="F290" s="5" t="s">
        <v>35</v>
      </c>
      <c r="G290" s="5" t="s">
        <v>236</v>
      </c>
      <c r="H290" s="5" t="s">
        <v>522</v>
      </c>
    </row>
    <row r="291" spans="5:8" x14ac:dyDescent="0.3">
      <c r="E291" s="5" t="s">
        <v>131</v>
      </c>
      <c r="F291" s="5" t="s">
        <v>35</v>
      </c>
      <c r="G291" s="5" t="s">
        <v>238</v>
      </c>
      <c r="H291" s="5" t="s">
        <v>523</v>
      </c>
    </row>
    <row r="292" spans="5:8" x14ac:dyDescent="0.3">
      <c r="E292" s="5" t="s">
        <v>131</v>
      </c>
      <c r="F292" s="5" t="s">
        <v>35</v>
      </c>
      <c r="G292" s="5" t="s">
        <v>240</v>
      </c>
      <c r="H292" s="5" t="s">
        <v>524</v>
      </c>
    </row>
    <row r="293" spans="5:8" x14ac:dyDescent="0.3">
      <c r="E293" s="5" t="s">
        <v>131</v>
      </c>
      <c r="F293" s="5" t="s">
        <v>35</v>
      </c>
      <c r="G293" s="5" t="s">
        <v>242</v>
      </c>
      <c r="H293" s="5" t="s">
        <v>525</v>
      </c>
    </row>
    <row r="294" spans="5:8" x14ac:dyDescent="0.3">
      <c r="E294" s="5" t="s">
        <v>131</v>
      </c>
      <c r="F294" s="5" t="s">
        <v>35</v>
      </c>
      <c r="G294" s="5" t="s">
        <v>244</v>
      </c>
      <c r="H294" s="5" t="s">
        <v>526</v>
      </c>
    </row>
    <row r="295" spans="5:8" x14ac:dyDescent="0.3">
      <c r="E295" s="5" t="s">
        <v>131</v>
      </c>
      <c r="F295" s="5" t="s">
        <v>35</v>
      </c>
      <c r="G295" s="5" t="s">
        <v>246</v>
      </c>
      <c r="H295" s="5" t="s">
        <v>263</v>
      </c>
    </row>
    <row r="296" spans="5:8" x14ac:dyDescent="0.3">
      <c r="E296" s="5" t="s">
        <v>131</v>
      </c>
      <c r="F296" s="5" t="s">
        <v>35</v>
      </c>
      <c r="G296" s="5" t="s">
        <v>248</v>
      </c>
      <c r="H296" s="5" t="s">
        <v>527</v>
      </c>
    </row>
    <row r="297" spans="5:8" x14ac:dyDescent="0.3">
      <c r="E297" s="5" t="s">
        <v>131</v>
      </c>
      <c r="F297" s="5" t="s">
        <v>35</v>
      </c>
      <c r="G297" s="5" t="s">
        <v>250</v>
      </c>
      <c r="H297" s="5" t="s">
        <v>528</v>
      </c>
    </row>
    <row r="298" spans="5:8" x14ac:dyDescent="0.3">
      <c r="E298" s="5" t="s">
        <v>131</v>
      </c>
      <c r="F298" s="5" t="s">
        <v>35</v>
      </c>
      <c r="G298" s="5" t="s">
        <v>252</v>
      </c>
      <c r="H298" s="5" t="s">
        <v>529</v>
      </c>
    </row>
    <row r="299" spans="5:8" x14ac:dyDescent="0.3">
      <c r="E299" s="5" t="s">
        <v>131</v>
      </c>
      <c r="F299" s="5" t="s">
        <v>35</v>
      </c>
      <c r="G299" s="5" t="s">
        <v>254</v>
      </c>
      <c r="H299" s="5" t="s">
        <v>404</v>
      </c>
    </row>
    <row r="300" spans="5:8" x14ac:dyDescent="0.3">
      <c r="E300" s="5" t="s">
        <v>131</v>
      </c>
      <c r="F300" s="5" t="s">
        <v>35</v>
      </c>
      <c r="G300" s="5" t="s">
        <v>256</v>
      </c>
      <c r="H300" s="5" t="s">
        <v>530</v>
      </c>
    </row>
    <row r="301" spans="5:8" x14ac:dyDescent="0.3">
      <c r="E301" s="5" t="s">
        <v>131</v>
      </c>
      <c r="F301" s="5" t="s">
        <v>35</v>
      </c>
      <c r="G301" s="5" t="s">
        <v>258</v>
      </c>
      <c r="H301" s="5" t="s">
        <v>531</v>
      </c>
    </row>
    <row r="302" spans="5:8" x14ac:dyDescent="0.3">
      <c r="E302" s="5" t="s">
        <v>131</v>
      </c>
      <c r="F302" s="5" t="s">
        <v>35</v>
      </c>
      <c r="G302" s="5" t="s">
        <v>260</v>
      </c>
      <c r="H302" s="5" t="s">
        <v>532</v>
      </c>
    </row>
    <row r="303" spans="5:8" x14ac:dyDescent="0.3">
      <c r="E303" s="5" t="s">
        <v>131</v>
      </c>
      <c r="F303" s="5" t="s">
        <v>35</v>
      </c>
      <c r="G303" s="5" t="s">
        <v>262</v>
      </c>
      <c r="H303" s="5" t="s">
        <v>533</v>
      </c>
    </row>
    <row r="304" spans="5:8" x14ac:dyDescent="0.3">
      <c r="E304" s="5" t="s">
        <v>131</v>
      </c>
      <c r="F304" s="5" t="s">
        <v>35</v>
      </c>
      <c r="G304" s="5" t="s">
        <v>264</v>
      </c>
      <c r="H304" s="5" t="s">
        <v>534</v>
      </c>
    </row>
    <row r="305" spans="5:8" x14ac:dyDescent="0.3">
      <c r="E305" s="5" t="s">
        <v>131</v>
      </c>
      <c r="F305" s="5" t="s">
        <v>35</v>
      </c>
      <c r="G305" s="5" t="s">
        <v>266</v>
      </c>
      <c r="H305" s="5" t="s">
        <v>535</v>
      </c>
    </row>
    <row r="306" spans="5:8" x14ac:dyDescent="0.3">
      <c r="E306" s="5" t="s">
        <v>131</v>
      </c>
      <c r="F306" s="5" t="s">
        <v>35</v>
      </c>
      <c r="G306" s="5" t="s">
        <v>268</v>
      </c>
      <c r="H306" s="5" t="s">
        <v>536</v>
      </c>
    </row>
    <row r="307" spans="5:8" x14ac:dyDescent="0.3">
      <c r="E307" s="5" t="s">
        <v>131</v>
      </c>
      <c r="F307" s="5" t="s">
        <v>35</v>
      </c>
      <c r="G307" s="5" t="s">
        <v>270</v>
      </c>
      <c r="H307" s="5" t="s">
        <v>537</v>
      </c>
    </row>
    <row r="308" spans="5:8" x14ac:dyDescent="0.3">
      <c r="E308" s="5" t="s">
        <v>131</v>
      </c>
      <c r="F308" s="5" t="s">
        <v>35</v>
      </c>
      <c r="G308" s="5" t="s">
        <v>272</v>
      </c>
      <c r="H308" s="5" t="s">
        <v>538</v>
      </c>
    </row>
    <row r="309" spans="5:8" x14ac:dyDescent="0.3">
      <c r="E309" s="5" t="s">
        <v>131</v>
      </c>
      <c r="F309" s="5" t="s">
        <v>35</v>
      </c>
      <c r="G309" s="5" t="s">
        <v>274</v>
      </c>
      <c r="H309" s="5" t="s">
        <v>539</v>
      </c>
    </row>
    <row r="310" spans="5:8" x14ac:dyDescent="0.3">
      <c r="E310" s="5" t="s">
        <v>131</v>
      </c>
      <c r="F310" s="5" t="s">
        <v>35</v>
      </c>
      <c r="G310" s="5" t="s">
        <v>276</v>
      </c>
      <c r="H310" s="5" t="s">
        <v>540</v>
      </c>
    </row>
    <row r="311" spans="5:8" x14ac:dyDescent="0.3">
      <c r="E311" s="5" t="s">
        <v>131</v>
      </c>
      <c r="F311" s="5" t="s">
        <v>35</v>
      </c>
      <c r="G311" s="5" t="s">
        <v>278</v>
      </c>
      <c r="H311" s="5" t="s">
        <v>541</v>
      </c>
    </row>
    <row r="312" spans="5:8" x14ac:dyDescent="0.3">
      <c r="E312" s="5" t="s">
        <v>131</v>
      </c>
      <c r="F312" s="5" t="s">
        <v>35</v>
      </c>
      <c r="G312" s="5" t="s">
        <v>280</v>
      </c>
      <c r="H312" s="5" t="s">
        <v>289</v>
      </c>
    </row>
    <row r="313" spans="5:8" x14ac:dyDescent="0.3">
      <c r="E313" s="5" t="s">
        <v>131</v>
      </c>
      <c r="F313" s="5" t="s">
        <v>35</v>
      </c>
      <c r="G313" s="5" t="s">
        <v>282</v>
      </c>
      <c r="H313" s="5" t="s">
        <v>542</v>
      </c>
    </row>
    <row r="314" spans="5:8" x14ac:dyDescent="0.3">
      <c r="E314" s="5" t="s">
        <v>131</v>
      </c>
      <c r="F314" s="5" t="s">
        <v>35</v>
      </c>
      <c r="G314" s="5" t="s">
        <v>284</v>
      </c>
      <c r="H314" s="5" t="s">
        <v>365</v>
      </c>
    </row>
    <row r="315" spans="5:8" x14ac:dyDescent="0.3">
      <c r="E315" s="5" t="s">
        <v>132</v>
      </c>
      <c r="F315" s="5" t="s">
        <v>37</v>
      </c>
      <c r="G315" s="5" t="s">
        <v>160</v>
      </c>
      <c r="H315" s="5" t="s">
        <v>543</v>
      </c>
    </row>
    <row r="316" spans="5:8" x14ac:dyDescent="0.3">
      <c r="E316" s="5" t="s">
        <v>132</v>
      </c>
      <c r="F316" s="5" t="s">
        <v>37</v>
      </c>
      <c r="G316" s="5" t="s">
        <v>162</v>
      </c>
      <c r="H316" s="5" t="s">
        <v>544</v>
      </c>
    </row>
    <row r="317" spans="5:8" x14ac:dyDescent="0.3">
      <c r="E317" s="5" t="s">
        <v>132</v>
      </c>
      <c r="F317" s="5" t="s">
        <v>37</v>
      </c>
      <c r="G317" s="5" t="s">
        <v>164</v>
      </c>
      <c r="H317" s="5" t="s">
        <v>545</v>
      </c>
    </row>
    <row r="318" spans="5:8" x14ac:dyDescent="0.3">
      <c r="E318" s="5" t="s">
        <v>132</v>
      </c>
      <c r="F318" s="5" t="s">
        <v>37</v>
      </c>
      <c r="G318" s="5" t="s">
        <v>166</v>
      </c>
      <c r="H318" s="5" t="s">
        <v>546</v>
      </c>
    </row>
    <row r="319" spans="5:8" x14ac:dyDescent="0.3">
      <c r="E319" s="5" t="s">
        <v>132</v>
      </c>
      <c r="F319" s="5" t="s">
        <v>37</v>
      </c>
      <c r="G319" s="5" t="s">
        <v>168</v>
      </c>
      <c r="H319" s="5" t="s">
        <v>547</v>
      </c>
    </row>
    <row r="320" spans="5:8" x14ac:dyDescent="0.3">
      <c r="E320" s="5" t="s">
        <v>132</v>
      </c>
      <c r="F320" s="5" t="s">
        <v>37</v>
      </c>
      <c r="G320" s="5" t="s">
        <v>170</v>
      </c>
      <c r="H320" s="5" t="s">
        <v>548</v>
      </c>
    </row>
    <row r="321" spans="5:8" x14ac:dyDescent="0.3">
      <c r="E321" s="5" t="s">
        <v>132</v>
      </c>
      <c r="F321" s="5" t="s">
        <v>37</v>
      </c>
      <c r="G321" s="5" t="s">
        <v>172</v>
      </c>
      <c r="H321" s="5" t="s">
        <v>549</v>
      </c>
    </row>
    <row r="322" spans="5:8" x14ac:dyDescent="0.3">
      <c r="E322" s="5" t="s">
        <v>132</v>
      </c>
      <c r="F322" s="5" t="s">
        <v>37</v>
      </c>
      <c r="G322" s="5" t="s">
        <v>174</v>
      </c>
      <c r="H322" s="5" t="s">
        <v>550</v>
      </c>
    </row>
    <row r="323" spans="5:8" x14ac:dyDescent="0.3">
      <c r="E323" s="5" t="s">
        <v>555</v>
      </c>
      <c r="F323" s="5" t="s">
        <v>41</v>
      </c>
      <c r="G323" s="5" t="s">
        <v>160</v>
      </c>
      <c r="H323" s="5" t="s">
        <v>40</v>
      </c>
    </row>
    <row r="324" spans="5:8" x14ac:dyDescent="0.3">
      <c r="E324" s="5" t="s">
        <v>551</v>
      </c>
      <c r="F324" s="5" t="s">
        <v>39</v>
      </c>
      <c r="G324" s="5" t="s">
        <v>160</v>
      </c>
      <c r="H324" s="5" t="s">
        <v>552</v>
      </c>
    </row>
    <row r="325" spans="5:8" x14ac:dyDescent="0.3">
      <c r="E325" s="5" t="s">
        <v>551</v>
      </c>
      <c r="F325" s="5" t="s">
        <v>39</v>
      </c>
      <c r="G325" s="5" t="s">
        <v>162</v>
      </c>
      <c r="H325" s="5" t="s">
        <v>553</v>
      </c>
    </row>
    <row r="326" spans="5:8" x14ac:dyDescent="0.3">
      <c r="E326" s="5" t="s">
        <v>551</v>
      </c>
      <c r="F326" s="5" t="s">
        <v>39</v>
      </c>
      <c r="G326" s="5" t="s">
        <v>164</v>
      </c>
      <c r="H326" s="5" t="s">
        <v>554</v>
      </c>
    </row>
    <row r="327" spans="5:8" x14ac:dyDescent="0.3">
      <c r="E327" s="5" t="s">
        <v>556</v>
      </c>
      <c r="F327" s="5" t="s">
        <v>43</v>
      </c>
      <c r="G327" s="5" t="s">
        <v>160</v>
      </c>
      <c r="H327" s="5" t="s">
        <v>557</v>
      </c>
    </row>
    <row r="328" spans="5:8" x14ac:dyDescent="0.3">
      <c r="E328" s="5" t="s">
        <v>556</v>
      </c>
      <c r="F328" s="5" t="s">
        <v>43</v>
      </c>
      <c r="G328" s="5" t="s">
        <v>162</v>
      </c>
      <c r="H328" s="5" t="s">
        <v>558</v>
      </c>
    </row>
    <row r="329" spans="5:8" x14ac:dyDescent="0.3">
      <c r="E329" s="5" t="s">
        <v>556</v>
      </c>
      <c r="F329" s="5" t="s">
        <v>43</v>
      </c>
      <c r="G329" s="5" t="s">
        <v>164</v>
      </c>
      <c r="H329" s="5" t="s">
        <v>559</v>
      </c>
    </row>
    <row r="330" spans="5:8" x14ac:dyDescent="0.3">
      <c r="E330" s="5" t="s">
        <v>556</v>
      </c>
      <c r="F330" s="5" t="s">
        <v>43</v>
      </c>
      <c r="G330" s="5" t="s">
        <v>166</v>
      </c>
      <c r="H330" s="5" t="s">
        <v>560</v>
      </c>
    </row>
    <row r="331" spans="5:8" x14ac:dyDescent="0.3">
      <c r="E331" s="5" t="s">
        <v>556</v>
      </c>
      <c r="F331" s="5" t="s">
        <v>43</v>
      </c>
      <c r="G331" s="5" t="s">
        <v>168</v>
      </c>
      <c r="H331" s="5" t="s">
        <v>561</v>
      </c>
    </row>
    <row r="332" spans="5:8" x14ac:dyDescent="0.3">
      <c r="E332" s="5" t="s">
        <v>556</v>
      </c>
      <c r="F332" s="5" t="s">
        <v>43</v>
      </c>
      <c r="G332" s="5" t="s">
        <v>170</v>
      </c>
      <c r="H332" s="5" t="s">
        <v>562</v>
      </c>
    </row>
    <row r="333" spans="5:8" x14ac:dyDescent="0.3">
      <c r="E333" s="5" t="s">
        <v>556</v>
      </c>
      <c r="F333" s="5" t="s">
        <v>43</v>
      </c>
      <c r="G333" s="5" t="s">
        <v>172</v>
      </c>
      <c r="H333" s="5" t="s">
        <v>175</v>
      </c>
    </row>
    <row r="334" spans="5:8" x14ac:dyDescent="0.3">
      <c r="E334" s="5" t="s">
        <v>556</v>
      </c>
      <c r="F334" s="5" t="s">
        <v>43</v>
      </c>
      <c r="G334" s="5" t="s">
        <v>174</v>
      </c>
      <c r="H334" s="5" t="s">
        <v>563</v>
      </c>
    </row>
    <row r="335" spans="5:8" x14ac:dyDescent="0.3">
      <c r="E335" s="5" t="s">
        <v>556</v>
      </c>
      <c r="F335" s="5" t="s">
        <v>43</v>
      </c>
      <c r="G335" s="5" t="s">
        <v>176</v>
      </c>
      <c r="H335" s="5" t="s">
        <v>564</v>
      </c>
    </row>
    <row r="336" spans="5:8" x14ac:dyDescent="0.3">
      <c r="E336" s="5" t="s">
        <v>556</v>
      </c>
      <c r="F336" s="5" t="s">
        <v>43</v>
      </c>
      <c r="G336" s="5" t="s">
        <v>178</v>
      </c>
      <c r="H336" s="5" t="s">
        <v>187</v>
      </c>
    </row>
    <row r="337" spans="5:8" x14ac:dyDescent="0.3">
      <c r="E337" s="5" t="s">
        <v>556</v>
      </c>
      <c r="F337" s="5" t="s">
        <v>43</v>
      </c>
      <c r="G337" s="5" t="s">
        <v>180</v>
      </c>
      <c r="H337" s="5" t="s">
        <v>565</v>
      </c>
    </row>
    <row r="338" spans="5:8" x14ac:dyDescent="0.3">
      <c r="E338" s="5" t="s">
        <v>556</v>
      </c>
      <c r="F338" s="5" t="s">
        <v>43</v>
      </c>
      <c r="G338" s="5" t="s">
        <v>182</v>
      </c>
      <c r="H338" s="5" t="s">
        <v>376</v>
      </c>
    </row>
    <row r="339" spans="5:8" x14ac:dyDescent="0.3">
      <c r="E339" s="5" t="s">
        <v>556</v>
      </c>
      <c r="F339" s="5" t="s">
        <v>43</v>
      </c>
      <c r="G339" s="5" t="s">
        <v>186</v>
      </c>
      <c r="H339" s="5" t="s">
        <v>566</v>
      </c>
    </row>
    <row r="340" spans="5:8" x14ac:dyDescent="0.3">
      <c r="E340" s="5" t="s">
        <v>556</v>
      </c>
      <c r="F340" s="5" t="s">
        <v>43</v>
      </c>
      <c r="G340" s="5" t="s">
        <v>188</v>
      </c>
      <c r="H340" s="5" t="s">
        <v>567</v>
      </c>
    </row>
    <row r="341" spans="5:8" x14ac:dyDescent="0.3">
      <c r="E341" s="5" t="s">
        <v>556</v>
      </c>
      <c r="F341" s="5" t="s">
        <v>43</v>
      </c>
      <c r="G341" s="5" t="s">
        <v>190</v>
      </c>
      <c r="H341" s="5" t="s">
        <v>568</v>
      </c>
    </row>
    <row r="342" spans="5:8" x14ac:dyDescent="0.3">
      <c r="E342" s="5" t="s">
        <v>556</v>
      </c>
      <c r="F342" s="5" t="s">
        <v>43</v>
      </c>
      <c r="G342" s="5" t="s">
        <v>192</v>
      </c>
      <c r="H342" s="5" t="s">
        <v>213</v>
      </c>
    </row>
    <row r="343" spans="5:8" x14ac:dyDescent="0.3">
      <c r="E343" s="5" t="s">
        <v>556</v>
      </c>
      <c r="F343" s="5" t="s">
        <v>43</v>
      </c>
      <c r="G343" s="5" t="s">
        <v>194</v>
      </c>
      <c r="H343" s="5" t="s">
        <v>569</v>
      </c>
    </row>
    <row r="344" spans="5:8" x14ac:dyDescent="0.3">
      <c r="E344" s="5" t="s">
        <v>556</v>
      </c>
      <c r="F344" s="5" t="s">
        <v>43</v>
      </c>
      <c r="G344" s="5" t="s">
        <v>196</v>
      </c>
      <c r="H344" s="5" t="s">
        <v>219</v>
      </c>
    </row>
    <row r="345" spans="5:8" x14ac:dyDescent="0.3">
      <c r="E345" s="5" t="s">
        <v>556</v>
      </c>
      <c r="F345" s="5" t="s">
        <v>43</v>
      </c>
      <c r="G345" s="5" t="s">
        <v>198</v>
      </c>
      <c r="H345" s="5" t="s">
        <v>570</v>
      </c>
    </row>
    <row r="346" spans="5:8" x14ac:dyDescent="0.3">
      <c r="E346" s="5" t="s">
        <v>556</v>
      </c>
      <c r="F346" s="5" t="s">
        <v>43</v>
      </c>
      <c r="G346" s="5" t="s">
        <v>200</v>
      </c>
      <c r="H346" s="5" t="s">
        <v>571</v>
      </c>
    </row>
    <row r="347" spans="5:8" x14ac:dyDescent="0.3">
      <c r="E347" s="5" t="s">
        <v>556</v>
      </c>
      <c r="F347" s="5" t="s">
        <v>43</v>
      </c>
      <c r="G347" s="5" t="s">
        <v>202</v>
      </c>
      <c r="H347" s="5" t="s">
        <v>572</v>
      </c>
    </row>
    <row r="348" spans="5:8" x14ac:dyDescent="0.3">
      <c r="E348" s="5" t="s">
        <v>556</v>
      </c>
      <c r="F348" s="5" t="s">
        <v>43</v>
      </c>
      <c r="G348" s="5" t="s">
        <v>204</v>
      </c>
      <c r="H348" s="5" t="s">
        <v>573</v>
      </c>
    </row>
    <row r="349" spans="5:8" x14ac:dyDescent="0.3">
      <c r="E349" s="5" t="s">
        <v>556</v>
      </c>
      <c r="F349" s="5" t="s">
        <v>43</v>
      </c>
      <c r="G349" s="5" t="s">
        <v>206</v>
      </c>
      <c r="H349" s="5" t="s">
        <v>574</v>
      </c>
    </row>
    <row r="350" spans="5:8" x14ac:dyDescent="0.3">
      <c r="E350" s="5" t="s">
        <v>556</v>
      </c>
      <c r="F350" s="5" t="s">
        <v>43</v>
      </c>
      <c r="G350" s="5" t="s">
        <v>208</v>
      </c>
      <c r="H350" s="5" t="s">
        <v>575</v>
      </c>
    </row>
    <row r="351" spans="5:8" x14ac:dyDescent="0.3">
      <c r="E351" s="5" t="s">
        <v>556</v>
      </c>
      <c r="F351" s="5" t="s">
        <v>43</v>
      </c>
      <c r="G351" s="5" t="s">
        <v>210</v>
      </c>
      <c r="H351" s="5" t="s">
        <v>576</v>
      </c>
    </row>
    <row r="352" spans="5:8" x14ac:dyDescent="0.3">
      <c r="E352" s="5" t="s">
        <v>556</v>
      </c>
      <c r="F352" s="5" t="s">
        <v>43</v>
      </c>
      <c r="G352" s="5" t="s">
        <v>212</v>
      </c>
      <c r="H352" s="5" t="s">
        <v>577</v>
      </c>
    </row>
    <row r="353" spans="5:8" x14ac:dyDescent="0.3">
      <c r="E353" s="5" t="s">
        <v>556</v>
      </c>
      <c r="F353" s="5" t="s">
        <v>43</v>
      </c>
      <c r="G353" s="5" t="s">
        <v>214</v>
      </c>
      <c r="H353" s="5" t="s">
        <v>578</v>
      </c>
    </row>
    <row r="354" spans="5:8" x14ac:dyDescent="0.3">
      <c r="E354" s="5" t="s">
        <v>556</v>
      </c>
      <c r="F354" s="5" t="s">
        <v>43</v>
      </c>
      <c r="G354" s="5" t="s">
        <v>216</v>
      </c>
      <c r="H354" s="5" t="s">
        <v>579</v>
      </c>
    </row>
    <row r="355" spans="5:8" x14ac:dyDescent="0.3">
      <c r="E355" s="5" t="s">
        <v>556</v>
      </c>
      <c r="F355" s="5" t="s">
        <v>43</v>
      </c>
      <c r="G355" s="5" t="s">
        <v>218</v>
      </c>
      <c r="H355" s="5" t="s">
        <v>580</v>
      </c>
    </row>
    <row r="356" spans="5:8" x14ac:dyDescent="0.3">
      <c r="E356" s="5" t="s">
        <v>556</v>
      </c>
      <c r="F356" s="5" t="s">
        <v>43</v>
      </c>
      <c r="G356" s="5" t="s">
        <v>220</v>
      </c>
      <c r="H356" s="5" t="s">
        <v>581</v>
      </c>
    </row>
    <row r="357" spans="5:8" x14ac:dyDescent="0.3">
      <c r="E357" s="5" t="s">
        <v>556</v>
      </c>
      <c r="F357" s="5" t="s">
        <v>43</v>
      </c>
      <c r="G357" s="5" t="s">
        <v>222</v>
      </c>
      <c r="H357" s="5" t="s">
        <v>231</v>
      </c>
    </row>
    <row r="358" spans="5:8" x14ac:dyDescent="0.3">
      <c r="E358" s="5" t="s">
        <v>556</v>
      </c>
      <c r="F358" s="5" t="s">
        <v>43</v>
      </c>
      <c r="G358" s="5" t="s">
        <v>224</v>
      </c>
      <c r="H358" s="5" t="s">
        <v>233</v>
      </c>
    </row>
    <row r="359" spans="5:8" x14ac:dyDescent="0.3">
      <c r="E359" s="5" t="s">
        <v>556</v>
      </c>
      <c r="F359" s="5" t="s">
        <v>43</v>
      </c>
      <c r="G359" s="5" t="s">
        <v>226</v>
      </c>
      <c r="H359" s="5" t="s">
        <v>394</v>
      </c>
    </row>
    <row r="360" spans="5:8" x14ac:dyDescent="0.3">
      <c r="E360" s="5" t="s">
        <v>556</v>
      </c>
      <c r="F360" s="5" t="s">
        <v>43</v>
      </c>
      <c r="G360" s="5" t="s">
        <v>228</v>
      </c>
      <c r="H360" s="5" t="s">
        <v>447</v>
      </c>
    </row>
    <row r="361" spans="5:8" x14ac:dyDescent="0.3">
      <c r="E361" s="5" t="s">
        <v>556</v>
      </c>
      <c r="F361" s="5" t="s">
        <v>43</v>
      </c>
      <c r="G361" s="5" t="s">
        <v>230</v>
      </c>
      <c r="H361" s="5" t="s">
        <v>241</v>
      </c>
    </row>
    <row r="362" spans="5:8" x14ac:dyDescent="0.3">
      <c r="E362" s="5" t="s">
        <v>556</v>
      </c>
      <c r="F362" s="5" t="s">
        <v>43</v>
      </c>
      <c r="G362" s="5" t="s">
        <v>232</v>
      </c>
      <c r="H362" s="5" t="s">
        <v>582</v>
      </c>
    </row>
    <row r="363" spans="5:8" x14ac:dyDescent="0.3">
      <c r="E363" s="5" t="s">
        <v>556</v>
      </c>
      <c r="F363" s="5" t="s">
        <v>43</v>
      </c>
      <c r="G363" s="5" t="s">
        <v>234</v>
      </c>
      <c r="H363" s="5" t="s">
        <v>583</v>
      </c>
    </row>
    <row r="364" spans="5:8" x14ac:dyDescent="0.3">
      <c r="E364" s="5" t="s">
        <v>556</v>
      </c>
      <c r="F364" s="5" t="s">
        <v>43</v>
      </c>
      <c r="G364" s="5" t="s">
        <v>236</v>
      </c>
      <c r="H364" s="5" t="s">
        <v>584</v>
      </c>
    </row>
    <row r="365" spans="5:8" x14ac:dyDescent="0.3">
      <c r="E365" s="5" t="s">
        <v>556</v>
      </c>
      <c r="F365" s="5" t="s">
        <v>43</v>
      </c>
      <c r="G365" s="5" t="s">
        <v>238</v>
      </c>
      <c r="H365" s="5" t="s">
        <v>249</v>
      </c>
    </row>
    <row r="366" spans="5:8" x14ac:dyDescent="0.3">
      <c r="E366" s="5" t="s">
        <v>556</v>
      </c>
      <c r="F366" s="5" t="s">
        <v>43</v>
      </c>
      <c r="G366" s="5" t="s">
        <v>240</v>
      </c>
      <c r="H366" s="5" t="s">
        <v>585</v>
      </c>
    </row>
    <row r="367" spans="5:8" x14ac:dyDescent="0.3">
      <c r="E367" s="5" t="s">
        <v>556</v>
      </c>
      <c r="F367" s="5" t="s">
        <v>43</v>
      </c>
      <c r="G367" s="5" t="s">
        <v>242</v>
      </c>
      <c r="H367" s="5" t="s">
        <v>253</v>
      </c>
    </row>
    <row r="368" spans="5:8" x14ac:dyDescent="0.3">
      <c r="E368" s="5" t="s">
        <v>556</v>
      </c>
      <c r="F368" s="5" t="s">
        <v>43</v>
      </c>
      <c r="G368" s="5" t="s">
        <v>244</v>
      </c>
      <c r="H368" s="5" t="s">
        <v>586</v>
      </c>
    </row>
    <row r="369" spans="5:8" x14ac:dyDescent="0.3">
      <c r="E369" s="5" t="s">
        <v>556</v>
      </c>
      <c r="F369" s="5" t="s">
        <v>43</v>
      </c>
      <c r="G369" s="5" t="s">
        <v>587</v>
      </c>
      <c r="H369" s="5" t="s">
        <v>588</v>
      </c>
    </row>
    <row r="370" spans="5:8" x14ac:dyDescent="0.3">
      <c r="E370" s="5" t="s">
        <v>556</v>
      </c>
      <c r="F370" s="5" t="s">
        <v>43</v>
      </c>
      <c r="G370" s="5" t="s">
        <v>246</v>
      </c>
      <c r="H370" s="5" t="s">
        <v>259</v>
      </c>
    </row>
    <row r="371" spans="5:8" x14ac:dyDescent="0.3">
      <c r="E371" s="5" t="s">
        <v>556</v>
      </c>
      <c r="F371" s="5" t="s">
        <v>43</v>
      </c>
      <c r="G371" s="5" t="s">
        <v>248</v>
      </c>
      <c r="H371" s="5" t="s">
        <v>589</v>
      </c>
    </row>
    <row r="372" spans="5:8" x14ac:dyDescent="0.3">
      <c r="E372" s="5" t="s">
        <v>556</v>
      </c>
      <c r="F372" s="5" t="s">
        <v>43</v>
      </c>
      <c r="G372" s="5" t="s">
        <v>250</v>
      </c>
      <c r="H372" s="5" t="s">
        <v>590</v>
      </c>
    </row>
    <row r="373" spans="5:8" x14ac:dyDescent="0.3">
      <c r="E373" s="5" t="s">
        <v>556</v>
      </c>
      <c r="F373" s="5" t="s">
        <v>43</v>
      </c>
      <c r="G373" s="5" t="s">
        <v>252</v>
      </c>
      <c r="H373" s="5" t="s">
        <v>591</v>
      </c>
    </row>
    <row r="374" spans="5:8" x14ac:dyDescent="0.3">
      <c r="E374" s="5" t="s">
        <v>556</v>
      </c>
      <c r="F374" s="5" t="s">
        <v>43</v>
      </c>
      <c r="G374" s="5" t="s">
        <v>254</v>
      </c>
      <c r="H374" s="5" t="s">
        <v>459</v>
      </c>
    </row>
    <row r="375" spans="5:8" x14ac:dyDescent="0.3">
      <c r="E375" s="5" t="s">
        <v>556</v>
      </c>
      <c r="F375" s="5" t="s">
        <v>43</v>
      </c>
      <c r="G375" s="5" t="s">
        <v>256</v>
      </c>
      <c r="H375" s="5" t="s">
        <v>592</v>
      </c>
    </row>
    <row r="376" spans="5:8" x14ac:dyDescent="0.3">
      <c r="E376" s="5" t="s">
        <v>556</v>
      </c>
      <c r="F376" s="5" t="s">
        <v>43</v>
      </c>
      <c r="G376" s="5" t="s">
        <v>258</v>
      </c>
      <c r="H376" s="5" t="s">
        <v>593</v>
      </c>
    </row>
    <row r="377" spans="5:8" x14ac:dyDescent="0.3">
      <c r="E377" s="5" t="s">
        <v>556</v>
      </c>
      <c r="F377" s="5" t="s">
        <v>43</v>
      </c>
      <c r="G377" s="5" t="s">
        <v>260</v>
      </c>
      <c r="H377" s="5" t="s">
        <v>594</v>
      </c>
    </row>
    <row r="378" spans="5:8" x14ac:dyDescent="0.3">
      <c r="E378" s="5" t="s">
        <v>556</v>
      </c>
      <c r="F378" s="5" t="s">
        <v>43</v>
      </c>
      <c r="G378" s="5" t="s">
        <v>262</v>
      </c>
      <c r="H378" s="5" t="s">
        <v>595</v>
      </c>
    </row>
    <row r="379" spans="5:8" x14ac:dyDescent="0.3">
      <c r="E379" s="5" t="s">
        <v>556</v>
      </c>
      <c r="F379" s="5" t="s">
        <v>43</v>
      </c>
      <c r="G379" s="5" t="s">
        <v>264</v>
      </c>
      <c r="H379" s="5" t="s">
        <v>406</v>
      </c>
    </row>
    <row r="380" spans="5:8" x14ac:dyDescent="0.3">
      <c r="E380" s="5" t="s">
        <v>556</v>
      </c>
      <c r="F380" s="5" t="s">
        <v>43</v>
      </c>
      <c r="G380" s="5" t="s">
        <v>266</v>
      </c>
      <c r="H380" s="5" t="s">
        <v>596</v>
      </c>
    </row>
    <row r="381" spans="5:8" x14ac:dyDescent="0.3">
      <c r="E381" s="5" t="s">
        <v>556</v>
      </c>
      <c r="F381" s="5" t="s">
        <v>43</v>
      </c>
      <c r="G381" s="5" t="s">
        <v>272</v>
      </c>
      <c r="H381" s="5" t="s">
        <v>599</v>
      </c>
    </row>
    <row r="382" spans="5:8" x14ac:dyDescent="0.3">
      <c r="E382" s="5" t="s">
        <v>556</v>
      </c>
      <c r="F382" s="5" t="s">
        <v>43</v>
      </c>
      <c r="G382" s="5" t="s">
        <v>274</v>
      </c>
      <c r="H382" s="5" t="s">
        <v>600</v>
      </c>
    </row>
    <row r="383" spans="5:8" x14ac:dyDescent="0.3">
      <c r="E383" s="5" t="s">
        <v>556</v>
      </c>
      <c r="F383" s="5" t="s">
        <v>43</v>
      </c>
      <c r="G383" s="5" t="s">
        <v>276</v>
      </c>
      <c r="H383" s="5" t="s">
        <v>601</v>
      </c>
    </row>
    <row r="384" spans="5:8" x14ac:dyDescent="0.3">
      <c r="E384" s="5" t="s">
        <v>556</v>
      </c>
      <c r="F384" s="5" t="s">
        <v>43</v>
      </c>
      <c r="G384" s="5" t="s">
        <v>268</v>
      </c>
      <c r="H384" s="5" t="s">
        <v>597</v>
      </c>
    </row>
    <row r="385" spans="5:8" x14ac:dyDescent="0.3">
      <c r="E385" s="5" t="s">
        <v>556</v>
      </c>
      <c r="F385" s="5" t="s">
        <v>43</v>
      </c>
      <c r="G385" s="5" t="s">
        <v>270</v>
      </c>
      <c r="H385" s="5" t="s">
        <v>598</v>
      </c>
    </row>
    <row r="386" spans="5:8" x14ac:dyDescent="0.3">
      <c r="E386" s="5" t="s">
        <v>556</v>
      </c>
      <c r="F386" s="5" t="s">
        <v>43</v>
      </c>
      <c r="G386" s="5" t="s">
        <v>278</v>
      </c>
      <c r="H386" s="5" t="s">
        <v>279</v>
      </c>
    </row>
    <row r="387" spans="5:8" x14ac:dyDescent="0.3">
      <c r="E387" s="5" t="s">
        <v>556</v>
      </c>
      <c r="F387" s="5" t="s">
        <v>43</v>
      </c>
      <c r="G387" s="5" t="s">
        <v>280</v>
      </c>
      <c r="H387" s="5" t="s">
        <v>602</v>
      </c>
    </row>
    <row r="388" spans="5:8" x14ac:dyDescent="0.3">
      <c r="E388" s="5" t="s">
        <v>556</v>
      </c>
      <c r="F388" s="5" t="s">
        <v>43</v>
      </c>
      <c r="G388" s="5" t="s">
        <v>282</v>
      </c>
      <c r="H388" s="5" t="s">
        <v>603</v>
      </c>
    </row>
    <row r="389" spans="5:8" x14ac:dyDescent="0.3">
      <c r="E389" s="5" t="s">
        <v>556</v>
      </c>
      <c r="F389" s="5" t="s">
        <v>43</v>
      </c>
      <c r="G389" s="5" t="s">
        <v>284</v>
      </c>
      <c r="H389" s="5" t="s">
        <v>421</v>
      </c>
    </row>
    <row r="390" spans="5:8" x14ac:dyDescent="0.3">
      <c r="E390" s="5" t="s">
        <v>556</v>
      </c>
      <c r="F390" s="5" t="s">
        <v>43</v>
      </c>
      <c r="G390" s="5" t="s">
        <v>286</v>
      </c>
      <c r="H390" s="5" t="s">
        <v>604</v>
      </c>
    </row>
    <row r="391" spans="5:8" x14ac:dyDescent="0.3">
      <c r="E391" s="5" t="s">
        <v>556</v>
      </c>
      <c r="F391" s="5" t="s">
        <v>43</v>
      </c>
      <c r="G391" s="5" t="s">
        <v>288</v>
      </c>
      <c r="H391" s="5" t="s">
        <v>605</v>
      </c>
    </row>
    <row r="392" spans="5:8" x14ac:dyDescent="0.3">
      <c r="E392" s="5" t="s">
        <v>556</v>
      </c>
      <c r="F392" s="5" t="s">
        <v>43</v>
      </c>
      <c r="G392" s="5" t="s">
        <v>290</v>
      </c>
      <c r="H392" s="5" t="s">
        <v>606</v>
      </c>
    </row>
    <row r="393" spans="5:8" x14ac:dyDescent="0.3">
      <c r="E393" s="5" t="s">
        <v>556</v>
      </c>
      <c r="F393" s="5" t="s">
        <v>43</v>
      </c>
      <c r="G393" s="5" t="s">
        <v>292</v>
      </c>
      <c r="H393" s="5" t="s">
        <v>289</v>
      </c>
    </row>
    <row r="394" spans="5:8" x14ac:dyDescent="0.3">
      <c r="E394" s="5" t="s">
        <v>137</v>
      </c>
      <c r="F394" s="5" t="s">
        <v>138</v>
      </c>
      <c r="G394" s="5" t="s">
        <v>2614</v>
      </c>
      <c r="H394" s="5" t="s">
        <v>2615</v>
      </c>
    </row>
    <row r="395" spans="5:8" x14ac:dyDescent="0.3">
      <c r="E395" s="5" t="s">
        <v>607</v>
      </c>
      <c r="F395" s="5" t="s">
        <v>45</v>
      </c>
      <c r="G395" s="5" t="s">
        <v>160</v>
      </c>
      <c r="H395" s="5" t="s">
        <v>608</v>
      </c>
    </row>
    <row r="396" spans="5:8" x14ac:dyDescent="0.3">
      <c r="E396" s="5" t="s">
        <v>607</v>
      </c>
      <c r="F396" s="5" t="s">
        <v>45</v>
      </c>
      <c r="G396" s="5" t="s">
        <v>162</v>
      </c>
      <c r="H396" s="5" t="s">
        <v>609</v>
      </c>
    </row>
    <row r="397" spans="5:8" x14ac:dyDescent="0.3">
      <c r="E397" s="5" t="s">
        <v>607</v>
      </c>
      <c r="F397" s="5" t="s">
        <v>45</v>
      </c>
      <c r="G397" s="5" t="s">
        <v>164</v>
      </c>
      <c r="H397" s="5" t="s">
        <v>610</v>
      </c>
    </row>
    <row r="398" spans="5:8" x14ac:dyDescent="0.3">
      <c r="E398" s="5" t="s">
        <v>607</v>
      </c>
      <c r="F398" s="5" t="s">
        <v>45</v>
      </c>
      <c r="G398" s="5" t="s">
        <v>166</v>
      </c>
      <c r="H398" s="5" t="s">
        <v>558</v>
      </c>
    </row>
    <row r="399" spans="5:8" x14ac:dyDescent="0.3">
      <c r="E399" s="5" t="s">
        <v>607</v>
      </c>
      <c r="F399" s="5" t="s">
        <v>45</v>
      </c>
      <c r="G399" s="5" t="s">
        <v>168</v>
      </c>
      <c r="H399" s="5" t="s">
        <v>163</v>
      </c>
    </row>
    <row r="400" spans="5:8" x14ac:dyDescent="0.3">
      <c r="E400" s="5" t="s">
        <v>607</v>
      </c>
      <c r="F400" s="5" t="s">
        <v>45</v>
      </c>
      <c r="G400" s="5" t="s">
        <v>170</v>
      </c>
      <c r="H400" s="5" t="s">
        <v>611</v>
      </c>
    </row>
    <row r="401" spans="5:8" x14ac:dyDescent="0.3">
      <c r="E401" s="5" t="s">
        <v>607</v>
      </c>
      <c r="F401" s="5" t="s">
        <v>45</v>
      </c>
      <c r="G401" s="5" t="s">
        <v>172</v>
      </c>
      <c r="H401" s="5" t="s">
        <v>612</v>
      </c>
    </row>
    <row r="402" spans="5:8" x14ac:dyDescent="0.3">
      <c r="E402" s="5" t="s">
        <v>607</v>
      </c>
      <c r="F402" s="5" t="s">
        <v>45</v>
      </c>
      <c r="G402" s="5" t="s">
        <v>174</v>
      </c>
      <c r="H402" s="5" t="s">
        <v>613</v>
      </c>
    </row>
    <row r="403" spans="5:8" x14ac:dyDescent="0.3">
      <c r="E403" s="5" t="s">
        <v>607</v>
      </c>
      <c r="F403" s="5" t="s">
        <v>45</v>
      </c>
      <c r="G403" s="5" t="s">
        <v>176</v>
      </c>
      <c r="H403" s="5" t="s">
        <v>614</v>
      </c>
    </row>
    <row r="404" spans="5:8" x14ac:dyDescent="0.3">
      <c r="E404" s="5" t="s">
        <v>607</v>
      </c>
      <c r="F404" s="5" t="s">
        <v>45</v>
      </c>
      <c r="G404" s="5" t="s">
        <v>178</v>
      </c>
      <c r="H404" s="5" t="s">
        <v>615</v>
      </c>
    </row>
    <row r="405" spans="5:8" x14ac:dyDescent="0.3">
      <c r="E405" s="5" t="s">
        <v>607</v>
      </c>
      <c r="F405" s="5" t="s">
        <v>45</v>
      </c>
      <c r="G405" s="5" t="s">
        <v>180</v>
      </c>
      <c r="H405" s="5" t="s">
        <v>167</v>
      </c>
    </row>
    <row r="406" spans="5:8" x14ac:dyDescent="0.3">
      <c r="E406" s="5" t="s">
        <v>607</v>
      </c>
      <c r="F406" s="5" t="s">
        <v>45</v>
      </c>
      <c r="G406" s="5" t="s">
        <v>182</v>
      </c>
      <c r="H406" s="5" t="s">
        <v>616</v>
      </c>
    </row>
    <row r="407" spans="5:8" x14ac:dyDescent="0.3">
      <c r="E407" s="5" t="s">
        <v>607</v>
      </c>
      <c r="F407" s="5" t="s">
        <v>45</v>
      </c>
      <c r="G407" s="5" t="s">
        <v>184</v>
      </c>
      <c r="H407" s="5" t="s">
        <v>617</v>
      </c>
    </row>
    <row r="408" spans="5:8" x14ac:dyDescent="0.3">
      <c r="E408" s="5" t="s">
        <v>607</v>
      </c>
      <c r="F408" s="5" t="s">
        <v>45</v>
      </c>
      <c r="G408" s="5" t="s">
        <v>186</v>
      </c>
      <c r="H408" s="5" t="s">
        <v>618</v>
      </c>
    </row>
    <row r="409" spans="5:8" x14ac:dyDescent="0.3">
      <c r="E409" s="5" t="s">
        <v>607</v>
      </c>
      <c r="F409" s="5" t="s">
        <v>45</v>
      </c>
      <c r="G409" s="5" t="s">
        <v>188</v>
      </c>
      <c r="H409" s="5" t="s">
        <v>619</v>
      </c>
    </row>
    <row r="410" spans="5:8" x14ac:dyDescent="0.3">
      <c r="E410" s="5" t="s">
        <v>607</v>
      </c>
      <c r="F410" s="5" t="s">
        <v>45</v>
      </c>
      <c r="G410" s="5" t="s">
        <v>190</v>
      </c>
      <c r="H410" s="5" t="s">
        <v>620</v>
      </c>
    </row>
    <row r="411" spans="5:8" x14ac:dyDescent="0.3">
      <c r="E411" s="5" t="s">
        <v>607</v>
      </c>
      <c r="F411" s="5" t="s">
        <v>45</v>
      </c>
      <c r="G411" s="5" t="s">
        <v>192</v>
      </c>
      <c r="H411" s="5" t="s">
        <v>621</v>
      </c>
    </row>
    <row r="412" spans="5:8" x14ac:dyDescent="0.3">
      <c r="E412" s="5" t="s">
        <v>607</v>
      </c>
      <c r="F412" s="5" t="s">
        <v>45</v>
      </c>
      <c r="G412" s="5" t="s">
        <v>194</v>
      </c>
      <c r="H412" s="5" t="s">
        <v>622</v>
      </c>
    </row>
    <row r="413" spans="5:8" x14ac:dyDescent="0.3">
      <c r="E413" s="5" t="s">
        <v>607</v>
      </c>
      <c r="F413" s="5" t="s">
        <v>45</v>
      </c>
      <c r="G413" s="5" t="s">
        <v>196</v>
      </c>
      <c r="H413" s="5" t="s">
        <v>175</v>
      </c>
    </row>
    <row r="414" spans="5:8" x14ac:dyDescent="0.3">
      <c r="E414" s="5" t="s">
        <v>607</v>
      </c>
      <c r="F414" s="5" t="s">
        <v>45</v>
      </c>
      <c r="G414" s="5" t="s">
        <v>198</v>
      </c>
      <c r="H414" s="5" t="s">
        <v>623</v>
      </c>
    </row>
    <row r="415" spans="5:8" x14ac:dyDescent="0.3">
      <c r="E415" s="5" t="s">
        <v>607</v>
      </c>
      <c r="F415" s="5" t="s">
        <v>45</v>
      </c>
      <c r="G415" s="5" t="s">
        <v>202</v>
      </c>
      <c r="H415" s="5" t="s">
        <v>624</v>
      </c>
    </row>
    <row r="416" spans="5:8" x14ac:dyDescent="0.3">
      <c r="E416" s="5" t="s">
        <v>607</v>
      </c>
      <c r="F416" s="5" t="s">
        <v>45</v>
      </c>
      <c r="G416" s="5" t="s">
        <v>204</v>
      </c>
      <c r="H416" s="5" t="s">
        <v>372</v>
      </c>
    </row>
    <row r="417" spans="5:8" x14ac:dyDescent="0.3">
      <c r="E417" s="5" t="s">
        <v>607</v>
      </c>
      <c r="F417" s="5" t="s">
        <v>45</v>
      </c>
      <c r="G417" s="5" t="s">
        <v>206</v>
      </c>
      <c r="H417" s="5" t="s">
        <v>625</v>
      </c>
    </row>
    <row r="418" spans="5:8" x14ac:dyDescent="0.3">
      <c r="E418" s="5" t="s">
        <v>607</v>
      </c>
      <c r="F418" s="5" t="s">
        <v>45</v>
      </c>
      <c r="G418" s="5" t="s">
        <v>208</v>
      </c>
      <c r="H418" s="5" t="s">
        <v>626</v>
      </c>
    </row>
    <row r="419" spans="5:8" x14ac:dyDescent="0.3">
      <c r="E419" s="5" t="s">
        <v>607</v>
      </c>
      <c r="F419" s="5" t="s">
        <v>45</v>
      </c>
      <c r="G419" s="5" t="s">
        <v>210</v>
      </c>
      <c r="H419" s="5" t="s">
        <v>627</v>
      </c>
    </row>
    <row r="420" spans="5:8" x14ac:dyDescent="0.3">
      <c r="E420" s="5" t="s">
        <v>607</v>
      </c>
      <c r="F420" s="5" t="s">
        <v>45</v>
      </c>
      <c r="G420" s="5" t="s">
        <v>212</v>
      </c>
      <c r="H420" s="5" t="s">
        <v>628</v>
      </c>
    </row>
    <row r="421" spans="5:8" x14ac:dyDescent="0.3">
      <c r="E421" s="5" t="s">
        <v>607</v>
      </c>
      <c r="F421" s="5" t="s">
        <v>45</v>
      </c>
      <c r="G421" s="5" t="s">
        <v>214</v>
      </c>
      <c r="H421" s="5" t="s">
        <v>629</v>
      </c>
    </row>
    <row r="422" spans="5:8" x14ac:dyDescent="0.3">
      <c r="E422" s="5" t="s">
        <v>607</v>
      </c>
      <c r="F422" s="5" t="s">
        <v>45</v>
      </c>
      <c r="G422" s="5" t="s">
        <v>216</v>
      </c>
      <c r="H422" s="5" t="s">
        <v>179</v>
      </c>
    </row>
    <row r="423" spans="5:8" x14ac:dyDescent="0.3">
      <c r="E423" s="5" t="s">
        <v>607</v>
      </c>
      <c r="F423" s="5" t="s">
        <v>45</v>
      </c>
      <c r="G423" s="5" t="s">
        <v>218</v>
      </c>
      <c r="H423" s="5" t="s">
        <v>185</v>
      </c>
    </row>
    <row r="424" spans="5:8" x14ac:dyDescent="0.3">
      <c r="E424" s="5" t="s">
        <v>607</v>
      </c>
      <c r="F424" s="5" t="s">
        <v>45</v>
      </c>
      <c r="G424" s="5" t="s">
        <v>220</v>
      </c>
      <c r="H424" s="5" t="s">
        <v>187</v>
      </c>
    </row>
    <row r="425" spans="5:8" x14ac:dyDescent="0.3">
      <c r="E425" s="5" t="s">
        <v>607</v>
      </c>
      <c r="F425" s="5" t="s">
        <v>45</v>
      </c>
      <c r="G425" s="5" t="s">
        <v>222</v>
      </c>
      <c r="H425" s="5" t="s">
        <v>630</v>
      </c>
    </row>
    <row r="426" spans="5:8" x14ac:dyDescent="0.3">
      <c r="E426" s="5" t="s">
        <v>607</v>
      </c>
      <c r="F426" s="5" t="s">
        <v>45</v>
      </c>
      <c r="G426" s="5" t="s">
        <v>224</v>
      </c>
      <c r="H426" s="5" t="s">
        <v>631</v>
      </c>
    </row>
    <row r="427" spans="5:8" x14ac:dyDescent="0.3">
      <c r="E427" s="5" t="s">
        <v>607</v>
      </c>
      <c r="F427" s="5" t="s">
        <v>45</v>
      </c>
      <c r="G427" s="5" t="s">
        <v>226</v>
      </c>
      <c r="H427" s="5" t="s">
        <v>632</v>
      </c>
    </row>
    <row r="428" spans="5:8" x14ac:dyDescent="0.3">
      <c r="E428" s="5" t="s">
        <v>607</v>
      </c>
      <c r="F428" s="5" t="s">
        <v>45</v>
      </c>
      <c r="G428" s="5" t="s">
        <v>228</v>
      </c>
      <c r="H428" s="5" t="s">
        <v>191</v>
      </c>
    </row>
    <row r="429" spans="5:8" x14ac:dyDescent="0.3">
      <c r="E429" s="5" t="s">
        <v>607</v>
      </c>
      <c r="F429" s="5" t="s">
        <v>45</v>
      </c>
      <c r="G429" s="5" t="s">
        <v>230</v>
      </c>
      <c r="H429" s="5" t="s">
        <v>633</v>
      </c>
    </row>
    <row r="430" spans="5:8" x14ac:dyDescent="0.3">
      <c r="E430" s="5" t="s">
        <v>607</v>
      </c>
      <c r="F430" s="5" t="s">
        <v>45</v>
      </c>
      <c r="G430" s="5" t="s">
        <v>232</v>
      </c>
      <c r="H430" s="5" t="s">
        <v>376</v>
      </c>
    </row>
    <row r="431" spans="5:8" x14ac:dyDescent="0.3">
      <c r="E431" s="5" t="s">
        <v>607</v>
      </c>
      <c r="F431" s="5" t="s">
        <v>45</v>
      </c>
      <c r="G431" s="5" t="s">
        <v>234</v>
      </c>
      <c r="H431" s="5" t="s">
        <v>634</v>
      </c>
    </row>
    <row r="432" spans="5:8" x14ac:dyDescent="0.3">
      <c r="E432" s="5" t="s">
        <v>607</v>
      </c>
      <c r="F432" s="5" t="s">
        <v>45</v>
      </c>
      <c r="G432" s="5" t="s">
        <v>236</v>
      </c>
      <c r="H432" s="5" t="s">
        <v>635</v>
      </c>
    </row>
    <row r="433" spans="5:8" x14ac:dyDescent="0.3">
      <c r="E433" s="5" t="s">
        <v>607</v>
      </c>
      <c r="F433" s="5" t="s">
        <v>45</v>
      </c>
      <c r="G433" s="5" t="s">
        <v>238</v>
      </c>
      <c r="H433" s="5" t="s">
        <v>379</v>
      </c>
    </row>
    <row r="434" spans="5:8" x14ac:dyDescent="0.3">
      <c r="E434" s="5" t="s">
        <v>607</v>
      </c>
      <c r="F434" s="5" t="s">
        <v>45</v>
      </c>
      <c r="G434" s="5" t="s">
        <v>240</v>
      </c>
      <c r="H434" s="5" t="s">
        <v>636</v>
      </c>
    </row>
    <row r="435" spans="5:8" x14ac:dyDescent="0.3">
      <c r="E435" s="5" t="s">
        <v>607</v>
      </c>
      <c r="F435" s="5" t="s">
        <v>45</v>
      </c>
      <c r="G435" s="5" t="s">
        <v>242</v>
      </c>
      <c r="H435" s="5" t="s">
        <v>637</v>
      </c>
    </row>
    <row r="436" spans="5:8" x14ac:dyDescent="0.3">
      <c r="E436" s="5" t="s">
        <v>607</v>
      </c>
      <c r="F436" s="5" t="s">
        <v>45</v>
      </c>
      <c r="G436" s="5" t="s">
        <v>244</v>
      </c>
      <c r="H436" s="5" t="s">
        <v>638</v>
      </c>
    </row>
    <row r="437" spans="5:8" x14ac:dyDescent="0.3">
      <c r="E437" s="5" t="s">
        <v>607</v>
      </c>
      <c r="F437" s="5" t="s">
        <v>45</v>
      </c>
      <c r="G437" s="5" t="s">
        <v>246</v>
      </c>
      <c r="H437" s="5" t="s">
        <v>639</v>
      </c>
    </row>
    <row r="438" spans="5:8" x14ac:dyDescent="0.3">
      <c r="E438" s="5" t="s">
        <v>607</v>
      </c>
      <c r="F438" s="5" t="s">
        <v>45</v>
      </c>
      <c r="G438" s="5" t="s">
        <v>248</v>
      </c>
      <c r="H438" s="5" t="s">
        <v>209</v>
      </c>
    </row>
    <row r="439" spans="5:8" x14ac:dyDescent="0.3">
      <c r="E439" s="5" t="s">
        <v>607</v>
      </c>
      <c r="F439" s="5" t="s">
        <v>45</v>
      </c>
      <c r="G439" s="5" t="s">
        <v>250</v>
      </c>
      <c r="H439" s="5" t="s">
        <v>640</v>
      </c>
    </row>
    <row r="440" spans="5:8" x14ac:dyDescent="0.3">
      <c r="E440" s="5" t="s">
        <v>607</v>
      </c>
      <c r="F440" s="5" t="s">
        <v>45</v>
      </c>
      <c r="G440" s="5" t="s">
        <v>252</v>
      </c>
      <c r="H440" s="5" t="s">
        <v>641</v>
      </c>
    </row>
    <row r="441" spans="5:8" x14ac:dyDescent="0.3">
      <c r="E441" s="5" t="s">
        <v>607</v>
      </c>
      <c r="F441" s="5" t="s">
        <v>45</v>
      </c>
      <c r="G441" s="5" t="s">
        <v>254</v>
      </c>
      <c r="H441" s="5" t="s">
        <v>642</v>
      </c>
    </row>
    <row r="442" spans="5:8" x14ac:dyDescent="0.3">
      <c r="E442" s="5" t="s">
        <v>607</v>
      </c>
      <c r="F442" s="5" t="s">
        <v>45</v>
      </c>
      <c r="G442" s="5" t="s">
        <v>256</v>
      </c>
      <c r="H442" s="5" t="s">
        <v>506</v>
      </c>
    </row>
    <row r="443" spans="5:8" x14ac:dyDescent="0.3">
      <c r="E443" s="5" t="s">
        <v>607</v>
      </c>
      <c r="F443" s="5" t="s">
        <v>45</v>
      </c>
      <c r="G443" s="5" t="s">
        <v>258</v>
      </c>
      <c r="H443" s="5" t="s">
        <v>643</v>
      </c>
    </row>
    <row r="444" spans="5:8" x14ac:dyDescent="0.3">
      <c r="E444" s="5" t="s">
        <v>607</v>
      </c>
      <c r="F444" s="5" t="s">
        <v>45</v>
      </c>
      <c r="G444" s="5" t="s">
        <v>260</v>
      </c>
      <c r="H444" s="5" t="s">
        <v>644</v>
      </c>
    </row>
    <row r="445" spans="5:8" x14ac:dyDescent="0.3">
      <c r="E445" s="5" t="s">
        <v>607</v>
      </c>
      <c r="F445" s="5" t="s">
        <v>45</v>
      </c>
      <c r="G445" s="5" t="s">
        <v>262</v>
      </c>
      <c r="H445" s="5" t="s">
        <v>645</v>
      </c>
    </row>
    <row r="446" spans="5:8" x14ac:dyDescent="0.3">
      <c r="E446" s="5" t="s">
        <v>607</v>
      </c>
      <c r="F446" s="5" t="s">
        <v>45</v>
      </c>
      <c r="G446" s="5" t="s">
        <v>264</v>
      </c>
      <c r="H446" s="5" t="s">
        <v>508</v>
      </c>
    </row>
    <row r="447" spans="5:8" x14ac:dyDescent="0.3">
      <c r="E447" s="5" t="s">
        <v>607</v>
      </c>
      <c r="F447" s="5" t="s">
        <v>45</v>
      </c>
      <c r="G447" s="5" t="s">
        <v>266</v>
      </c>
      <c r="H447" s="5" t="s">
        <v>646</v>
      </c>
    </row>
    <row r="448" spans="5:8" x14ac:dyDescent="0.3">
      <c r="E448" s="5" t="s">
        <v>607</v>
      </c>
      <c r="F448" s="5" t="s">
        <v>45</v>
      </c>
      <c r="G448" s="5" t="s">
        <v>268</v>
      </c>
      <c r="H448" s="5" t="s">
        <v>647</v>
      </c>
    </row>
    <row r="449" spans="5:8" x14ac:dyDescent="0.3">
      <c r="E449" s="5" t="s">
        <v>607</v>
      </c>
      <c r="F449" s="5" t="s">
        <v>45</v>
      </c>
      <c r="G449" s="5" t="s">
        <v>270</v>
      </c>
      <c r="H449" s="5" t="s">
        <v>648</v>
      </c>
    </row>
    <row r="450" spans="5:8" x14ac:dyDescent="0.3">
      <c r="E450" s="5" t="s">
        <v>607</v>
      </c>
      <c r="F450" s="5" t="s">
        <v>45</v>
      </c>
      <c r="G450" s="5" t="s">
        <v>272</v>
      </c>
      <c r="H450" s="5" t="s">
        <v>217</v>
      </c>
    </row>
    <row r="451" spans="5:8" x14ac:dyDescent="0.3">
      <c r="E451" s="5" t="s">
        <v>607</v>
      </c>
      <c r="F451" s="5" t="s">
        <v>45</v>
      </c>
      <c r="G451" s="5" t="s">
        <v>274</v>
      </c>
      <c r="H451" s="5" t="s">
        <v>649</v>
      </c>
    </row>
    <row r="452" spans="5:8" x14ac:dyDescent="0.3">
      <c r="E452" s="5" t="s">
        <v>607</v>
      </c>
      <c r="F452" s="5" t="s">
        <v>45</v>
      </c>
      <c r="G452" s="5" t="s">
        <v>276</v>
      </c>
      <c r="H452" s="5" t="s">
        <v>650</v>
      </c>
    </row>
    <row r="453" spans="5:8" x14ac:dyDescent="0.3">
      <c r="E453" s="5" t="s">
        <v>607</v>
      </c>
      <c r="F453" s="5" t="s">
        <v>45</v>
      </c>
      <c r="G453" s="5" t="s">
        <v>278</v>
      </c>
      <c r="H453" s="5" t="s">
        <v>219</v>
      </c>
    </row>
    <row r="454" spans="5:8" x14ac:dyDescent="0.3">
      <c r="E454" s="5" t="s">
        <v>607</v>
      </c>
      <c r="F454" s="5" t="s">
        <v>45</v>
      </c>
      <c r="G454" s="5" t="s">
        <v>280</v>
      </c>
      <c r="H454" s="5" t="s">
        <v>385</v>
      </c>
    </row>
    <row r="455" spans="5:8" x14ac:dyDescent="0.3">
      <c r="E455" s="5" t="s">
        <v>607</v>
      </c>
      <c r="F455" s="5" t="s">
        <v>45</v>
      </c>
      <c r="G455" s="5" t="s">
        <v>282</v>
      </c>
      <c r="H455" s="5" t="s">
        <v>651</v>
      </c>
    </row>
    <row r="456" spans="5:8" x14ac:dyDescent="0.3">
      <c r="E456" s="5" t="s">
        <v>607</v>
      </c>
      <c r="F456" s="5" t="s">
        <v>45</v>
      </c>
      <c r="G456" s="5" t="s">
        <v>284</v>
      </c>
      <c r="H456" s="5" t="s">
        <v>652</v>
      </c>
    </row>
    <row r="457" spans="5:8" x14ac:dyDescent="0.3">
      <c r="E457" s="5" t="s">
        <v>607</v>
      </c>
      <c r="F457" s="5" t="s">
        <v>45</v>
      </c>
      <c r="G457" s="5" t="s">
        <v>286</v>
      </c>
      <c r="H457" s="5" t="s">
        <v>653</v>
      </c>
    </row>
    <row r="458" spans="5:8" x14ac:dyDescent="0.3">
      <c r="E458" s="5" t="s">
        <v>607</v>
      </c>
      <c r="F458" s="5" t="s">
        <v>45</v>
      </c>
      <c r="G458" s="5" t="s">
        <v>288</v>
      </c>
      <c r="H458" s="5" t="s">
        <v>654</v>
      </c>
    </row>
    <row r="459" spans="5:8" x14ac:dyDescent="0.3">
      <c r="E459" s="5" t="s">
        <v>607</v>
      </c>
      <c r="F459" s="5" t="s">
        <v>45</v>
      </c>
      <c r="G459" s="5" t="s">
        <v>290</v>
      </c>
      <c r="H459" s="5" t="s">
        <v>655</v>
      </c>
    </row>
    <row r="460" spans="5:8" x14ac:dyDescent="0.3">
      <c r="E460" s="5" t="s">
        <v>607</v>
      </c>
      <c r="F460" s="5" t="s">
        <v>45</v>
      </c>
      <c r="G460" s="5" t="s">
        <v>292</v>
      </c>
      <c r="H460" s="5" t="s">
        <v>223</v>
      </c>
    </row>
    <row r="461" spans="5:8" x14ac:dyDescent="0.3">
      <c r="E461" s="5" t="s">
        <v>607</v>
      </c>
      <c r="F461" s="5" t="s">
        <v>45</v>
      </c>
      <c r="G461" s="5" t="s">
        <v>416</v>
      </c>
      <c r="H461" s="5" t="s">
        <v>656</v>
      </c>
    </row>
    <row r="462" spans="5:8" x14ac:dyDescent="0.3">
      <c r="E462" s="5" t="s">
        <v>607</v>
      </c>
      <c r="F462" s="5" t="s">
        <v>45</v>
      </c>
      <c r="G462" s="5" t="s">
        <v>418</v>
      </c>
      <c r="H462" s="5" t="s">
        <v>657</v>
      </c>
    </row>
    <row r="463" spans="5:8" x14ac:dyDescent="0.3">
      <c r="E463" s="5" t="s">
        <v>607</v>
      </c>
      <c r="F463" s="5" t="s">
        <v>45</v>
      </c>
      <c r="G463" s="5" t="s">
        <v>420</v>
      </c>
      <c r="H463" s="5" t="s">
        <v>658</v>
      </c>
    </row>
    <row r="464" spans="5:8" x14ac:dyDescent="0.3">
      <c r="E464" s="5" t="s">
        <v>607</v>
      </c>
      <c r="F464" s="5" t="s">
        <v>45</v>
      </c>
      <c r="G464" s="5" t="s">
        <v>422</v>
      </c>
      <c r="H464" s="5" t="s">
        <v>659</v>
      </c>
    </row>
    <row r="465" spans="5:8" x14ac:dyDescent="0.3">
      <c r="E465" s="5" t="s">
        <v>607</v>
      </c>
      <c r="F465" s="5" t="s">
        <v>45</v>
      </c>
      <c r="G465" s="5" t="s">
        <v>424</v>
      </c>
      <c r="H465" s="5" t="s">
        <v>660</v>
      </c>
    </row>
    <row r="466" spans="5:8" x14ac:dyDescent="0.3">
      <c r="E466" s="5" t="s">
        <v>607</v>
      </c>
      <c r="F466" s="5" t="s">
        <v>45</v>
      </c>
      <c r="G466" s="5" t="s">
        <v>425</v>
      </c>
      <c r="H466" s="5" t="s">
        <v>661</v>
      </c>
    </row>
    <row r="467" spans="5:8" x14ac:dyDescent="0.3">
      <c r="E467" s="5" t="s">
        <v>607</v>
      </c>
      <c r="F467" s="5" t="s">
        <v>45</v>
      </c>
      <c r="G467" s="5" t="s">
        <v>427</v>
      </c>
      <c r="H467" s="5" t="s">
        <v>662</v>
      </c>
    </row>
    <row r="468" spans="5:8" x14ac:dyDescent="0.3">
      <c r="E468" s="5" t="s">
        <v>607</v>
      </c>
      <c r="F468" s="5" t="s">
        <v>45</v>
      </c>
      <c r="G468" s="5" t="s">
        <v>429</v>
      </c>
      <c r="H468" s="5" t="s">
        <v>663</v>
      </c>
    </row>
    <row r="469" spans="5:8" x14ac:dyDescent="0.3">
      <c r="E469" s="5" t="s">
        <v>607</v>
      </c>
      <c r="F469" s="5" t="s">
        <v>45</v>
      </c>
      <c r="G469" s="5" t="s">
        <v>664</v>
      </c>
      <c r="H469" s="5" t="s">
        <v>227</v>
      </c>
    </row>
    <row r="470" spans="5:8" x14ac:dyDescent="0.3">
      <c r="E470" s="5" t="s">
        <v>607</v>
      </c>
      <c r="F470" s="5" t="s">
        <v>45</v>
      </c>
      <c r="G470" s="5" t="s">
        <v>665</v>
      </c>
      <c r="H470" s="5" t="s">
        <v>229</v>
      </c>
    </row>
    <row r="471" spans="5:8" x14ac:dyDescent="0.3">
      <c r="E471" s="5" t="s">
        <v>607</v>
      </c>
      <c r="F471" s="5" t="s">
        <v>45</v>
      </c>
      <c r="G471" s="5" t="s">
        <v>666</v>
      </c>
      <c r="H471" s="5" t="s">
        <v>667</v>
      </c>
    </row>
    <row r="472" spans="5:8" x14ac:dyDescent="0.3">
      <c r="E472" s="5" t="s">
        <v>607</v>
      </c>
      <c r="F472" s="5" t="s">
        <v>45</v>
      </c>
      <c r="G472" s="5" t="s">
        <v>668</v>
      </c>
      <c r="H472" s="5" t="s">
        <v>231</v>
      </c>
    </row>
    <row r="473" spans="5:8" x14ac:dyDescent="0.3">
      <c r="E473" s="5" t="s">
        <v>607</v>
      </c>
      <c r="F473" s="5" t="s">
        <v>45</v>
      </c>
      <c r="G473" s="5" t="s">
        <v>669</v>
      </c>
      <c r="H473" s="5" t="s">
        <v>670</v>
      </c>
    </row>
    <row r="474" spans="5:8" x14ac:dyDescent="0.3">
      <c r="E474" s="5" t="s">
        <v>607</v>
      </c>
      <c r="F474" s="5" t="s">
        <v>45</v>
      </c>
      <c r="G474" s="5" t="s">
        <v>671</v>
      </c>
      <c r="H474" s="5" t="s">
        <v>672</v>
      </c>
    </row>
    <row r="475" spans="5:8" x14ac:dyDescent="0.3">
      <c r="E475" s="5" t="s">
        <v>607</v>
      </c>
      <c r="F475" s="5" t="s">
        <v>45</v>
      </c>
      <c r="G475" s="5" t="s">
        <v>673</v>
      </c>
      <c r="H475" s="5" t="s">
        <v>233</v>
      </c>
    </row>
    <row r="476" spans="5:8" x14ac:dyDescent="0.3">
      <c r="E476" s="5" t="s">
        <v>607</v>
      </c>
      <c r="F476" s="5" t="s">
        <v>45</v>
      </c>
      <c r="G476" s="5" t="s">
        <v>674</v>
      </c>
      <c r="H476" s="5" t="s">
        <v>675</v>
      </c>
    </row>
    <row r="477" spans="5:8" x14ac:dyDescent="0.3">
      <c r="E477" s="5" t="s">
        <v>607</v>
      </c>
      <c r="F477" s="5" t="s">
        <v>45</v>
      </c>
      <c r="G477" s="5" t="s">
        <v>676</v>
      </c>
      <c r="H477" s="5" t="s">
        <v>393</v>
      </c>
    </row>
    <row r="478" spans="5:8" x14ac:dyDescent="0.3">
      <c r="E478" s="5" t="s">
        <v>607</v>
      </c>
      <c r="F478" s="5" t="s">
        <v>45</v>
      </c>
      <c r="G478" s="5" t="s">
        <v>677</v>
      </c>
      <c r="H478" s="5" t="s">
        <v>678</v>
      </c>
    </row>
    <row r="479" spans="5:8" x14ac:dyDescent="0.3">
      <c r="E479" s="5" t="s">
        <v>607</v>
      </c>
      <c r="F479" s="5" t="s">
        <v>45</v>
      </c>
      <c r="G479" s="5" t="s">
        <v>679</v>
      </c>
      <c r="H479" s="5" t="s">
        <v>235</v>
      </c>
    </row>
    <row r="480" spans="5:8" x14ac:dyDescent="0.3">
      <c r="E480" s="5" t="s">
        <v>607</v>
      </c>
      <c r="F480" s="5" t="s">
        <v>45</v>
      </c>
      <c r="G480" s="5" t="s">
        <v>680</v>
      </c>
      <c r="H480" s="5" t="s">
        <v>681</v>
      </c>
    </row>
    <row r="481" spans="5:8" x14ac:dyDescent="0.3">
      <c r="E481" s="5" t="s">
        <v>607</v>
      </c>
      <c r="F481" s="5" t="s">
        <v>45</v>
      </c>
      <c r="G481" s="5" t="s">
        <v>682</v>
      </c>
      <c r="H481" s="5" t="s">
        <v>683</v>
      </c>
    </row>
    <row r="482" spans="5:8" x14ac:dyDescent="0.3">
      <c r="E482" s="5" t="s">
        <v>607</v>
      </c>
      <c r="F482" s="5" t="s">
        <v>45</v>
      </c>
      <c r="G482" s="5" t="s">
        <v>684</v>
      </c>
      <c r="H482" s="5" t="s">
        <v>241</v>
      </c>
    </row>
    <row r="483" spans="5:8" x14ac:dyDescent="0.3">
      <c r="E483" s="5" t="s">
        <v>607</v>
      </c>
      <c r="F483" s="5" t="s">
        <v>45</v>
      </c>
      <c r="G483" s="5" t="s">
        <v>685</v>
      </c>
      <c r="H483" s="5" t="s">
        <v>584</v>
      </c>
    </row>
    <row r="484" spans="5:8" x14ac:dyDescent="0.3">
      <c r="E484" s="5" t="s">
        <v>607</v>
      </c>
      <c r="F484" s="5" t="s">
        <v>45</v>
      </c>
      <c r="G484" s="5" t="s">
        <v>686</v>
      </c>
      <c r="H484" s="5" t="s">
        <v>395</v>
      </c>
    </row>
    <row r="485" spans="5:8" x14ac:dyDescent="0.3">
      <c r="E485" s="5" t="s">
        <v>607</v>
      </c>
      <c r="F485" s="5" t="s">
        <v>45</v>
      </c>
      <c r="G485" s="5" t="s">
        <v>687</v>
      </c>
      <c r="H485" s="5" t="s">
        <v>688</v>
      </c>
    </row>
    <row r="486" spans="5:8" x14ac:dyDescent="0.3">
      <c r="E486" s="5" t="s">
        <v>607</v>
      </c>
      <c r="F486" s="5" t="s">
        <v>45</v>
      </c>
      <c r="G486" s="5" t="s">
        <v>326</v>
      </c>
      <c r="H486" s="5" t="s">
        <v>245</v>
      </c>
    </row>
    <row r="487" spans="5:8" x14ac:dyDescent="0.3">
      <c r="E487" s="5" t="s">
        <v>607</v>
      </c>
      <c r="F487" s="5" t="s">
        <v>45</v>
      </c>
      <c r="G487" s="5" t="s">
        <v>689</v>
      </c>
      <c r="H487" s="5" t="s">
        <v>690</v>
      </c>
    </row>
    <row r="488" spans="5:8" x14ac:dyDescent="0.3">
      <c r="E488" s="5" t="s">
        <v>607</v>
      </c>
      <c r="F488" s="5" t="s">
        <v>45</v>
      </c>
      <c r="G488" s="5" t="s">
        <v>695</v>
      </c>
      <c r="H488" s="5" t="s">
        <v>247</v>
      </c>
    </row>
    <row r="489" spans="5:8" x14ac:dyDescent="0.3">
      <c r="E489" s="5" t="s">
        <v>607</v>
      </c>
      <c r="F489" s="5" t="s">
        <v>45</v>
      </c>
      <c r="G489" s="5" t="s">
        <v>330</v>
      </c>
      <c r="H489" s="5" t="s">
        <v>249</v>
      </c>
    </row>
    <row r="490" spans="5:8" x14ac:dyDescent="0.3">
      <c r="E490" s="5" t="s">
        <v>607</v>
      </c>
      <c r="F490" s="5" t="s">
        <v>45</v>
      </c>
      <c r="G490" s="5" t="s">
        <v>696</v>
      </c>
      <c r="H490" s="5" t="s">
        <v>253</v>
      </c>
    </row>
    <row r="491" spans="5:8" x14ac:dyDescent="0.3">
      <c r="E491" s="5" t="s">
        <v>607</v>
      </c>
      <c r="F491" s="5" t="s">
        <v>45</v>
      </c>
      <c r="G491" s="5" t="s">
        <v>691</v>
      </c>
      <c r="H491" s="5" t="s">
        <v>692</v>
      </c>
    </row>
    <row r="492" spans="5:8" x14ac:dyDescent="0.3">
      <c r="E492" s="5" t="s">
        <v>607</v>
      </c>
      <c r="F492" s="5" t="s">
        <v>45</v>
      </c>
      <c r="G492" s="5" t="s">
        <v>693</v>
      </c>
      <c r="H492" s="5" t="s">
        <v>694</v>
      </c>
    </row>
    <row r="493" spans="5:8" x14ac:dyDescent="0.3">
      <c r="E493" s="5" t="s">
        <v>607</v>
      </c>
      <c r="F493" s="5" t="s">
        <v>45</v>
      </c>
      <c r="G493" s="5" t="s">
        <v>697</v>
      </c>
      <c r="H493" s="5" t="s">
        <v>698</v>
      </c>
    </row>
    <row r="494" spans="5:8" x14ac:dyDescent="0.3">
      <c r="E494" s="5" t="s">
        <v>607</v>
      </c>
      <c r="F494" s="5" t="s">
        <v>45</v>
      </c>
      <c r="G494" s="5" t="s">
        <v>699</v>
      </c>
      <c r="H494" s="5" t="s">
        <v>399</v>
      </c>
    </row>
    <row r="495" spans="5:8" x14ac:dyDescent="0.3">
      <c r="E495" s="5" t="s">
        <v>607</v>
      </c>
      <c r="F495" s="5" t="s">
        <v>45</v>
      </c>
      <c r="G495" s="5" t="s">
        <v>700</v>
      </c>
      <c r="H495" s="5" t="s">
        <v>701</v>
      </c>
    </row>
    <row r="496" spans="5:8" x14ac:dyDescent="0.3">
      <c r="E496" s="5" t="s">
        <v>607</v>
      </c>
      <c r="F496" s="5" t="s">
        <v>45</v>
      </c>
      <c r="G496" s="5" t="s">
        <v>702</v>
      </c>
      <c r="H496" s="5" t="s">
        <v>259</v>
      </c>
    </row>
    <row r="497" spans="5:8" x14ac:dyDescent="0.3">
      <c r="E497" s="5" t="s">
        <v>607</v>
      </c>
      <c r="F497" s="5" t="s">
        <v>45</v>
      </c>
      <c r="G497" s="5" t="s">
        <v>703</v>
      </c>
      <c r="H497" s="5" t="s">
        <v>261</v>
      </c>
    </row>
    <row r="498" spans="5:8" x14ac:dyDescent="0.3">
      <c r="E498" s="5" t="s">
        <v>607</v>
      </c>
      <c r="F498" s="5" t="s">
        <v>45</v>
      </c>
      <c r="G498" s="5" t="s">
        <v>704</v>
      </c>
      <c r="H498" s="5" t="s">
        <v>263</v>
      </c>
    </row>
    <row r="499" spans="5:8" x14ac:dyDescent="0.3">
      <c r="E499" s="5" t="s">
        <v>607</v>
      </c>
      <c r="F499" s="5" t="s">
        <v>45</v>
      </c>
      <c r="G499" s="5" t="s">
        <v>705</v>
      </c>
      <c r="H499" s="5" t="s">
        <v>706</v>
      </c>
    </row>
    <row r="500" spans="5:8" x14ac:dyDescent="0.3">
      <c r="E500" s="5" t="s">
        <v>607</v>
      </c>
      <c r="F500" s="5" t="s">
        <v>45</v>
      </c>
      <c r="G500" s="5" t="s">
        <v>707</v>
      </c>
      <c r="H500" s="5" t="s">
        <v>708</v>
      </c>
    </row>
    <row r="501" spans="5:8" x14ac:dyDescent="0.3">
      <c r="E501" s="5" t="s">
        <v>607</v>
      </c>
      <c r="F501" s="5" t="s">
        <v>45</v>
      </c>
      <c r="G501" s="5" t="s">
        <v>709</v>
      </c>
      <c r="H501" s="5" t="s">
        <v>402</v>
      </c>
    </row>
    <row r="502" spans="5:8" x14ac:dyDescent="0.3">
      <c r="E502" s="5" t="s">
        <v>607</v>
      </c>
      <c r="F502" s="5" t="s">
        <v>45</v>
      </c>
      <c r="G502" s="5" t="s">
        <v>710</v>
      </c>
      <c r="H502" s="5" t="s">
        <v>711</v>
      </c>
    </row>
    <row r="503" spans="5:8" x14ac:dyDescent="0.3">
      <c r="E503" s="5" t="s">
        <v>607</v>
      </c>
      <c r="F503" s="5" t="s">
        <v>45</v>
      </c>
      <c r="G503" s="5" t="s">
        <v>712</v>
      </c>
      <c r="H503" s="5" t="s">
        <v>713</v>
      </c>
    </row>
    <row r="504" spans="5:8" x14ac:dyDescent="0.3">
      <c r="E504" s="5" t="s">
        <v>607</v>
      </c>
      <c r="F504" s="5" t="s">
        <v>45</v>
      </c>
      <c r="G504" s="5" t="s">
        <v>714</v>
      </c>
      <c r="H504" s="5" t="s">
        <v>715</v>
      </c>
    </row>
    <row r="505" spans="5:8" x14ac:dyDescent="0.3">
      <c r="E505" s="5" t="s">
        <v>607</v>
      </c>
      <c r="F505" s="5" t="s">
        <v>45</v>
      </c>
      <c r="G505" s="5" t="s">
        <v>716</v>
      </c>
      <c r="H505" s="5" t="s">
        <v>717</v>
      </c>
    </row>
    <row r="506" spans="5:8" x14ac:dyDescent="0.3">
      <c r="E506" s="5" t="s">
        <v>607</v>
      </c>
      <c r="F506" s="5" t="s">
        <v>45</v>
      </c>
      <c r="G506" s="5" t="s">
        <v>718</v>
      </c>
      <c r="H506" s="5" t="s">
        <v>267</v>
      </c>
    </row>
    <row r="507" spans="5:8" x14ac:dyDescent="0.3">
      <c r="E507" s="5" t="s">
        <v>607</v>
      </c>
      <c r="F507" s="5" t="s">
        <v>45</v>
      </c>
      <c r="G507" s="5" t="s">
        <v>719</v>
      </c>
      <c r="H507" s="5" t="s">
        <v>720</v>
      </c>
    </row>
    <row r="508" spans="5:8" x14ac:dyDescent="0.3">
      <c r="E508" s="5" t="s">
        <v>607</v>
      </c>
      <c r="F508" s="5" t="s">
        <v>45</v>
      </c>
      <c r="G508" s="5" t="s">
        <v>721</v>
      </c>
      <c r="H508" s="5" t="s">
        <v>269</v>
      </c>
    </row>
    <row r="509" spans="5:8" x14ac:dyDescent="0.3">
      <c r="E509" s="5" t="s">
        <v>607</v>
      </c>
      <c r="F509" s="5" t="s">
        <v>45</v>
      </c>
      <c r="G509" s="5" t="s">
        <v>722</v>
      </c>
      <c r="H509" s="5" t="s">
        <v>406</v>
      </c>
    </row>
    <row r="510" spans="5:8" x14ac:dyDescent="0.3">
      <c r="E510" s="5" t="s">
        <v>607</v>
      </c>
      <c r="F510" s="5" t="s">
        <v>45</v>
      </c>
      <c r="G510" s="5" t="s">
        <v>723</v>
      </c>
      <c r="H510" s="5" t="s">
        <v>409</v>
      </c>
    </row>
    <row r="511" spans="5:8" x14ac:dyDescent="0.3">
      <c r="E511" s="5" t="s">
        <v>607</v>
      </c>
      <c r="F511" s="5" t="s">
        <v>45</v>
      </c>
      <c r="G511" s="5" t="s">
        <v>724</v>
      </c>
      <c r="H511" s="5" t="s">
        <v>596</v>
      </c>
    </row>
    <row r="512" spans="5:8" x14ac:dyDescent="0.3">
      <c r="E512" s="5" t="s">
        <v>607</v>
      </c>
      <c r="F512" s="5" t="s">
        <v>45</v>
      </c>
      <c r="G512" s="5" t="s">
        <v>725</v>
      </c>
      <c r="H512" s="5" t="s">
        <v>726</v>
      </c>
    </row>
    <row r="513" spans="5:8" x14ac:dyDescent="0.3">
      <c r="E513" s="5" t="s">
        <v>607</v>
      </c>
      <c r="F513" s="5" t="s">
        <v>45</v>
      </c>
      <c r="G513" s="5" t="s">
        <v>727</v>
      </c>
      <c r="H513" s="5" t="s">
        <v>728</v>
      </c>
    </row>
    <row r="514" spans="5:8" x14ac:dyDescent="0.3">
      <c r="E514" s="5" t="s">
        <v>607</v>
      </c>
      <c r="F514" s="5" t="s">
        <v>45</v>
      </c>
      <c r="G514" s="5" t="s">
        <v>729</v>
      </c>
      <c r="H514" s="5" t="s">
        <v>271</v>
      </c>
    </row>
    <row r="515" spans="5:8" x14ac:dyDescent="0.3">
      <c r="E515" s="5" t="s">
        <v>607</v>
      </c>
      <c r="F515" s="5" t="s">
        <v>45</v>
      </c>
      <c r="G515" s="5" t="s">
        <v>730</v>
      </c>
      <c r="H515" s="5" t="s">
        <v>731</v>
      </c>
    </row>
    <row r="516" spans="5:8" x14ac:dyDescent="0.3">
      <c r="E516" s="5" t="s">
        <v>607</v>
      </c>
      <c r="F516" s="5" t="s">
        <v>45</v>
      </c>
      <c r="G516" s="5" t="s">
        <v>732</v>
      </c>
      <c r="H516" s="5" t="s">
        <v>733</v>
      </c>
    </row>
    <row r="517" spans="5:8" x14ac:dyDescent="0.3">
      <c r="E517" s="5" t="s">
        <v>607</v>
      </c>
      <c r="F517" s="5" t="s">
        <v>45</v>
      </c>
      <c r="G517" s="5" t="s">
        <v>734</v>
      </c>
      <c r="H517" s="5" t="s">
        <v>735</v>
      </c>
    </row>
    <row r="518" spans="5:8" x14ac:dyDescent="0.3">
      <c r="E518" s="5" t="s">
        <v>607</v>
      </c>
      <c r="F518" s="5" t="s">
        <v>45</v>
      </c>
      <c r="G518" s="5" t="s">
        <v>736</v>
      </c>
      <c r="H518" s="5" t="s">
        <v>737</v>
      </c>
    </row>
    <row r="519" spans="5:8" x14ac:dyDescent="0.3">
      <c r="E519" s="5" t="s">
        <v>607</v>
      </c>
      <c r="F519" s="5" t="s">
        <v>45</v>
      </c>
      <c r="G519" s="5" t="s">
        <v>738</v>
      </c>
      <c r="H519" s="5" t="s">
        <v>601</v>
      </c>
    </row>
    <row r="520" spans="5:8" x14ac:dyDescent="0.3">
      <c r="E520" s="5" t="s">
        <v>607</v>
      </c>
      <c r="F520" s="5" t="s">
        <v>45</v>
      </c>
      <c r="G520" s="5" t="s">
        <v>739</v>
      </c>
      <c r="H520" s="5" t="s">
        <v>740</v>
      </c>
    </row>
    <row r="521" spans="5:8" x14ac:dyDescent="0.3">
      <c r="E521" s="5" t="s">
        <v>607</v>
      </c>
      <c r="F521" s="5" t="s">
        <v>45</v>
      </c>
      <c r="G521" s="5" t="s">
        <v>741</v>
      </c>
      <c r="H521" s="5" t="s">
        <v>742</v>
      </c>
    </row>
    <row r="522" spans="5:8" x14ac:dyDescent="0.3">
      <c r="E522" s="5" t="s">
        <v>607</v>
      </c>
      <c r="F522" s="5" t="s">
        <v>45</v>
      </c>
      <c r="G522" s="5" t="s">
        <v>743</v>
      </c>
      <c r="H522" s="5" t="s">
        <v>744</v>
      </c>
    </row>
    <row r="523" spans="5:8" x14ac:dyDescent="0.3">
      <c r="E523" s="5" t="s">
        <v>607</v>
      </c>
      <c r="F523" s="5" t="s">
        <v>45</v>
      </c>
      <c r="G523" s="5" t="s">
        <v>340</v>
      </c>
      <c r="H523" s="5" t="s">
        <v>279</v>
      </c>
    </row>
    <row r="524" spans="5:8" x14ac:dyDescent="0.3">
      <c r="E524" s="5" t="s">
        <v>607</v>
      </c>
      <c r="F524" s="5" t="s">
        <v>45</v>
      </c>
      <c r="G524" s="5" t="s">
        <v>745</v>
      </c>
      <c r="H524" s="5" t="s">
        <v>746</v>
      </c>
    </row>
    <row r="525" spans="5:8" x14ac:dyDescent="0.3">
      <c r="E525" s="5" t="s">
        <v>607</v>
      </c>
      <c r="F525" s="5" t="s">
        <v>45</v>
      </c>
      <c r="G525" s="5" t="s">
        <v>747</v>
      </c>
      <c r="H525" s="5" t="s">
        <v>748</v>
      </c>
    </row>
    <row r="526" spans="5:8" x14ac:dyDescent="0.3">
      <c r="E526" s="5" t="s">
        <v>607</v>
      </c>
      <c r="F526" s="5" t="s">
        <v>45</v>
      </c>
      <c r="G526" s="5" t="s">
        <v>749</v>
      </c>
      <c r="H526" s="5" t="s">
        <v>750</v>
      </c>
    </row>
    <row r="527" spans="5:8" x14ac:dyDescent="0.3">
      <c r="E527" s="5" t="s">
        <v>607</v>
      </c>
      <c r="F527" s="5" t="s">
        <v>45</v>
      </c>
      <c r="G527" s="5" t="s">
        <v>751</v>
      </c>
      <c r="H527" s="5" t="s">
        <v>603</v>
      </c>
    </row>
    <row r="528" spans="5:8" x14ac:dyDescent="0.3">
      <c r="E528" s="5" t="s">
        <v>607</v>
      </c>
      <c r="F528" s="5" t="s">
        <v>45</v>
      </c>
      <c r="G528" s="5" t="s">
        <v>752</v>
      </c>
      <c r="H528" s="5" t="s">
        <v>753</v>
      </c>
    </row>
    <row r="529" spans="5:8" x14ac:dyDescent="0.3">
      <c r="E529" s="5" t="s">
        <v>607</v>
      </c>
      <c r="F529" s="5" t="s">
        <v>45</v>
      </c>
      <c r="G529" s="5" t="s">
        <v>754</v>
      </c>
      <c r="H529" s="5" t="s">
        <v>755</v>
      </c>
    </row>
    <row r="530" spans="5:8" x14ac:dyDescent="0.3">
      <c r="E530" s="5" t="s">
        <v>607</v>
      </c>
      <c r="F530" s="5" t="s">
        <v>45</v>
      </c>
      <c r="G530" s="5" t="s">
        <v>344</v>
      </c>
      <c r="H530" s="5" t="s">
        <v>756</v>
      </c>
    </row>
    <row r="531" spans="5:8" x14ac:dyDescent="0.3">
      <c r="E531" s="5" t="s">
        <v>607</v>
      </c>
      <c r="F531" s="5" t="s">
        <v>45</v>
      </c>
      <c r="G531" s="5" t="s">
        <v>757</v>
      </c>
      <c r="H531" s="5" t="s">
        <v>758</v>
      </c>
    </row>
    <row r="532" spans="5:8" x14ac:dyDescent="0.3">
      <c r="E532" s="5" t="s">
        <v>607</v>
      </c>
      <c r="F532" s="5" t="s">
        <v>45</v>
      </c>
      <c r="G532" s="5" t="s">
        <v>759</v>
      </c>
      <c r="H532" s="5" t="s">
        <v>760</v>
      </c>
    </row>
    <row r="533" spans="5:8" x14ac:dyDescent="0.3">
      <c r="E533" s="5" t="s">
        <v>607</v>
      </c>
      <c r="F533" s="5" t="s">
        <v>45</v>
      </c>
      <c r="G533" s="5" t="s">
        <v>761</v>
      </c>
      <c r="H533" s="5" t="s">
        <v>762</v>
      </c>
    </row>
    <row r="534" spans="5:8" x14ac:dyDescent="0.3">
      <c r="E534" s="5" t="s">
        <v>607</v>
      </c>
      <c r="F534" s="5" t="s">
        <v>45</v>
      </c>
      <c r="G534" s="5" t="s">
        <v>763</v>
      </c>
      <c r="H534" s="5" t="s">
        <v>764</v>
      </c>
    </row>
    <row r="535" spans="5:8" x14ac:dyDescent="0.3">
      <c r="E535" s="5" t="s">
        <v>607</v>
      </c>
      <c r="F535" s="5" t="s">
        <v>45</v>
      </c>
      <c r="G535" s="5" t="s">
        <v>765</v>
      </c>
      <c r="H535" s="5" t="s">
        <v>766</v>
      </c>
    </row>
    <row r="536" spans="5:8" x14ac:dyDescent="0.3">
      <c r="E536" s="5" t="s">
        <v>607</v>
      </c>
      <c r="F536" s="5" t="s">
        <v>45</v>
      </c>
      <c r="G536" s="5" t="s">
        <v>767</v>
      </c>
      <c r="H536" s="5" t="s">
        <v>768</v>
      </c>
    </row>
    <row r="537" spans="5:8" x14ac:dyDescent="0.3">
      <c r="E537" s="5" t="s">
        <v>607</v>
      </c>
      <c r="F537" s="5" t="s">
        <v>45</v>
      </c>
      <c r="G537" s="5" t="s">
        <v>769</v>
      </c>
      <c r="H537" s="5" t="s">
        <v>770</v>
      </c>
    </row>
    <row r="538" spans="5:8" x14ac:dyDescent="0.3">
      <c r="E538" s="5" t="s">
        <v>607</v>
      </c>
      <c r="F538" s="5" t="s">
        <v>45</v>
      </c>
      <c r="G538" s="5" t="s">
        <v>771</v>
      </c>
      <c r="H538" s="5" t="s">
        <v>421</v>
      </c>
    </row>
    <row r="539" spans="5:8" x14ac:dyDescent="0.3">
      <c r="E539" s="5" t="s">
        <v>607</v>
      </c>
      <c r="F539" s="5" t="s">
        <v>45</v>
      </c>
      <c r="G539" s="5" t="s">
        <v>772</v>
      </c>
      <c r="H539" s="5" t="s">
        <v>773</v>
      </c>
    </row>
    <row r="540" spans="5:8" x14ac:dyDescent="0.3">
      <c r="E540" s="5" t="s">
        <v>607</v>
      </c>
      <c r="F540" s="5" t="s">
        <v>45</v>
      </c>
      <c r="G540" s="5" t="s">
        <v>774</v>
      </c>
      <c r="H540" s="5" t="s">
        <v>287</v>
      </c>
    </row>
    <row r="541" spans="5:8" x14ac:dyDescent="0.3">
      <c r="E541" s="5" t="s">
        <v>607</v>
      </c>
      <c r="F541" s="5" t="s">
        <v>45</v>
      </c>
      <c r="G541" s="5" t="s">
        <v>775</v>
      </c>
      <c r="H541" s="5" t="s">
        <v>606</v>
      </c>
    </row>
    <row r="542" spans="5:8" x14ac:dyDescent="0.3">
      <c r="E542" s="5" t="s">
        <v>607</v>
      </c>
      <c r="F542" s="5" t="s">
        <v>45</v>
      </c>
      <c r="G542" s="5" t="s">
        <v>776</v>
      </c>
      <c r="H542" s="5" t="s">
        <v>777</v>
      </c>
    </row>
    <row r="543" spans="5:8" x14ac:dyDescent="0.3">
      <c r="E543" s="5" t="s">
        <v>607</v>
      </c>
      <c r="F543" s="5" t="s">
        <v>45</v>
      </c>
      <c r="G543" s="5" t="s">
        <v>778</v>
      </c>
      <c r="H543" s="5" t="s">
        <v>779</v>
      </c>
    </row>
    <row r="544" spans="5:8" x14ac:dyDescent="0.3">
      <c r="E544" s="5" t="s">
        <v>607</v>
      </c>
      <c r="F544" s="5" t="s">
        <v>45</v>
      </c>
      <c r="G544" s="5" t="s">
        <v>780</v>
      </c>
      <c r="H544" s="5" t="s">
        <v>289</v>
      </c>
    </row>
    <row r="545" spans="5:8" x14ac:dyDescent="0.3">
      <c r="E545" s="5" t="s">
        <v>607</v>
      </c>
      <c r="F545" s="5" t="s">
        <v>45</v>
      </c>
      <c r="G545" s="5" t="s">
        <v>781</v>
      </c>
      <c r="H545" s="5" t="s">
        <v>782</v>
      </c>
    </row>
    <row r="546" spans="5:8" x14ac:dyDescent="0.3">
      <c r="E546" s="5" t="s">
        <v>607</v>
      </c>
      <c r="F546" s="5" t="s">
        <v>45</v>
      </c>
      <c r="G546" s="5" t="s">
        <v>783</v>
      </c>
      <c r="H546" s="5" t="s">
        <v>784</v>
      </c>
    </row>
    <row r="547" spans="5:8" x14ac:dyDescent="0.3">
      <c r="E547" s="5" t="s">
        <v>607</v>
      </c>
      <c r="F547" s="5" t="s">
        <v>45</v>
      </c>
      <c r="G547" s="5" t="s">
        <v>785</v>
      </c>
      <c r="H547" s="5" t="s">
        <v>786</v>
      </c>
    </row>
    <row r="548" spans="5:8" x14ac:dyDescent="0.3">
      <c r="E548" s="5" t="s">
        <v>607</v>
      </c>
      <c r="F548" s="5" t="s">
        <v>45</v>
      </c>
      <c r="G548" s="5" t="s">
        <v>787</v>
      </c>
      <c r="H548" s="5" t="s">
        <v>426</v>
      </c>
    </row>
    <row r="549" spans="5:8" x14ac:dyDescent="0.3">
      <c r="E549" s="5" t="s">
        <v>607</v>
      </c>
      <c r="F549" s="5" t="s">
        <v>45</v>
      </c>
      <c r="G549" s="5" t="s">
        <v>788</v>
      </c>
      <c r="H549" s="5" t="s">
        <v>789</v>
      </c>
    </row>
    <row r="550" spans="5:8" x14ac:dyDescent="0.3">
      <c r="E550" s="5" t="s">
        <v>607</v>
      </c>
      <c r="F550" s="5" t="s">
        <v>45</v>
      </c>
      <c r="G550" s="5" t="s">
        <v>790</v>
      </c>
      <c r="H550" s="5" t="s">
        <v>291</v>
      </c>
    </row>
    <row r="551" spans="5:8" x14ac:dyDescent="0.3">
      <c r="E551" s="5" t="s">
        <v>607</v>
      </c>
      <c r="F551" s="5" t="s">
        <v>45</v>
      </c>
      <c r="G551" s="5" t="s">
        <v>791</v>
      </c>
      <c r="H551" s="5" t="s">
        <v>792</v>
      </c>
    </row>
    <row r="552" spans="5:8" x14ac:dyDescent="0.3">
      <c r="E552" s="5" t="s">
        <v>607</v>
      </c>
      <c r="F552" s="5" t="s">
        <v>45</v>
      </c>
      <c r="G552" s="5" t="s">
        <v>793</v>
      </c>
      <c r="H552" s="5" t="s">
        <v>794</v>
      </c>
    </row>
    <row r="553" spans="5:8" x14ac:dyDescent="0.3">
      <c r="E553" s="5" t="s">
        <v>607</v>
      </c>
      <c r="F553" s="5" t="s">
        <v>45</v>
      </c>
      <c r="G553" s="5" t="s">
        <v>795</v>
      </c>
      <c r="H553" s="5" t="s">
        <v>796</v>
      </c>
    </row>
    <row r="554" spans="5:8" x14ac:dyDescent="0.3">
      <c r="E554" s="5" t="s">
        <v>140</v>
      </c>
      <c r="F554" s="5" t="s">
        <v>141</v>
      </c>
      <c r="G554" s="5" t="s">
        <v>2403</v>
      </c>
      <c r="H554" s="5" t="s">
        <v>139</v>
      </c>
    </row>
    <row r="555" spans="5:8" x14ac:dyDescent="0.3">
      <c r="E555" s="5" t="s">
        <v>797</v>
      </c>
      <c r="F555" s="5" t="s">
        <v>47</v>
      </c>
      <c r="G555" s="5" t="s">
        <v>160</v>
      </c>
      <c r="H555" s="5" t="s">
        <v>798</v>
      </c>
    </row>
    <row r="556" spans="5:8" x14ac:dyDescent="0.3">
      <c r="E556" s="5" t="s">
        <v>797</v>
      </c>
      <c r="F556" s="5" t="s">
        <v>47</v>
      </c>
      <c r="G556" s="5" t="s">
        <v>162</v>
      </c>
      <c r="H556" s="5" t="s">
        <v>799</v>
      </c>
    </row>
    <row r="557" spans="5:8" x14ac:dyDescent="0.3">
      <c r="E557" s="5" t="s">
        <v>797</v>
      </c>
      <c r="F557" s="5" t="s">
        <v>47</v>
      </c>
      <c r="G557" s="5" t="s">
        <v>164</v>
      </c>
      <c r="H557" s="5" t="s">
        <v>800</v>
      </c>
    </row>
    <row r="558" spans="5:8" x14ac:dyDescent="0.3">
      <c r="E558" s="5" t="s">
        <v>797</v>
      </c>
      <c r="F558" s="5" t="s">
        <v>47</v>
      </c>
      <c r="G558" s="5" t="s">
        <v>166</v>
      </c>
      <c r="H558" s="5" t="s">
        <v>801</v>
      </c>
    </row>
    <row r="559" spans="5:8" x14ac:dyDescent="0.3">
      <c r="E559" s="5" t="s">
        <v>797</v>
      </c>
      <c r="F559" s="5" t="s">
        <v>47</v>
      </c>
      <c r="G559" s="5" t="s">
        <v>168</v>
      </c>
      <c r="H559" s="5" t="s">
        <v>802</v>
      </c>
    </row>
    <row r="560" spans="5:8" x14ac:dyDescent="0.3">
      <c r="E560" s="5" t="s">
        <v>935</v>
      </c>
      <c r="F560" s="5" t="s">
        <v>55</v>
      </c>
      <c r="G560" s="5" t="s">
        <v>160</v>
      </c>
      <c r="H560" s="5" t="s">
        <v>936</v>
      </c>
    </row>
    <row r="561" spans="5:8" x14ac:dyDescent="0.3">
      <c r="E561" s="5" t="s">
        <v>935</v>
      </c>
      <c r="F561" s="5" t="s">
        <v>55</v>
      </c>
      <c r="G561" s="5" t="s">
        <v>162</v>
      </c>
      <c r="H561" s="5" t="s">
        <v>487</v>
      </c>
    </row>
    <row r="562" spans="5:8" x14ac:dyDescent="0.3">
      <c r="E562" s="5" t="s">
        <v>935</v>
      </c>
      <c r="F562" s="5" t="s">
        <v>55</v>
      </c>
      <c r="G562" s="5" t="s">
        <v>164</v>
      </c>
      <c r="H562" s="5" t="s">
        <v>937</v>
      </c>
    </row>
    <row r="563" spans="5:8" x14ac:dyDescent="0.3">
      <c r="E563" s="5" t="s">
        <v>935</v>
      </c>
      <c r="F563" s="5" t="s">
        <v>55</v>
      </c>
      <c r="G563" s="5" t="s">
        <v>166</v>
      </c>
      <c r="H563" s="5" t="s">
        <v>938</v>
      </c>
    </row>
    <row r="564" spans="5:8" x14ac:dyDescent="0.3">
      <c r="E564" s="5" t="s">
        <v>935</v>
      </c>
      <c r="F564" s="5" t="s">
        <v>55</v>
      </c>
      <c r="G564" s="5" t="s">
        <v>168</v>
      </c>
      <c r="H564" s="5" t="s">
        <v>939</v>
      </c>
    </row>
    <row r="565" spans="5:8" x14ac:dyDescent="0.3">
      <c r="E565" s="5" t="s">
        <v>935</v>
      </c>
      <c r="F565" s="5" t="s">
        <v>55</v>
      </c>
      <c r="G565" s="5" t="s">
        <v>170</v>
      </c>
      <c r="H565" s="5" t="s">
        <v>369</v>
      </c>
    </row>
    <row r="566" spans="5:8" x14ac:dyDescent="0.3">
      <c r="E566" s="5" t="s">
        <v>935</v>
      </c>
      <c r="F566" s="5" t="s">
        <v>55</v>
      </c>
      <c r="G566" s="5" t="s">
        <v>172</v>
      </c>
      <c r="H566" s="5" t="s">
        <v>940</v>
      </c>
    </row>
    <row r="567" spans="5:8" x14ac:dyDescent="0.3">
      <c r="E567" s="5" t="s">
        <v>935</v>
      </c>
      <c r="F567" s="5" t="s">
        <v>55</v>
      </c>
      <c r="G567" s="5" t="s">
        <v>174</v>
      </c>
      <c r="H567" s="5" t="s">
        <v>370</v>
      </c>
    </row>
    <row r="568" spans="5:8" x14ac:dyDescent="0.3">
      <c r="E568" s="5" t="s">
        <v>935</v>
      </c>
      <c r="F568" s="5" t="s">
        <v>55</v>
      </c>
      <c r="G568" s="5" t="s">
        <v>176</v>
      </c>
      <c r="H568" s="5" t="s">
        <v>941</v>
      </c>
    </row>
    <row r="569" spans="5:8" x14ac:dyDescent="0.3">
      <c r="E569" s="5" t="s">
        <v>935</v>
      </c>
      <c r="F569" s="5" t="s">
        <v>55</v>
      </c>
      <c r="G569" s="5" t="s">
        <v>178</v>
      </c>
      <c r="H569" s="5" t="s">
        <v>942</v>
      </c>
    </row>
    <row r="570" spans="5:8" x14ac:dyDescent="0.3">
      <c r="E570" s="5" t="s">
        <v>935</v>
      </c>
      <c r="F570" s="5" t="s">
        <v>55</v>
      </c>
      <c r="G570" s="5" t="s">
        <v>180</v>
      </c>
      <c r="H570" s="5" t="s">
        <v>943</v>
      </c>
    </row>
    <row r="571" spans="5:8" x14ac:dyDescent="0.3">
      <c r="E571" s="5" t="s">
        <v>935</v>
      </c>
      <c r="F571" s="5" t="s">
        <v>55</v>
      </c>
      <c r="G571" s="5" t="s">
        <v>182</v>
      </c>
      <c r="H571" s="5" t="s">
        <v>173</v>
      </c>
    </row>
    <row r="572" spans="5:8" x14ac:dyDescent="0.3">
      <c r="E572" s="5" t="s">
        <v>935</v>
      </c>
      <c r="F572" s="5" t="s">
        <v>55</v>
      </c>
      <c r="G572" s="5" t="s">
        <v>184</v>
      </c>
      <c r="H572" s="5" t="s">
        <v>175</v>
      </c>
    </row>
    <row r="573" spans="5:8" x14ac:dyDescent="0.3">
      <c r="E573" s="5" t="s">
        <v>935</v>
      </c>
      <c r="F573" s="5" t="s">
        <v>55</v>
      </c>
      <c r="G573" s="5" t="s">
        <v>186</v>
      </c>
      <c r="H573" s="5" t="s">
        <v>372</v>
      </c>
    </row>
    <row r="574" spans="5:8" x14ac:dyDescent="0.3">
      <c r="E574" s="5" t="s">
        <v>935</v>
      </c>
      <c r="F574" s="5" t="s">
        <v>55</v>
      </c>
      <c r="G574" s="5" t="s">
        <v>188</v>
      </c>
      <c r="H574" s="5" t="s">
        <v>842</v>
      </c>
    </row>
    <row r="575" spans="5:8" x14ac:dyDescent="0.3">
      <c r="E575" s="5" t="s">
        <v>935</v>
      </c>
      <c r="F575" s="5" t="s">
        <v>55</v>
      </c>
      <c r="G575" s="5" t="s">
        <v>190</v>
      </c>
      <c r="H575" s="5" t="s">
        <v>944</v>
      </c>
    </row>
    <row r="576" spans="5:8" x14ac:dyDescent="0.3">
      <c r="E576" s="5" t="s">
        <v>935</v>
      </c>
      <c r="F576" s="5" t="s">
        <v>55</v>
      </c>
      <c r="G576" s="5" t="s">
        <v>192</v>
      </c>
      <c r="H576" s="5" t="s">
        <v>945</v>
      </c>
    </row>
    <row r="577" spans="5:8" x14ac:dyDescent="0.3">
      <c r="E577" s="5" t="s">
        <v>935</v>
      </c>
      <c r="F577" s="5" t="s">
        <v>55</v>
      </c>
      <c r="G577" s="5" t="s">
        <v>194</v>
      </c>
      <c r="H577" s="5" t="s">
        <v>179</v>
      </c>
    </row>
    <row r="578" spans="5:8" x14ac:dyDescent="0.3">
      <c r="E578" s="5" t="s">
        <v>935</v>
      </c>
      <c r="F578" s="5" t="s">
        <v>55</v>
      </c>
      <c r="G578" s="5" t="s">
        <v>196</v>
      </c>
      <c r="H578" s="5" t="s">
        <v>946</v>
      </c>
    </row>
    <row r="579" spans="5:8" x14ac:dyDescent="0.3">
      <c r="E579" s="5" t="s">
        <v>935</v>
      </c>
      <c r="F579" s="5" t="s">
        <v>55</v>
      </c>
      <c r="G579" s="5" t="s">
        <v>198</v>
      </c>
      <c r="H579" s="5" t="s">
        <v>185</v>
      </c>
    </row>
    <row r="580" spans="5:8" x14ac:dyDescent="0.3">
      <c r="E580" s="5" t="s">
        <v>935</v>
      </c>
      <c r="F580" s="5" t="s">
        <v>55</v>
      </c>
      <c r="G580" s="5" t="s">
        <v>200</v>
      </c>
      <c r="H580" s="5" t="s">
        <v>187</v>
      </c>
    </row>
    <row r="581" spans="5:8" x14ac:dyDescent="0.3">
      <c r="E581" s="5" t="s">
        <v>935</v>
      </c>
      <c r="F581" s="5" t="s">
        <v>55</v>
      </c>
      <c r="G581" s="5" t="s">
        <v>202</v>
      </c>
      <c r="H581" s="5" t="s">
        <v>630</v>
      </c>
    </row>
    <row r="582" spans="5:8" x14ac:dyDescent="0.3">
      <c r="E582" s="5" t="s">
        <v>935</v>
      </c>
      <c r="F582" s="5" t="s">
        <v>55</v>
      </c>
      <c r="G582" s="5" t="s">
        <v>204</v>
      </c>
      <c r="H582" s="5" t="s">
        <v>845</v>
      </c>
    </row>
    <row r="583" spans="5:8" x14ac:dyDescent="0.3">
      <c r="E583" s="5" t="s">
        <v>935</v>
      </c>
      <c r="F583" s="5" t="s">
        <v>55</v>
      </c>
      <c r="G583" s="5" t="s">
        <v>206</v>
      </c>
      <c r="H583" s="5" t="s">
        <v>379</v>
      </c>
    </row>
    <row r="584" spans="5:8" x14ac:dyDescent="0.3">
      <c r="E584" s="5" t="s">
        <v>935</v>
      </c>
      <c r="F584" s="5" t="s">
        <v>55</v>
      </c>
      <c r="G584" s="5" t="s">
        <v>208</v>
      </c>
      <c r="H584" s="5" t="s">
        <v>207</v>
      </c>
    </row>
    <row r="585" spans="5:8" x14ac:dyDescent="0.3">
      <c r="E585" s="5" t="s">
        <v>935</v>
      </c>
      <c r="F585" s="5" t="s">
        <v>55</v>
      </c>
      <c r="G585" s="5" t="s">
        <v>210</v>
      </c>
      <c r="H585" s="5" t="s">
        <v>947</v>
      </c>
    </row>
    <row r="586" spans="5:8" x14ac:dyDescent="0.3">
      <c r="E586" s="5" t="s">
        <v>935</v>
      </c>
      <c r="F586" s="5" t="s">
        <v>55</v>
      </c>
      <c r="G586" s="5" t="s">
        <v>212</v>
      </c>
      <c r="H586" s="5" t="s">
        <v>639</v>
      </c>
    </row>
    <row r="587" spans="5:8" x14ac:dyDescent="0.3">
      <c r="E587" s="5" t="s">
        <v>935</v>
      </c>
      <c r="F587" s="5" t="s">
        <v>55</v>
      </c>
      <c r="G587" s="5" t="s">
        <v>214</v>
      </c>
      <c r="H587" s="5" t="s">
        <v>899</v>
      </c>
    </row>
    <row r="588" spans="5:8" x14ac:dyDescent="0.3">
      <c r="E588" s="5" t="s">
        <v>935</v>
      </c>
      <c r="F588" s="5" t="s">
        <v>55</v>
      </c>
      <c r="G588" s="5" t="s">
        <v>216</v>
      </c>
      <c r="H588" s="5" t="s">
        <v>948</v>
      </c>
    </row>
    <row r="589" spans="5:8" x14ac:dyDescent="0.3">
      <c r="E589" s="5" t="s">
        <v>935</v>
      </c>
      <c r="F589" s="5" t="s">
        <v>55</v>
      </c>
      <c r="G589" s="5" t="s">
        <v>218</v>
      </c>
      <c r="H589" s="5" t="s">
        <v>949</v>
      </c>
    </row>
    <row r="590" spans="5:8" x14ac:dyDescent="0.3">
      <c r="E590" s="5" t="s">
        <v>935</v>
      </c>
      <c r="F590" s="5" t="s">
        <v>55</v>
      </c>
      <c r="G590" s="5" t="s">
        <v>220</v>
      </c>
      <c r="H590" s="5" t="s">
        <v>950</v>
      </c>
    </row>
    <row r="591" spans="5:8" x14ac:dyDescent="0.3">
      <c r="E591" s="5" t="s">
        <v>935</v>
      </c>
      <c r="F591" s="5" t="s">
        <v>55</v>
      </c>
      <c r="G591" s="5" t="s">
        <v>222</v>
      </c>
      <c r="H591" s="5" t="s">
        <v>951</v>
      </c>
    </row>
    <row r="592" spans="5:8" x14ac:dyDescent="0.3">
      <c r="E592" s="5" t="s">
        <v>935</v>
      </c>
      <c r="F592" s="5" t="s">
        <v>55</v>
      </c>
      <c r="G592" s="5" t="s">
        <v>224</v>
      </c>
      <c r="H592" s="5" t="s">
        <v>217</v>
      </c>
    </row>
    <row r="593" spans="5:8" x14ac:dyDescent="0.3">
      <c r="E593" s="5" t="s">
        <v>935</v>
      </c>
      <c r="F593" s="5" t="s">
        <v>55</v>
      </c>
      <c r="G593" s="5" t="s">
        <v>226</v>
      </c>
      <c r="H593" s="5" t="s">
        <v>649</v>
      </c>
    </row>
    <row r="594" spans="5:8" x14ac:dyDescent="0.3">
      <c r="E594" s="5" t="s">
        <v>935</v>
      </c>
      <c r="F594" s="5" t="s">
        <v>55</v>
      </c>
      <c r="G594" s="5" t="s">
        <v>228</v>
      </c>
      <c r="H594" s="5" t="s">
        <v>219</v>
      </c>
    </row>
    <row r="595" spans="5:8" x14ac:dyDescent="0.3">
      <c r="E595" s="5" t="s">
        <v>935</v>
      </c>
      <c r="F595" s="5" t="s">
        <v>55</v>
      </c>
      <c r="G595" s="5" t="s">
        <v>230</v>
      </c>
      <c r="H595" s="5" t="s">
        <v>510</v>
      </c>
    </row>
    <row r="596" spans="5:8" x14ac:dyDescent="0.3">
      <c r="E596" s="5" t="s">
        <v>935</v>
      </c>
      <c r="F596" s="5" t="s">
        <v>55</v>
      </c>
      <c r="G596" s="5" t="s">
        <v>232</v>
      </c>
      <c r="H596" s="5" t="s">
        <v>223</v>
      </c>
    </row>
    <row r="597" spans="5:8" x14ac:dyDescent="0.3">
      <c r="E597" s="5" t="s">
        <v>935</v>
      </c>
      <c r="F597" s="5" t="s">
        <v>55</v>
      </c>
      <c r="G597" s="5" t="s">
        <v>234</v>
      </c>
      <c r="H597" s="5" t="s">
        <v>854</v>
      </c>
    </row>
    <row r="598" spans="5:8" x14ac:dyDescent="0.3">
      <c r="E598" s="5" t="s">
        <v>935</v>
      </c>
      <c r="F598" s="5" t="s">
        <v>55</v>
      </c>
      <c r="G598" s="5" t="s">
        <v>236</v>
      </c>
      <c r="H598" s="5" t="s">
        <v>952</v>
      </c>
    </row>
    <row r="599" spans="5:8" x14ac:dyDescent="0.3">
      <c r="E599" s="5" t="s">
        <v>935</v>
      </c>
      <c r="F599" s="5" t="s">
        <v>55</v>
      </c>
      <c r="G599" s="5" t="s">
        <v>238</v>
      </c>
      <c r="H599" s="5" t="s">
        <v>574</v>
      </c>
    </row>
    <row r="600" spans="5:8" x14ac:dyDescent="0.3">
      <c r="E600" s="5" t="s">
        <v>935</v>
      </c>
      <c r="F600" s="5" t="s">
        <v>55</v>
      </c>
      <c r="G600" s="5" t="s">
        <v>240</v>
      </c>
      <c r="H600" s="5" t="s">
        <v>659</v>
      </c>
    </row>
    <row r="601" spans="5:8" x14ac:dyDescent="0.3">
      <c r="E601" s="5" t="s">
        <v>935</v>
      </c>
      <c r="F601" s="5" t="s">
        <v>55</v>
      </c>
      <c r="G601" s="5" t="s">
        <v>242</v>
      </c>
      <c r="H601" s="5" t="s">
        <v>855</v>
      </c>
    </row>
    <row r="602" spans="5:8" x14ac:dyDescent="0.3">
      <c r="E602" s="5" t="s">
        <v>935</v>
      </c>
      <c r="F602" s="5" t="s">
        <v>55</v>
      </c>
      <c r="G602" s="5" t="s">
        <v>244</v>
      </c>
      <c r="H602" s="5" t="s">
        <v>904</v>
      </c>
    </row>
    <row r="603" spans="5:8" x14ac:dyDescent="0.3">
      <c r="E603" s="5" t="s">
        <v>935</v>
      </c>
      <c r="F603" s="5" t="s">
        <v>55</v>
      </c>
      <c r="G603" s="5" t="s">
        <v>246</v>
      </c>
      <c r="H603" s="5" t="s">
        <v>227</v>
      </c>
    </row>
    <row r="604" spans="5:8" x14ac:dyDescent="0.3">
      <c r="E604" s="5" t="s">
        <v>935</v>
      </c>
      <c r="F604" s="5" t="s">
        <v>55</v>
      </c>
      <c r="G604" s="5" t="s">
        <v>248</v>
      </c>
      <c r="H604" s="5" t="s">
        <v>390</v>
      </c>
    </row>
    <row r="605" spans="5:8" x14ac:dyDescent="0.3">
      <c r="E605" s="5" t="s">
        <v>935</v>
      </c>
      <c r="F605" s="5" t="s">
        <v>55</v>
      </c>
      <c r="G605" s="5" t="s">
        <v>250</v>
      </c>
      <c r="H605" s="5" t="s">
        <v>442</v>
      </c>
    </row>
    <row r="606" spans="5:8" x14ac:dyDescent="0.3">
      <c r="E606" s="5" t="s">
        <v>935</v>
      </c>
      <c r="F606" s="5" t="s">
        <v>55</v>
      </c>
      <c r="G606" s="5" t="s">
        <v>252</v>
      </c>
      <c r="H606" s="5" t="s">
        <v>953</v>
      </c>
    </row>
    <row r="607" spans="5:8" x14ac:dyDescent="0.3">
      <c r="E607" s="5" t="s">
        <v>935</v>
      </c>
      <c r="F607" s="5" t="s">
        <v>55</v>
      </c>
      <c r="G607" s="5" t="s">
        <v>254</v>
      </c>
      <c r="H607" s="5" t="s">
        <v>954</v>
      </c>
    </row>
    <row r="608" spans="5:8" x14ac:dyDescent="0.3">
      <c r="E608" s="5" t="s">
        <v>935</v>
      </c>
      <c r="F608" s="5" t="s">
        <v>55</v>
      </c>
      <c r="G608" s="5" t="s">
        <v>256</v>
      </c>
      <c r="H608" s="5" t="s">
        <v>231</v>
      </c>
    </row>
    <row r="609" spans="5:8" x14ac:dyDescent="0.3">
      <c r="E609" s="5" t="s">
        <v>935</v>
      </c>
      <c r="F609" s="5" t="s">
        <v>55</v>
      </c>
      <c r="G609" s="5" t="s">
        <v>258</v>
      </c>
      <c r="H609" s="5" t="s">
        <v>670</v>
      </c>
    </row>
    <row r="610" spans="5:8" x14ac:dyDescent="0.3">
      <c r="E610" s="5" t="s">
        <v>935</v>
      </c>
      <c r="F610" s="5" t="s">
        <v>55</v>
      </c>
      <c r="G610" s="5" t="s">
        <v>260</v>
      </c>
      <c r="H610" s="5" t="s">
        <v>233</v>
      </c>
    </row>
    <row r="611" spans="5:8" x14ac:dyDescent="0.3">
      <c r="E611" s="5" t="s">
        <v>935</v>
      </c>
      <c r="F611" s="5" t="s">
        <v>55</v>
      </c>
      <c r="G611" s="5" t="s">
        <v>262</v>
      </c>
      <c r="H611" s="5" t="s">
        <v>393</v>
      </c>
    </row>
    <row r="612" spans="5:8" x14ac:dyDescent="0.3">
      <c r="E612" s="5" t="s">
        <v>935</v>
      </c>
      <c r="F612" s="5" t="s">
        <v>55</v>
      </c>
      <c r="G612" s="5" t="s">
        <v>264</v>
      </c>
      <c r="H612" s="5" t="s">
        <v>678</v>
      </c>
    </row>
    <row r="613" spans="5:8" x14ac:dyDescent="0.3">
      <c r="E613" s="5" t="s">
        <v>935</v>
      </c>
      <c r="F613" s="5" t="s">
        <v>55</v>
      </c>
      <c r="G613" s="5" t="s">
        <v>266</v>
      </c>
      <c r="H613" s="5" t="s">
        <v>955</v>
      </c>
    </row>
    <row r="614" spans="5:8" x14ac:dyDescent="0.3">
      <c r="E614" s="5" t="s">
        <v>935</v>
      </c>
      <c r="F614" s="5" t="s">
        <v>55</v>
      </c>
      <c r="G614" s="5" t="s">
        <v>268</v>
      </c>
      <c r="H614" s="5" t="s">
        <v>956</v>
      </c>
    </row>
    <row r="615" spans="5:8" x14ac:dyDescent="0.3">
      <c r="E615" s="5" t="s">
        <v>935</v>
      </c>
      <c r="F615" s="5" t="s">
        <v>55</v>
      </c>
      <c r="G615" s="5" t="s">
        <v>270</v>
      </c>
      <c r="H615" s="5" t="s">
        <v>241</v>
      </c>
    </row>
    <row r="616" spans="5:8" x14ac:dyDescent="0.3">
      <c r="E616" s="5" t="s">
        <v>935</v>
      </c>
      <c r="F616" s="5" t="s">
        <v>55</v>
      </c>
      <c r="G616" s="5" t="s">
        <v>272</v>
      </c>
      <c r="H616" s="5" t="s">
        <v>957</v>
      </c>
    </row>
    <row r="617" spans="5:8" x14ac:dyDescent="0.3">
      <c r="E617" s="5" t="s">
        <v>935</v>
      </c>
      <c r="F617" s="5" t="s">
        <v>55</v>
      </c>
      <c r="G617" s="5" t="s">
        <v>274</v>
      </c>
      <c r="H617" s="5" t="s">
        <v>958</v>
      </c>
    </row>
    <row r="618" spans="5:8" x14ac:dyDescent="0.3">
      <c r="E618" s="5" t="s">
        <v>935</v>
      </c>
      <c r="F618" s="5" t="s">
        <v>55</v>
      </c>
      <c r="G618" s="5" t="s">
        <v>276</v>
      </c>
      <c r="H618" s="5" t="s">
        <v>959</v>
      </c>
    </row>
    <row r="619" spans="5:8" x14ac:dyDescent="0.3">
      <c r="E619" s="5" t="s">
        <v>935</v>
      </c>
      <c r="F619" s="5" t="s">
        <v>55</v>
      </c>
      <c r="G619" s="5" t="s">
        <v>278</v>
      </c>
      <c r="H619" s="5" t="s">
        <v>960</v>
      </c>
    </row>
    <row r="620" spans="5:8" x14ac:dyDescent="0.3">
      <c r="E620" s="5" t="s">
        <v>935</v>
      </c>
      <c r="F620" s="5" t="s">
        <v>55</v>
      </c>
      <c r="G620" s="5" t="s">
        <v>280</v>
      </c>
      <c r="H620" s="5" t="s">
        <v>249</v>
      </c>
    </row>
    <row r="621" spans="5:8" x14ac:dyDescent="0.3">
      <c r="E621" s="5" t="s">
        <v>935</v>
      </c>
      <c r="F621" s="5" t="s">
        <v>55</v>
      </c>
      <c r="G621" s="5" t="s">
        <v>282</v>
      </c>
      <c r="H621" s="5" t="s">
        <v>961</v>
      </c>
    </row>
    <row r="622" spans="5:8" x14ac:dyDescent="0.3">
      <c r="E622" s="5" t="s">
        <v>935</v>
      </c>
      <c r="F622" s="5" t="s">
        <v>55</v>
      </c>
      <c r="G622" s="5" t="s">
        <v>284</v>
      </c>
      <c r="H622" s="5" t="s">
        <v>253</v>
      </c>
    </row>
    <row r="623" spans="5:8" x14ac:dyDescent="0.3">
      <c r="E623" s="5" t="s">
        <v>935</v>
      </c>
      <c r="F623" s="5" t="s">
        <v>55</v>
      </c>
      <c r="G623" s="5" t="s">
        <v>286</v>
      </c>
      <c r="H623" s="5" t="s">
        <v>255</v>
      </c>
    </row>
    <row r="624" spans="5:8" x14ac:dyDescent="0.3">
      <c r="E624" s="5" t="s">
        <v>935</v>
      </c>
      <c r="F624" s="5" t="s">
        <v>55</v>
      </c>
      <c r="G624" s="5" t="s">
        <v>288</v>
      </c>
      <c r="H624" s="5" t="s">
        <v>962</v>
      </c>
    </row>
    <row r="625" spans="5:8" x14ac:dyDescent="0.3">
      <c r="E625" s="5" t="s">
        <v>935</v>
      </c>
      <c r="F625" s="5" t="s">
        <v>55</v>
      </c>
      <c r="G625" s="5" t="s">
        <v>290</v>
      </c>
      <c r="H625" s="5" t="s">
        <v>701</v>
      </c>
    </row>
    <row r="626" spans="5:8" x14ac:dyDescent="0.3">
      <c r="E626" s="5" t="s">
        <v>935</v>
      </c>
      <c r="F626" s="5" t="s">
        <v>55</v>
      </c>
      <c r="G626" s="5" t="s">
        <v>292</v>
      </c>
      <c r="H626" s="5" t="s">
        <v>963</v>
      </c>
    </row>
    <row r="627" spans="5:8" x14ac:dyDescent="0.3">
      <c r="E627" s="5" t="s">
        <v>935</v>
      </c>
      <c r="F627" s="5" t="s">
        <v>55</v>
      </c>
      <c r="G627" s="5" t="s">
        <v>416</v>
      </c>
      <c r="H627" s="5" t="s">
        <v>259</v>
      </c>
    </row>
    <row r="628" spans="5:8" x14ac:dyDescent="0.3">
      <c r="E628" s="5" t="s">
        <v>935</v>
      </c>
      <c r="F628" s="5" t="s">
        <v>55</v>
      </c>
      <c r="G628" s="5" t="s">
        <v>418</v>
      </c>
      <c r="H628" s="5" t="s">
        <v>261</v>
      </c>
    </row>
    <row r="629" spans="5:8" x14ac:dyDescent="0.3">
      <c r="E629" s="5" t="s">
        <v>935</v>
      </c>
      <c r="F629" s="5" t="s">
        <v>55</v>
      </c>
      <c r="G629" s="5" t="s">
        <v>420</v>
      </c>
      <c r="H629" s="5" t="s">
        <v>964</v>
      </c>
    </row>
    <row r="630" spans="5:8" x14ac:dyDescent="0.3">
      <c r="E630" s="5" t="s">
        <v>935</v>
      </c>
      <c r="F630" s="5" t="s">
        <v>55</v>
      </c>
      <c r="G630" s="5" t="s">
        <v>422</v>
      </c>
      <c r="H630" s="5" t="s">
        <v>965</v>
      </c>
    </row>
    <row r="631" spans="5:8" x14ac:dyDescent="0.3">
      <c r="E631" s="5" t="s">
        <v>935</v>
      </c>
      <c r="F631" s="5" t="s">
        <v>55</v>
      </c>
      <c r="G631" s="5" t="s">
        <v>424</v>
      </c>
      <c r="H631" s="5" t="s">
        <v>592</v>
      </c>
    </row>
    <row r="632" spans="5:8" x14ac:dyDescent="0.3">
      <c r="E632" s="5" t="s">
        <v>935</v>
      </c>
      <c r="F632" s="5" t="s">
        <v>55</v>
      </c>
      <c r="G632" s="5" t="s">
        <v>425</v>
      </c>
      <c r="H632" s="5" t="s">
        <v>966</v>
      </c>
    </row>
    <row r="633" spans="5:8" x14ac:dyDescent="0.3">
      <c r="E633" s="5" t="s">
        <v>935</v>
      </c>
      <c r="F633" s="5" t="s">
        <v>55</v>
      </c>
      <c r="G633" s="5" t="s">
        <v>427</v>
      </c>
      <c r="H633" s="5" t="s">
        <v>967</v>
      </c>
    </row>
    <row r="634" spans="5:8" x14ac:dyDescent="0.3">
      <c r="E634" s="5" t="s">
        <v>935</v>
      </c>
      <c r="F634" s="5" t="s">
        <v>55</v>
      </c>
      <c r="G634" s="5" t="s">
        <v>429</v>
      </c>
      <c r="H634" s="5" t="s">
        <v>968</v>
      </c>
    </row>
    <row r="635" spans="5:8" x14ac:dyDescent="0.3">
      <c r="E635" s="5" t="s">
        <v>935</v>
      </c>
      <c r="F635" s="5" t="s">
        <v>55</v>
      </c>
      <c r="G635" s="5" t="s">
        <v>664</v>
      </c>
      <c r="H635" s="5" t="s">
        <v>969</v>
      </c>
    </row>
    <row r="636" spans="5:8" x14ac:dyDescent="0.3">
      <c r="E636" s="5" t="s">
        <v>935</v>
      </c>
      <c r="F636" s="5" t="s">
        <v>55</v>
      </c>
      <c r="G636" s="5" t="s">
        <v>665</v>
      </c>
      <c r="H636" s="5" t="s">
        <v>406</v>
      </c>
    </row>
    <row r="637" spans="5:8" x14ac:dyDescent="0.3">
      <c r="E637" s="5" t="s">
        <v>935</v>
      </c>
      <c r="F637" s="5" t="s">
        <v>55</v>
      </c>
      <c r="G637" s="5" t="s">
        <v>666</v>
      </c>
      <c r="H637" s="5" t="s">
        <v>970</v>
      </c>
    </row>
    <row r="638" spans="5:8" x14ac:dyDescent="0.3">
      <c r="E638" s="5" t="s">
        <v>935</v>
      </c>
      <c r="F638" s="5" t="s">
        <v>55</v>
      </c>
      <c r="G638" s="5" t="s">
        <v>668</v>
      </c>
      <c r="H638" s="5" t="s">
        <v>971</v>
      </c>
    </row>
    <row r="639" spans="5:8" x14ac:dyDescent="0.3">
      <c r="E639" s="5" t="s">
        <v>935</v>
      </c>
      <c r="F639" s="5" t="s">
        <v>55</v>
      </c>
      <c r="G639" s="5" t="s">
        <v>669</v>
      </c>
      <c r="H639" s="5" t="s">
        <v>972</v>
      </c>
    </row>
    <row r="640" spans="5:8" x14ac:dyDescent="0.3">
      <c r="E640" s="5" t="s">
        <v>935</v>
      </c>
      <c r="F640" s="5" t="s">
        <v>55</v>
      </c>
      <c r="G640" s="5" t="s">
        <v>671</v>
      </c>
      <c r="H640" s="5" t="s">
        <v>973</v>
      </c>
    </row>
    <row r="641" spans="5:8" x14ac:dyDescent="0.3">
      <c r="E641" s="5" t="s">
        <v>935</v>
      </c>
      <c r="F641" s="5" t="s">
        <v>55</v>
      </c>
      <c r="G641" s="5" t="s">
        <v>673</v>
      </c>
      <c r="H641" s="5" t="s">
        <v>412</v>
      </c>
    </row>
    <row r="642" spans="5:8" x14ac:dyDescent="0.3">
      <c r="E642" s="5" t="s">
        <v>935</v>
      </c>
      <c r="F642" s="5" t="s">
        <v>55</v>
      </c>
      <c r="G642" s="5" t="s">
        <v>674</v>
      </c>
      <c r="H642" s="5" t="s">
        <v>277</v>
      </c>
    </row>
    <row r="643" spans="5:8" x14ac:dyDescent="0.3">
      <c r="E643" s="5" t="s">
        <v>935</v>
      </c>
      <c r="F643" s="5" t="s">
        <v>55</v>
      </c>
      <c r="G643" s="5" t="s">
        <v>676</v>
      </c>
      <c r="H643" s="5" t="s">
        <v>974</v>
      </c>
    </row>
    <row r="644" spans="5:8" x14ac:dyDescent="0.3">
      <c r="E644" s="5" t="s">
        <v>935</v>
      </c>
      <c r="F644" s="5" t="s">
        <v>55</v>
      </c>
      <c r="G644" s="5" t="s">
        <v>677</v>
      </c>
      <c r="H644" s="5" t="s">
        <v>975</v>
      </c>
    </row>
    <row r="645" spans="5:8" x14ac:dyDescent="0.3">
      <c r="E645" s="5" t="s">
        <v>935</v>
      </c>
      <c r="F645" s="5" t="s">
        <v>55</v>
      </c>
      <c r="G645" s="5" t="s">
        <v>679</v>
      </c>
      <c r="H645" s="5" t="s">
        <v>976</v>
      </c>
    </row>
    <row r="646" spans="5:8" x14ac:dyDescent="0.3">
      <c r="E646" s="5" t="s">
        <v>935</v>
      </c>
      <c r="F646" s="5" t="s">
        <v>55</v>
      </c>
      <c r="G646" s="5" t="s">
        <v>680</v>
      </c>
      <c r="H646" s="5" t="s">
        <v>603</v>
      </c>
    </row>
    <row r="647" spans="5:8" x14ac:dyDescent="0.3">
      <c r="E647" s="5" t="s">
        <v>935</v>
      </c>
      <c r="F647" s="5" t="s">
        <v>55</v>
      </c>
      <c r="G647" s="5" t="s">
        <v>682</v>
      </c>
      <c r="H647" s="5" t="s">
        <v>421</v>
      </c>
    </row>
    <row r="648" spans="5:8" x14ac:dyDescent="0.3">
      <c r="E648" s="5" t="s">
        <v>935</v>
      </c>
      <c r="F648" s="5" t="s">
        <v>55</v>
      </c>
      <c r="G648" s="5" t="s">
        <v>684</v>
      </c>
      <c r="H648" s="5" t="s">
        <v>423</v>
      </c>
    </row>
    <row r="649" spans="5:8" x14ac:dyDescent="0.3">
      <c r="E649" s="5" t="s">
        <v>935</v>
      </c>
      <c r="F649" s="5" t="s">
        <v>55</v>
      </c>
      <c r="G649" s="5" t="s">
        <v>685</v>
      </c>
      <c r="H649" s="5" t="s">
        <v>977</v>
      </c>
    </row>
    <row r="650" spans="5:8" x14ac:dyDescent="0.3">
      <c r="E650" s="5" t="s">
        <v>935</v>
      </c>
      <c r="F650" s="5" t="s">
        <v>55</v>
      </c>
      <c r="G650" s="5" t="s">
        <v>686</v>
      </c>
      <c r="H650" s="5" t="s">
        <v>779</v>
      </c>
    </row>
    <row r="651" spans="5:8" x14ac:dyDescent="0.3">
      <c r="E651" s="5" t="s">
        <v>935</v>
      </c>
      <c r="F651" s="5" t="s">
        <v>55</v>
      </c>
      <c r="G651" s="5" t="s">
        <v>687</v>
      </c>
      <c r="H651" s="5" t="s">
        <v>289</v>
      </c>
    </row>
    <row r="652" spans="5:8" x14ac:dyDescent="0.3">
      <c r="E652" s="5" t="s">
        <v>935</v>
      </c>
      <c r="F652" s="5" t="s">
        <v>55</v>
      </c>
      <c r="G652" s="5" t="s">
        <v>326</v>
      </c>
      <c r="H652" s="5" t="s">
        <v>782</v>
      </c>
    </row>
    <row r="653" spans="5:8" x14ac:dyDescent="0.3">
      <c r="E653" s="5" t="s">
        <v>935</v>
      </c>
      <c r="F653" s="5" t="s">
        <v>55</v>
      </c>
      <c r="G653" s="5" t="s">
        <v>689</v>
      </c>
      <c r="H653" s="5" t="s">
        <v>784</v>
      </c>
    </row>
    <row r="654" spans="5:8" x14ac:dyDescent="0.3">
      <c r="E654" s="5" t="s">
        <v>935</v>
      </c>
      <c r="F654" s="5" t="s">
        <v>55</v>
      </c>
      <c r="G654" s="5" t="s">
        <v>691</v>
      </c>
      <c r="H654" s="5" t="s">
        <v>890</v>
      </c>
    </row>
    <row r="655" spans="5:8" x14ac:dyDescent="0.3">
      <c r="E655" s="5" t="s">
        <v>935</v>
      </c>
      <c r="F655" s="5" t="s">
        <v>55</v>
      </c>
      <c r="G655" s="5" t="s">
        <v>693</v>
      </c>
      <c r="H655" s="5" t="s">
        <v>978</v>
      </c>
    </row>
    <row r="656" spans="5:8" x14ac:dyDescent="0.3">
      <c r="E656" s="5" t="s">
        <v>935</v>
      </c>
      <c r="F656" s="5" t="s">
        <v>55</v>
      </c>
      <c r="G656" s="5" t="s">
        <v>695</v>
      </c>
      <c r="H656" s="5" t="s">
        <v>979</v>
      </c>
    </row>
    <row r="657" spans="5:8" x14ac:dyDescent="0.3">
      <c r="E657" s="5" t="s">
        <v>935</v>
      </c>
      <c r="F657" s="5" t="s">
        <v>55</v>
      </c>
      <c r="G657" s="5" t="s">
        <v>330</v>
      </c>
      <c r="H657" s="5" t="s">
        <v>796</v>
      </c>
    </row>
    <row r="658" spans="5:8" x14ac:dyDescent="0.3">
      <c r="E658" s="5" t="s">
        <v>935</v>
      </c>
      <c r="F658" s="5" t="s">
        <v>55</v>
      </c>
      <c r="G658" s="5" t="s">
        <v>696</v>
      </c>
      <c r="H658" s="5" t="s">
        <v>980</v>
      </c>
    </row>
    <row r="659" spans="5:8" x14ac:dyDescent="0.3">
      <c r="E659" s="5" t="s">
        <v>803</v>
      </c>
      <c r="F659" s="5" t="s">
        <v>49</v>
      </c>
      <c r="G659" s="5" t="s">
        <v>160</v>
      </c>
      <c r="H659" s="5" t="s">
        <v>804</v>
      </c>
    </row>
    <row r="660" spans="5:8" x14ac:dyDescent="0.3">
      <c r="E660" s="5" t="s">
        <v>803</v>
      </c>
      <c r="F660" s="5" t="s">
        <v>49</v>
      </c>
      <c r="G660" s="5" t="s">
        <v>162</v>
      </c>
      <c r="H660" s="5" t="s">
        <v>487</v>
      </c>
    </row>
    <row r="661" spans="5:8" x14ac:dyDescent="0.3">
      <c r="E661" s="5" t="s">
        <v>803</v>
      </c>
      <c r="F661" s="5" t="s">
        <v>49</v>
      </c>
      <c r="G661" s="5" t="s">
        <v>164</v>
      </c>
      <c r="H661" s="5" t="s">
        <v>805</v>
      </c>
    </row>
    <row r="662" spans="5:8" x14ac:dyDescent="0.3">
      <c r="E662" s="5" t="s">
        <v>803</v>
      </c>
      <c r="F662" s="5" t="s">
        <v>49</v>
      </c>
      <c r="G662" s="5" t="s">
        <v>166</v>
      </c>
      <c r="H662" s="5" t="s">
        <v>806</v>
      </c>
    </row>
    <row r="663" spans="5:8" x14ac:dyDescent="0.3">
      <c r="E663" s="5" t="s">
        <v>803</v>
      </c>
      <c r="F663" s="5" t="s">
        <v>49</v>
      </c>
      <c r="G663" s="5" t="s">
        <v>168</v>
      </c>
      <c r="H663" s="5" t="s">
        <v>807</v>
      </c>
    </row>
    <row r="664" spans="5:8" x14ac:dyDescent="0.3">
      <c r="E664" s="5" t="s">
        <v>803</v>
      </c>
      <c r="F664" s="5" t="s">
        <v>49</v>
      </c>
      <c r="G664" s="5" t="s">
        <v>170</v>
      </c>
      <c r="H664" s="5" t="s">
        <v>808</v>
      </c>
    </row>
    <row r="665" spans="5:8" x14ac:dyDescent="0.3">
      <c r="E665" s="5" t="s">
        <v>803</v>
      </c>
      <c r="F665" s="5" t="s">
        <v>49</v>
      </c>
      <c r="G665" s="5" t="s">
        <v>172</v>
      </c>
      <c r="H665" s="5" t="s">
        <v>809</v>
      </c>
    </row>
    <row r="666" spans="5:8" x14ac:dyDescent="0.3">
      <c r="E666" s="5" t="s">
        <v>803</v>
      </c>
      <c r="F666" s="5" t="s">
        <v>49</v>
      </c>
      <c r="G666" s="5" t="s">
        <v>174</v>
      </c>
      <c r="H666" s="5" t="s">
        <v>810</v>
      </c>
    </row>
    <row r="667" spans="5:8" x14ac:dyDescent="0.3">
      <c r="E667" s="5" t="s">
        <v>803</v>
      </c>
      <c r="F667" s="5" t="s">
        <v>49</v>
      </c>
      <c r="G667" s="5" t="s">
        <v>176</v>
      </c>
      <c r="H667" s="5" t="s">
        <v>811</v>
      </c>
    </row>
    <row r="668" spans="5:8" x14ac:dyDescent="0.3">
      <c r="E668" s="5" t="s">
        <v>803</v>
      </c>
      <c r="F668" s="5" t="s">
        <v>49</v>
      </c>
      <c r="G668" s="5" t="s">
        <v>178</v>
      </c>
      <c r="H668" s="5" t="s">
        <v>812</v>
      </c>
    </row>
    <row r="669" spans="5:8" x14ac:dyDescent="0.3">
      <c r="E669" s="5" t="s">
        <v>803</v>
      </c>
      <c r="F669" s="5" t="s">
        <v>49</v>
      </c>
      <c r="G669" s="5" t="s">
        <v>180</v>
      </c>
      <c r="H669" s="5" t="s">
        <v>813</v>
      </c>
    </row>
    <row r="670" spans="5:8" x14ac:dyDescent="0.3">
      <c r="E670" s="5" t="s">
        <v>803</v>
      </c>
      <c r="F670" s="5" t="s">
        <v>49</v>
      </c>
      <c r="G670" s="5" t="s">
        <v>182</v>
      </c>
      <c r="H670" s="5" t="s">
        <v>434</v>
      </c>
    </row>
    <row r="671" spans="5:8" x14ac:dyDescent="0.3">
      <c r="E671" s="5" t="s">
        <v>803</v>
      </c>
      <c r="F671" s="5" t="s">
        <v>49</v>
      </c>
      <c r="G671" s="5" t="s">
        <v>184</v>
      </c>
      <c r="H671" s="5" t="s">
        <v>814</v>
      </c>
    </row>
    <row r="672" spans="5:8" x14ac:dyDescent="0.3">
      <c r="E672" s="5" t="s">
        <v>803</v>
      </c>
      <c r="F672" s="5" t="s">
        <v>49</v>
      </c>
      <c r="G672" s="5" t="s">
        <v>186</v>
      </c>
      <c r="H672" s="5" t="s">
        <v>815</v>
      </c>
    </row>
    <row r="673" spans="5:8" x14ac:dyDescent="0.3">
      <c r="E673" s="5" t="s">
        <v>803</v>
      </c>
      <c r="F673" s="5" t="s">
        <v>49</v>
      </c>
      <c r="G673" s="5" t="s">
        <v>188</v>
      </c>
      <c r="H673" s="5" t="s">
        <v>816</v>
      </c>
    </row>
    <row r="674" spans="5:8" x14ac:dyDescent="0.3">
      <c r="E674" s="5" t="s">
        <v>803</v>
      </c>
      <c r="F674" s="5" t="s">
        <v>49</v>
      </c>
      <c r="G674" s="5" t="s">
        <v>190</v>
      </c>
      <c r="H674" s="5" t="s">
        <v>817</v>
      </c>
    </row>
    <row r="675" spans="5:8" x14ac:dyDescent="0.3">
      <c r="E675" s="5" t="s">
        <v>803</v>
      </c>
      <c r="F675" s="5" t="s">
        <v>49</v>
      </c>
      <c r="G675" s="5" t="s">
        <v>192</v>
      </c>
      <c r="H675" s="5" t="s">
        <v>374</v>
      </c>
    </row>
    <row r="676" spans="5:8" x14ac:dyDescent="0.3">
      <c r="E676" s="5" t="s">
        <v>803</v>
      </c>
      <c r="F676" s="5" t="s">
        <v>49</v>
      </c>
      <c r="G676" s="5" t="s">
        <v>194</v>
      </c>
      <c r="H676" s="5" t="s">
        <v>818</v>
      </c>
    </row>
    <row r="677" spans="5:8" x14ac:dyDescent="0.3">
      <c r="E677" s="5" t="s">
        <v>803</v>
      </c>
      <c r="F677" s="5" t="s">
        <v>49</v>
      </c>
      <c r="G677" s="5" t="s">
        <v>196</v>
      </c>
      <c r="H677" s="5" t="s">
        <v>502</v>
      </c>
    </row>
    <row r="678" spans="5:8" x14ac:dyDescent="0.3">
      <c r="E678" s="5" t="s">
        <v>803</v>
      </c>
      <c r="F678" s="5" t="s">
        <v>49</v>
      </c>
      <c r="G678" s="5" t="s">
        <v>198</v>
      </c>
      <c r="H678" s="5" t="s">
        <v>211</v>
      </c>
    </row>
    <row r="679" spans="5:8" x14ac:dyDescent="0.3">
      <c r="E679" s="5" t="s">
        <v>803</v>
      </c>
      <c r="F679" s="5" t="s">
        <v>49</v>
      </c>
      <c r="G679" s="5" t="s">
        <v>200</v>
      </c>
      <c r="H679" s="5" t="s">
        <v>219</v>
      </c>
    </row>
    <row r="680" spans="5:8" x14ac:dyDescent="0.3">
      <c r="E680" s="5" t="s">
        <v>803</v>
      </c>
      <c r="F680" s="5" t="s">
        <v>49</v>
      </c>
      <c r="G680" s="5" t="s">
        <v>202</v>
      </c>
      <c r="H680" s="5" t="s">
        <v>510</v>
      </c>
    </row>
    <row r="681" spans="5:8" x14ac:dyDescent="0.3">
      <c r="E681" s="5" t="s">
        <v>803</v>
      </c>
      <c r="F681" s="5" t="s">
        <v>49</v>
      </c>
      <c r="G681" s="5" t="s">
        <v>204</v>
      </c>
      <c r="H681" s="5" t="s">
        <v>819</v>
      </c>
    </row>
    <row r="682" spans="5:8" x14ac:dyDescent="0.3">
      <c r="E682" s="5" t="s">
        <v>803</v>
      </c>
      <c r="F682" s="5" t="s">
        <v>49</v>
      </c>
      <c r="G682" s="5" t="s">
        <v>206</v>
      </c>
      <c r="H682" s="5" t="s">
        <v>820</v>
      </c>
    </row>
    <row r="683" spans="5:8" x14ac:dyDescent="0.3">
      <c r="E683" s="5" t="s">
        <v>803</v>
      </c>
      <c r="F683" s="5" t="s">
        <v>49</v>
      </c>
      <c r="G683" s="5" t="s">
        <v>208</v>
      </c>
      <c r="H683" s="5" t="s">
        <v>821</v>
      </c>
    </row>
    <row r="684" spans="5:8" x14ac:dyDescent="0.3">
      <c r="E684" s="5" t="s">
        <v>803</v>
      </c>
      <c r="F684" s="5" t="s">
        <v>49</v>
      </c>
      <c r="G684" s="5" t="s">
        <v>210</v>
      </c>
      <c r="H684" s="5" t="s">
        <v>233</v>
      </c>
    </row>
    <row r="685" spans="5:8" x14ac:dyDescent="0.3">
      <c r="E685" s="5" t="s">
        <v>803</v>
      </c>
      <c r="F685" s="5" t="s">
        <v>49</v>
      </c>
      <c r="G685" s="5" t="s">
        <v>212</v>
      </c>
      <c r="H685" s="5" t="s">
        <v>822</v>
      </c>
    </row>
    <row r="686" spans="5:8" x14ac:dyDescent="0.3">
      <c r="E686" s="5" t="s">
        <v>803</v>
      </c>
      <c r="F686" s="5" t="s">
        <v>49</v>
      </c>
      <c r="G686" s="5" t="s">
        <v>214</v>
      </c>
      <c r="H686" s="5" t="s">
        <v>823</v>
      </c>
    </row>
    <row r="687" spans="5:8" x14ac:dyDescent="0.3">
      <c r="E687" s="5" t="s">
        <v>803</v>
      </c>
      <c r="F687" s="5" t="s">
        <v>49</v>
      </c>
      <c r="G687" s="5" t="s">
        <v>216</v>
      </c>
      <c r="H687" s="5" t="s">
        <v>824</v>
      </c>
    </row>
    <row r="688" spans="5:8" x14ac:dyDescent="0.3">
      <c r="E688" s="5" t="s">
        <v>803</v>
      </c>
      <c r="F688" s="5" t="s">
        <v>49</v>
      </c>
      <c r="G688" s="5" t="s">
        <v>218</v>
      </c>
      <c r="H688" s="5" t="s">
        <v>825</v>
      </c>
    </row>
    <row r="689" spans="5:8" x14ac:dyDescent="0.3">
      <c r="E689" s="5" t="s">
        <v>803</v>
      </c>
      <c r="F689" s="5" t="s">
        <v>49</v>
      </c>
      <c r="G689" s="5" t="s">
        <v>220</v>
      </c>
      <c r="H689" s="5" t="s">
        <v>826</v>
      </c>
    </row>
    <row r="690" spans="5:8" x14ac:dyDescent="0.3">
      <c r="E690" s="5" t="s">
        <v>803</v>
      </c>
      <c r="F690" s="5" t="s">
        <v>49</v>
      </c>
      <c r="G690" s="5" t="s">
        <v>222</v>
      </c>
      <c r="H690" s="5" t="s">
        <v>395</v>
      </c>
    </row>
    <row r="691" spans="5:8" x14ac:dyDescent="0.3">
      <c r="E691" s="5" t="s">
        <v>803</v>
      </c>
      <c r="F691" s="5" t="s">
        <v>49</v>
      </c>
      <c r="G691" s="5" t="s">
        <v>224</v>
      </c>
      <c r="H691" s="5" t="s">
        <v>249</v>
      </c>
    </row>
    <row r="692" spans="5:8" x14ac:dyDescent="0.3">
      <c r="E692" s="5" t="s">
        <v>803</v>
      </c>
      <c r="F692" s="5" t="s">
        <v>49</v>
      </c>
      <c r="G692" s="5" t="s">
        <v>226</v>
      </c>
      <c r="H692" s="5" t="s">
        <v>827</v>
      </c>
    </row>
    <row r="693" spans="5:8" x14ac:dyDescent="0.3">
      <c r="E693" s="5" t="s">
        <v>803</v>
      </c>
      <c r="F693" s="5" t="s">
        <v>49</v>
      </c>
      <c r="G693" s="5" t="s">
        <v>228</v>
      </c>
      <c r="H693" s="5" t="s">
        <v>828</v>
      </c>
    </row>
    <row r="694" spans="5:8" x14ac:dyDescent="0.3">
      <c r="E694" s="5" t="s">
        <v>803</v>
      </c>
      <c r="F694" s="5" t="s">
        <v>49</v>
      </c>
      <c r="G694" s="5" t="s">
        <v>230</v>
      </c>
      <c r="H694" s="5" t="s">
        <v>829</v>
      </c>
    </row>
    <row r="695" spans="5:8" x14ac:dyDescent="0.3">
      <c r="E695" s="5" t="s">
        <v>803</v>
      </c>
      <c r="F695" s="5" t="s">
        <v>49</v>
      </c>
      <c r="G695" s="5" t="s">
        <v>232</v>
      </c>
      <c r="H695" s="5" t="s">
        <v>830</v>
      </c>
    </row>
    <row r="696" spans="5:8" x14ac:dyDescent="0.3">
      <c r="E696" s="5" t="s">
        <v>803</v>
      </c>
      <c r="F696" s="5" t="s">
        <v>49</v>
      </c>
      <c r="G696" s="5" t="s">
        <v>234</v>
      </c>
      <c r="H696" s="5" t="s">
        <v>831</v>
      </c>
    </row>
    <row r="697" spans="5:8" x14ac:dyDescent="0.3">
      <c r="E697" s="5" t="s">
        <v>803</v>
      </c>
      <c r="F697" s="5" t="s">
        <v>49</v>
      </c>
      <c r="G697" s="5" t="s">
        <v>236</v>
      </c>
      <c r="H697" s="5" t="s">
        <v>832</v>
      </c>
    </row>
    <row r="698" spans="5:8" x14ac:dyDescent="0.3">
      <c r="E698" s="5" t="s">
        <v>803</v>
      </c>
      <c r="F698" s="5" t="s">
        <v>49</v>
      </c>
      <c r="G698" s="5" t="s">
        <v>238</v>
      </c>
      <c r="H698" s="5" t="s">
        <v>833</v>
      </c>
    </row>
    <row r="699" spans="5:8" x14ac:dyDescent="0.3">
      <c r="E699" s="5" t="s">
        <v>803</v>
      </c>
      <c r="F699" s="5" t="s">
        <v>49</v>
      </c>
      <c r="G699" s="5" t="s">
        <v>240</v>
      </c>
      <c r="H699" s="5" t="s">
        <v>834</v>
      </c>
    </row>
    <row r="700" spans="5:8" x14ac:dyDescent="0.3">
      <c r="E700" s="5" t="s">
        <v>803</v>
      </c>
      <c r="F700" s="5" t="s">
        <v>49</v>
      </c>
      <c r="G700" s="5" t="s">
        <v>242</v>
      </c>
      <c r="H700" s="5" t="s">
        <v>835</v>
      </c>
    </row>
    <row r="701" spans="5:8" x14ac:dyDescent="0.3">
      <c r="E701" s="5" t="s">
        <v>803</v>
      </c>
      <c r="F701" s="5" t="s">
        <v>49</v>
      </c>
      <c r="G701" s="5" t="s">
        <v>244</v>
      </c>
      <c r="H701" s="5" t="s">
        <v>836</v>
      </c>
    </row>
    <row r="702" spans="5:8" x14ac:dyDescent="0.3">
      <c r="E702" s="5" t="s">
        <v>803</v>
      </c>
      <c r="F702" s="5" t="s">
        <v>49</v>
      </c>
      <c r="G702" s="5" t="s">
        <v>246</v>
      </c>
      <c r="H702" s="5" t="s">
        <v>289</v>
      </c>
    </row>
    <row r="703" spans="5:8" x14ac:dyDescent="0.3">
      <c r="E703" s="5" t="s">
        <v>837</v>
      </c>
      <c r="F703" s="5" t="s">
        <v>51</v>
      </c>
      <c r="G703" s="5" t="s">
        <v>160</v>
      </c>
      <c r="H703" s="5" t="s">
        <v>487</v>
      </c>
    </row>
    <row r="704" spans="5:8" x14ac:dyDescent="0.3">
      <c r="E704" s="5" t="s">
        <v>837</v>
      </c>
      <c r="F704" s="5" t="s">
        <v>51</v>
      </c>
      <c r="G704" s="5" t="s">
        <v>162</v>
      </c>
      <c r="H704" s="5" t="s">
        <v>838</v>
      </c>
    </row>
    <row r="705" spans="5:8" x14ac:dyDescent="0.3">
      <c r="E705" s="5" t="s">
        <v>837</v>
      </c>
      <c r="F705" s="5" t="s">
        <v>51</v>
      </c>
      <c r="G705" s="5" t="s">
        <v>164</v>
      </c>
      <c r="H705" s="5" t="s">
        <v>839</v>
      </c>
    </row>
    <row r="706" spans="5:8" x14ac:dyDescent="0.3">
      <c r="E706" s="5" t="s">
        <v>837</v>
      </c>
      <c r="F706" s="5" t="s">
        <v>51</v>
      </c>
      <c r="G706" s="5" t="s">
        <v>166</v>
      </c>
      <c r="H706" s="5" t="s">
        <v>370</v>
      </c>
    </row>
    <row r="707" spans="5:8" x14ac:dyDescent="0.3">
      <c r="E707" s="5" t="s">
        <v>837</v>
      </c>
      <c r="F707" s="5" t="s">
        <v>51</v>
      </c>
      <c r="G707" s="5" t="s">
        <v>168</v>
      </c>
      <c r="H707" s="5" t="s">
        <v>840</v>
      </c>
    </row>
    <row r="708" spans="5:8" x14ac:dyDescent="0.3">
      <c r="E708" s="5" t="s">
        <v>837</v>
      </c>
      <c r="F708" s="5" t="s">
        <v>51</v>
      </c>
      <c r="G708" s="5" t="s">
        <v>170</v>
      </c>
      <c r="H708" s="5" t="s">
        <v>841</v>
      </c>
    </row>
    <row r="709" spans="5:8" x14ac:dyDescent="0.3">
      <c r="E709" s="5" t="s">
        <v>837</v>
      </c>
      <c r="F709" s="5" t="s">
        <v>51</v>
      </c>
      <c r="G709" s="5" t="s">
        <v>172</v>
      </c>
      <c r="H709" s="5" t="s">
        <v>175</v>
      </c>
    </row>
    <row r="710" spans="5:8" x14ac:dyDescent="0.3">
      <c r="E710" s="5" t="s">
        <v>837</v>
      </c>
      <c r="F710" s="5" t="s">
        <v>51</v>
      </c>
      <c r="G710" s="5" t="s">
        <v>174</v>
      </c>
      <c r="H710" s="5" t="s">
        <v>372</v>
      </c>
    </row>
    <row r="711" spans="5:8" x14ac:dyDescent="0.3">
      <c r="E711" s="5" t="s">
        <v>837</v>
      </c>
      <c r="F711" s="5" t="s">
        <v>51</v>
      </c>
      <c r="G711" s="5" t="s">
        <v>176</v>
      </c>
      <c r="H711" s="5" t="s">
        <v>842</v>
      </c>
    </row>
    <row r="712" spans="5:8" x14ac:dyDescent="0.3">
      <c r="E712" s="5" t="s">
        <v>837</v>
      </c>
      <c r="F712" s="5" t="s">
        <v>51</v>
      </c>
      <c r="G712" s="5" t="s">
        <v>178</v>
      </c>
      <c r="H712" s="5" t="s">
        <v>843</v>
      </c>
    </row>
    <row r="713" spans="5:8" x14ac:dyDescent="0.3">
      <c r="E713" s="5" t="s">
        <v>837</v>
      </c>
      <c r="F713" s="5" t="s">
        <v>51</v>
      </c>
      <c r="G713" s="5" t="s">
        <v>180</v>
      </c>
      <c r="H713" s="5" t="s">
        <v>844</v>
      </c>
    </row>
    <row r="714" spans="5:8" x14ac:dyDescent="0.3">
      <c r="E714" s="5" t="s">
        <v>837</v>
      </c>
      <c r="F714" s="5" t="s">
        <v>51</v>
      </c>
      <c r="G714" s="5" t="s">
        <v>182</v>
      </c>
      <c r="H714" s="5" t="s">
        <v>374</v>
      </c>
    </row>
    <row r="715" spans="5:8" x14ac:dyDescent="0.3">
      <c r="E715" s="5" t="s">
        <v>837</v>
      </c>
      <c r="F715" s="5" t="s">
        <v>51</v>
      </c>
      <c r="G715" s="5" t="s">
        <v>184</v>
      </c>
      <c r="H715" s="5" t="s">
        <v>187</v>
      </c>
    </row>
    <row r="716" spans="5:8" x14ac:dyDescent="0.3">
      <c r="E716" s="5" t="s">
        <v>837</v>
      </c>
      <c r="F716" s="5" t="s">
        <v>51</v>
      </c>
      <c r="G716" s="5" t="s">
        <v>186</v>
      </c>
      <c r="H716" s="5" t="s">
        <v>845</v>
      </c>
    </row>
    <row r="717" spans="5:8" x14ac:dyDescent="0.3">
      <c r="E717" s="5" t="s">
        <v>837</v>
      </c>
      <c r="F717" s="5" t="s">
        <v>51</v>
      </c>
      <c r="G717" s="5" t="s">
        <v>188</v>
      </c>
      <c r="H717" s="5" t="s">
        <v>846</v>
      </c>
    </row>
    <row r="718" spans="5:8" x14ac:dyDescent="0.3">
      <c r="E718" s="5" t="s">
        <v>837</v>
      </c>
      <c r="F718" s="5" t="s">
        <v>51</v>
      </c>
      <c r="G718" s="5" t="s">
        <v>190</v>
      </c>
      <c r="H718" s="5" t="s">
        <v>634</v>
      </c>
    </row>
    <row r="719" spans="5:8" x14ac:dyDescent="0.3">
      <c r="E719" s="5" t="s">
        <v>837</v>
      </c>
      <c r="F719" s="5" t="s">
        <v>51</v>
      </c>
      <c r="G719" s="5" t="s">
        <v>192</v>
      </c>
      <c r="H719" s="5" t="s">
        <v>379</v>
      </c>
    </row>
    <row r="720" spans="5:8" x14ac:dyDescent="0.3">
      <c r="E720" s="5" t="s">
        <v>837</v>
      </c>
      <c r="F720" s="5" t="s">
        <v>51</v>
      </c>
      <c r="G720" s="5" t="s">
        <v>194</v>
      </c>
      <c r="H720" s="5" t="s">
        <v>847</v>
      </c>
    </row>
    <row r="721" spans="5:8" x14ac:dyDescent="0.3">
      <c r="E721" s="5" t="s">
        <v>837</v>
      </c>
      <c r="F721" s="5" t="s">
        <v>51</v>
      </c>
      <c r="G721" s="5" t="s">
        <v>198</v>
      </c>
      <c r="H721" s="5" t="s">
        <v>848</v>
      </c>
    </row>
    <row r="722" spans="5:8" x14ac:dyDescent="0.3">
      <c r="E722" s="5" t="s">
        <v>837</v>
      </c>
      <c r="F722" s="5" t="s">
        <v>51</v>
      </c>
      <c r="G722" s="5" t="s">
        <v>196</v>
      </c>
      <c r="H722" s="5" t="s">
        <v>209</v>
      </c>
    </row>
    <row r="723" spans="5:8" x14ac:dyDescent="0.3">
      <c r="E723" s="5" t="s">
        <v>837</v>
      </c>
      <c r="F723" s="5" t="s">
        <v>51</v>
      </c>
      <c r="G723" s="5" t="s">
        <v>200</v>
      </c>
      <c r="H723" s="5" t="s">
        <v>506</v>
      </c>
    </row>
    <row r="724" spans="5:8" x14ac:dyDescent="0.3">
      <c r="E724" s="5" t="s">
        <v>837</v>
      </c>
      <c r="F724" s="5" t="s">
        <v>51</v>
      </c>
      <c r="G724" s="5" t="s">
        <v>202</v>
      </c>
      <c r="H724" s="5" t="s">
        <v>849</v>
      </c>
    </row>
    <row r="725" spans="5:8" x14ac:dyDescent="0.3">
      <c r="E725" s="5" t="s">
        <v>837</v>
      </c>
      <c r="F725" s="5" t="s">
        <v>51</v>
      </c>
      <c r="G725" s="5" t="s">
        <v>204</v>
      </c>
      <c r="H725" s="5" t="s">
        <v>850</v>
      </c>
    </row>
    <row r="726" spans="5:8" x14ac:dyDescent="0.3">
      <c r="E726" s="5" t="s">
        <v>837</v>
      </c>
      <c r="F726" s="5" t="s">
        <v>51</v>
      </c>
      <c r="G726" s="5" t="s">
        <v>206</v>
      </c>
      <c r="H726" s="5" t="s">
        <v>851</v>
      </c>
    </row>
    <row r="727" spans="5:8" x14ac:dyDescent="0.3">
      <c r="E727" s="5" t="s">
        <v>837</v>
      </c>
      <c r="F727" s="5" t="s">
        <v>51</v>
      </c>
      <c r="G727" s="5" t="s">
        <v>208</v>
      </c>
      <c r="H727" s="5" t="s">
        <v>645</v>
      </c>
    </row>
    <row r="728" spans="5:8" x14ac:dyDescent="0.3">
      <c r="E728" s="5" t="s">
        <v>837</v>
      </c>
      <c r="F728" s="5" t="s">
        <v>51</v>
      </c>
      <c r="G728" s="5" t="s">
        <v>210</v>
      </c>
      <c r="H728" s="5" t="s">
        <v>217</v>
      </c>
    </row>
    <row r="729" spans="5:8" x14ac:dyDescent="0.3">
      <c r="E729" s="5" t="s">
        <v>837</v>
      </c>
      <c r="F729" s="5" t="s">
        <v>51</v>
      </c>
      <c r="G729" s="5" t="s">
        <v>212</v>
      </c>
      <c r="H729" s="5" t="s">
        <v>852</v>
      </c>
    </row>
    <row r="730" spans="5:8" x14ac:dyDescent="0.3">
      <c r="E730" s="5" t="s">
        <v>837</v>
      </c>
      <c r="F730" s="5" t="s">
        <v>51</v>
      </c>
      <c r="G730" s="5" t="s">
        <v>214</v>
      </c>
      <c r="H730" s="5" t="s">
        <v>219</v>
      </c>
    </row>
    <row r="731" spans="5:8" x14ac:dyDescent="0.3">
      <c r="E731" s="5" t="s">
        <v>837</v>
      </c>
      <c r="F731" s="5" t="s">
        <v>51</v>
      </c>
      <c r="G731" s="5" t="s">
        <v>216</v>
      </c>
      <c r="H731" s="5" t="s">
        <v>385</v>
      </c>
    </row>
    <row r="732" spans="5:8" x14ac:dyDescent="0.3">
      <c r="E732" s="5" t="s">
        <v>837</v>
      </c>
      <c r="F732" s="5" t="s">
        <v>51</v>
      </c>
      <c r="G732" s="5" t="s">
        <v>218</v>
      </c>
      <c r="H732" s="5" t="s">
        <v>853</v>
      </c>
    </row>
    <row r="733" spans="5:8" x14ac:dyDescent="0.3">
      <c r="E733" s="5" t="s">
        <v>837</v>
      </c>
      <c r="F733" s="5" t="s">
        <v>51</v>
      </c>
      <c r="G733" s="5" t="s">
        <v>220</v>
      </c>
      <c r="H733" s="5" t="s">
        <v>223</v>
      </c>
    </row>
    <row r="734" spans="5:8" x14ac:dyDescent="0.3">
      <c r="E734" s="5" t="s">
        <v>837</v>
      </c>
      <c r="F734" s="5" t="s">
        <v>51</v>
      </c>
      <c r="G734" s="5" t="s">
        <v>222</v>
      </c>
      <c r="H734" s="5" t="s">
        <v>854</v>
      </c>
    </row>
    <row r="735" spans="5:8" x14ac:dyDescent="0.3">
      <c r="E735" s="5" t="s">
        <v>837</v>
      </c>
      <c r="F735" s="5" t="s">
        <v>51</v>
      </c>
      <c r="G735" s="5" t="s">
        <v>224</v>
      </c>
      <c r="H735" s="5" t="s">
        <v>574</v>
      </c>
    </row>
    <row r="736" spans="5:8" x14ac:dyDescent="0.3">
      <c r="E736" s="5" t="s">
        <v>837</v>
      </c>
      <c r="F736" s="5" t="s">
        <v>51</v>
      </c>
      <c r="G736" s="5" t="s">
        <v>226</v>
      </c>
      <c r="H736" s="5" t="s">
        <v>659</v>
      </c>
    </row>
    <row r="737" spans="5:8" x14ac:dyDescent="0.3">
      <c r="E737" s="5" t="s">
        <v>837</v>
      </c>
      <c r="F737" s="5" t="s">
        <v>51</v>
      </c>
      <c r="G737" s="5" t="s">
        <v>228</v>
      </c>
      <c r="H737" s="5" t="s">
        <v>855</v>
      </c>
    </row>
    <row r="738" spans="5:8" x14ac:dyDescent="0.3">
      <c r="E738" s="5" t="s">
        <v>837</v>
      </c>
      <c r="F738" s="5" t="s">
        <v>51</v>
      </c>
      <c r="G738" s="5" t="s">
        <v>230</v>
      </c>
      <c r="H738" s="5" t="s">
        <v>856</v>
      </c>
    </row>
    <row r="739" spans="5:8" x14ac:dyDescent="0.3">
      <c r="E739" s="5" t="s">
        <v>837</v>
      </c>
      <c r="F739" s="5" t="s">
        <v>51</v>
      </c>
      <c r="G739" s="5" t="s">
        <v>232</v>
      </c>
      <c r="H739" s="5" t="s">
        <v>227</v>
      </c>
    </row>
    <row r="740" spans="5:8" x14ac:dyDescent="0.3">
      <c r="E740" s="5" t="s">
        <v>837</v>
      </c>
      <c r="F740" s="5" t="s">
        <v>51</v>
      </c>
      <c r="G740" s="5" t="s">
        <v>234</v>
      </c>
      <c r="H740" s="5" t="s">
        <v>857</v>
      </c>
    </row>
    <row r="741" spans="5:8" x14ac:dyDescent="0.3">
      <c r="E741" s="5" t="s">
        <v>837</v>
      </c>
      <c r="F741" s="5" t="s">
        <v>51</v>
      </c>
      <c r="G741" s="5" t="s">
        <v>236</v>
      </c>
      <c r="H741" s="5" t="s">
        <v>231</v>
      </c>
    </row>
    <row r="742" spans="5:8" x14ac:dyDescent="0.3">
      <c r="E742" s="5" t="s">
        <v>837</v>
      </c>
      <c r="F742" s="5" t="s">
        <v>51</v>
      </c>
      <c r="G742" s="5" t="s">
        <v>238</v>
      </c>
      <c r="H742" s="5" t="s">
        <v>670</v>
      </c>
    </row>
    <row r="743" spans="5:8" x14ac:dyDescent="0.3">
      <c r="E743" s="5" t="s">
        <v>837</v>
      </c>
      <c r="F743" s="5" t="s">
        <v>51</v>
      </c>
      <c r="G743" s="5" t="s">
        <v>240</v>
      </c>
      <c r="H743" s="5" t="s">
        <v>233</v>
      </c>
    </row>
    <row r="744" spans="5:8" x14ac:dyDescent="0.3">
      <c r="E744" s="5" t="s">
        <v>837</v>
      </c>
      <c r="F744" s="5" t="s">
        <v>51</v>
      </c>
      <c r="G744" s="5" t="s">
        <v>242</v>
      </c>
      <c r="H744" s="5" t="s">
        <v>858</v>
      </c>
    </row>
    <row r="745" spans="5:8" x14ac:dyDescent="0.3">
      <c r="E745" s="5" t="s">
        <v>837</v>
      </c>
      <c r="F745" s="5" t="s">
        <v>51</v>
      </c>
      <c r="G745" s="5" t="s">
        <v>244</v>
      </c>
      <c r="H745" s="5" t="s">
        <v>859</v>
      </c>
    </row>
    <row r="746" spans="5:8" x14ac:dyDescent="0.3">
      <c r="E746" s="5" t="s">
        <v>837</v>
      </c>
      <c r="F746" s="5" t="s">
        <v>51</v>
      </c>
      <c r="G746" s="5" t="s">
        <v>246</v>
      </c>
      <c r="H746" s="5" t="s">
        <v>393</v>
      </c>
    </row>
    <row r="747" spans="5:8" x14ac:dyDescent="0.3">
      <c r="E747" s="5" t="s">
        <v>837</v>
      </c>
      <c r="F747" s="5" t="s">
        <v>51</v>
      </c>
      <c r="G747" s="5" t="s">
        <v>248</v>
      </c>
      <c r="H747" s="5" t="s">
        <v>860</v>
      </c>
    </row>
    <row r="748" spans="5:8" x14ac:dyDescent="0.3">
      <c r="E748" s="5" t="s">
        <v>837</v>
      </c>
      <c r="F748" s="5" t="s">
        <v>51</v>
      </c>
      <c r="G748" s="5" t="s">
        <v>250</v>
      </c>
      <c r="H748" s="5" t="s">
        <v>861</v>
      </c>
    </row>
    <row r="749" spans="5:8" x14ac:dyDescent="0.3">
      <c r="E749" s="5" t="s">
        <v>837</v>
      </c>
      <c r="F749" s="5" t="s">
        <v>51</v>
      </c>
      <c r="G749" s="5" t="s">
        <v>252</v>
      </c>
      <c r="H749" s="5" t="s">
        <v>862</v>
      </c>
    </row>
    <row r="750" spans="5:8" x14ac:dyDescent="0.3">
      <c r="E750" s="5" t="s">
        <v>837</v>
      </c>
      <c r="F750" s="5" t="s">
        <v>51</v>
      </c>
      <c r="G750" s="5" t="s">
        <v>254</v>
      </c>
      <c r="H750" s="5" t="s">
        <v>863</v>
      </c>
    </row>
    <row r="751" spans="5:8" x14ac:dyDescent="0.3">
      <c r="E751" s="5" t="s">
        <v>837</v>
      </c>
      <c r="F751" s="5" t="s">
        <v>51</v>
      </c>
      <c r="G751" s="5" t="s">
        <v>256</v>
      </c>
      <c r="H751" s="5" t="s">
        <v>447</v>
      </c>
    </row>
    <row r="752" spans="5:8" x14ac:dyDescent="0.3">
      <c r="E752" s="5" t="s">
        <v>837</v>
      </c>
      <c r="F752" s="5" t="s">
        <v>51</v>
      </c>
      <c r="G752" s="5" t="s">
        <v>258</v>
      </c>
      <c r="H752" s="5" t="s">
        <v>864</v>
      </c>
    </row>
    <row r="753" spans="5:8" x14ac:dyDescent="0.3">
      <c r="E753" s="5" t="s">
        <v>837</v>
      </c>
      <c r="F753" s="5" t="s">
        <v>51</v>
      </c>
      <c r="G753" s="5" t="s">
        <v>260</v>
      </c>
      <c r="H753" s="5" t="s">
        <v>239</v>
      </c>
    </row>
    <row r="754" spans="5:8" x14ac:dyDescent="0.3">
      <c r="E754" s="5" t="s">
        <v>837</v>
      </c>
      <c r="F754" s="5" t="s">
        <v>51</v>
      </c>
      <c r="G754" s="5" t="s">
        <v>262</v>
      </c>
      <c r="H754" s="5" t="s">
        <v>241</v>
      </c>
    </row>
    <row r="755" spans="5:8" x14ac:dyDescent="0.3">
      <c r="E755" s="5" t="s">
        <v>837</v>
      </c>
      <c r="F755" s="5" t="s">
        <v>51</v>
      </c>
      <c r="G755" s="5" t="s">
        <v>264</v>
      </c>
      <c r="H755" s="5" t="s">
        <v>865</v>
      </c>
    </row>
    <row r="756" spans="5:8" x14ac:dyDescent="0.3">
      <c r="E756" s="5" t="s">
        <v>837</v>
      </c>
      <c r="F756" s="5" t="s">
        <v>51</v>
      </c>
      <c r="G756" s="5" t="s">
        <v>266</v>
      </c>
      <c r="H756" s="5" t="s">
        <v>397</v>
      </c>
    </row>
    <row r="757" spans="5:8" x14ac:dyDescent="0.3">
      <c r="E757" s="5" t="s">
        <v>837</v>
      </c>
      <c r="F757" s="5" t="s">
        <v>51</v>
      </c>
      <c r="G757" s="5" t="s">
        <v>274</v>
      </c>
      <c r="H757" s="5" t="s">
        <v>247</v>
      </c>
    </row>
    <row r="758" spans="5:8" x14ac:dyDescent="0.3">
      <c r="E758" s="5" t="s">
        <v>837</v>
      </c>
      <c r="F758" s="5" t="s">
        <v>51</v>
      </c>
      <c r="G758" s="5" t="s">
        <v>276</v>
      </c>
      <c r="H758" s="5" t="s">
        <v>869</v>
      </c>
    </row>
    <row r="759" spans="5:8" x14ac:dyDescent="0.3">
      <c r="E759" s="5" t="s">
        <v>837</v>
      </c>
      <c r="F759" s="5" t="s">
        <v>51</v>
      </c>
      <c r="G759" s="5" t="s">
        <v>278</v>
      </c>
      <c r="H759" s="5" t="s">
        <v>249</v>
      </c>
    </row>
    <row r="760" spans="5:8" x14ac:dyDescent="0.3">
      <c r="E760" s="5" t="s">
        <v>837</v>
      </c>
      <c r="F760" s="5" t="s">
        <v>51</v>
      </c>
      <c r="G760" s="5" t="s">
        <v>280</v>
      </c>
      <c r="H760" s="5" t="s">
        <v>253</v>
      </c>
    </row>
    <row r="761" spans="5:8" x14ac:dyDescent="0.3">
      <c r="E761" s="5" t="s">
        <v>837</v>
      </c>
      <c r="F761" s="5" t="s">
        <v>51</v>
      </c>
      <c r="G761" s="5" t="s">
        <v>282</v>
      </c>
      <c r="H761" s="5" t="s">
        <v>255</v>
      </c>
    </row>
    <row r="762" spans="5:8" x14ac:dyDescent="0.3">
      <c r="E762" s="5" t="s">
        <v>837</v>
      </c>
      <c r="F762" s="5" t="s">
        <v>51</v>
      </c>
      <c r="G762" s="5" t="s">
        <v>284</v>
      </c>
      <c r="H762" s="5" t="s">
        <v>870</v>
      </c>
    </row>
    <row r="763" spans="5:8" x14ac:dyDescent="0.3">
      <c r="E763" s="5" t="s">
        <v>837</v>
      </c>
      <c r="F763" s="5" t="s">
        <v>51</v>
      </c>
      <c r="G763" s="5" t="s">
        <v>286</v>
      </c>
      <c r="H763" s="5" t="s">
        <v>871</v>
      </c>
    </row>
    <row r="764" spans="5:8" x14ac:dyDescent="0.3">
      <c r="E764" s="5" t="s">
        <v>837</v>
      </c>
      <c r="F764" s="5" t="s">
        <v>51</v>
      </c>
      <c r="G764" s="5" t="s">
        <v>268</v>
      </c>
      <c r="H764" s="5" t="s">
        <v>866</v>
      </c>
    </row>
    <row r="765" spans="5:8" x14ac:dyDescent="0.3">
      <c r="E765" s="5" t="s">
        <v>837</v>
      </c>
      <c r="F765" s="5" t="s">
        <v>51</v>
      </c>
      <c r="G765" s="5" t="s">
        <v>270</v>
      </c>
      <c r="H765" s="5" t="s">
        <v>867</v>
      </c>
    </row>
    <row r="766" spans="5:8" x14ac:dyDescent="0.3">
      <c r="E766" s="5" t="s">
        <v>837</v>
      </c>
      <c r="F766" s="5" t="s">
        <v>51</v>
      </c>
      <c r="G766" s="5" t="s">
        <v>272</v>
      </c>
      <c r="H766" s="5" t="s">
        <v>868</v>
      </c>
    </row>
    <row r="767" spans="5:8" x14ac:dyDescent="0.3">
      <c r="E767" s="5" t="s">
        <v>837</v>
      </c>
      <c r="F767" s="5" t="s">
        <v>51</v>
      </c>
      <c r="G767" s="5" t="s">
        <v>288</v>
      </c>
      <c r="H767" s="5" t="s">
        <v>872</v>
      </c>
    </row>
    <row r="768" spans="5:8" x14ac:dyDescent="0.3">
      <c r="E768" s="5" t="s">
        <v>837</v>
      </c>
      <c r="F768" s="5" t="s">
        <v>51</v>
      </c>
      <c r="G768" s="5" t="s">
        <v>290</v>
      </c>
      <c r="H768" s="5" t="s">
        <v>873</v>
      </c>
    </row>
    <row r="769" spans="5:8" x14ac:dyDescent="0.3">
      <c r="E769" s="5" t="s">
        <v>837</v>
      </c>
      <c r="F769" s="5" t="s">
        <v>51</v>
      </c>
      <c r="G769" s="5" t="s">
        <v>292</v>
      </c>
      <c r="H769" s="5" t="s">
        <v>259</v>
      </c>
    </row>
    <row r="770" spans="5:8" x14ac:dyDescent="0.3">
      <c r="E770" s="5" t="s">
        <v>837</v>
      </c>
      <c r="F770" s="5" t="s">
        <v>51</v>
      </c>
      <c r="G770" s="5" t="s">
        <v>416</v>
      </c>
      <c r="H770" s="5" t="s">
        <v>261</v>
      </c>
    </row>
    <row r="771" spans="5:8" x14ac:dyDescent="0.3">
      <c r="E771" s="5" t="s">
        <v>837</v>
      </c>
      <c r="F771" s="5" t="s">
        <v>51</v>
      </c>
      <c r="G771" s="5" t="s">
        <v>418</v>
      </c>
      <c r="H771" s="5" t="s">
        <v>263</v>
      </c>
    </row>
    <row r="772" spans="5:8" x14ac:dyDescent="0.3">
      <c r="E772" s="5" t="s">
        <v>837</v>
      </c>
      <c r="F772" s="5" t="s">
        <v>51</v>
      </c>
      <c r="G772" s="5" t="s">
        <v>420</v>
      </c>
      <c r="H772" s="5" t="s">
        <v>874</v>
      </c>
    </row>
    <row r="773" spans="5:8" x14ac:dyDescent="0.3">
      <c r="E773" s="5" t="s">
        <v>837</v>
      </c>
      <c r="F773" s="5" t="s">
        <v>51</v>
      </c>
      <c r="G773" s="5" t="s">
        <v>422</v>
      </c>
      <c r="H773" s="5" t="s">
        <v>875</v>
      </c>
    </row>
    <row r="774" spans="5:8" x14ac:dyDescent="0.3">
      <c r="E774" s="5" t="s">
        <v>837</v>
      </c>
      <c r="F774" s="5" t="s">
        <v>51</v>
      </c>
      <c r="G774" s="5" t="s">
        <v>424</v>
      </c>
      <c r="H774" s="5" t="s">
        <v>876</v>
      </c>
    </row>
    <row r="775" spans="5:8" x14ac:dyDescent="0.3">
      <c r="E775" s="5" t="s">
        <v>837</v>
      </c>
      <c r="F775" s="5" t="s">
        <v>51</v>
      </c>
      <c r="G775" s="5" t="s">
        <v>425</v>
      </c>
      <c r="H775" s="5" t="s">
        <v>265</v>
      </c>
    </row>
    <row r="776" spans="5:8" x14ac:dyDescent="0.3">
      <c r="E776" s="5" t="s">
        <v>837</v>
      </c>
      <c r="F776" s="5" t="s">
        <v>51</v>
      </c>
      <c r="G776" s="5" t="s">
        <v>427</v>
      </c>
      <c r="H776" s="5" t="s">
        <v>877</v>
      </c>
    </row>
    <row r="777" spans="5:8" x14ac:dyDescent="0.3">
      <c r="E777" s="5" t="s">
        <v>837</v>
      </c>
      <c r="F777" s="5" t="s">
        <v>51</v>
      </c>
      <c r="G777" s="5" t="s">
        <v>429</v>
      </c>
      <c r="H777" s="5" t="s">
        <v>269</v>
      </c>
    </row>
    <row r="778" spans="5:8" x14ac:dyDescent="0.3">
      <c r="E778" s="5" t="s">
        <v>837</v>
      </c>
      <c r="F778" s="5" t="s">
        <v>51</v>
      </c>
      <c r="G778" s="5" t="s">
        <v>664</v>
      </c>
      <c r="H778" s="5" t="s">
        <v>407</v>
      </c>
    </row>
    <row r="779" spans="5:8" x14ac:dyDescent="0.3">
      <c r="E779" s="5" t="s">
        <v>837</v>
      </c>
      <c r="F779" s="5" t="s">
        <v>51</v>
      </c>
      <c r="G779" s="5" t="s">
        <v>665</v>
      </c>
      <c r="H779" s="5" t="s">
        <v>409</v>
      </c>
    </row>
    <row r="780" spans="5:8" x14ac:dyDescent="0.3">
      <c r="E780" s="5" t="s">
        <v>837</v>
      </c>
      <c r="F780" s="5" t="s">
        <v>51</v>
      </c>
      <c r="G780" s="5" t="s">
        <v>666</v>
      </c>
      <c r="H780" s="5" t="s">
        <v>596</v>
      </c>
    </row>
    <row r="781" spans="5:8" x14ac:dyDescent="0.3">
      <c r="E781" s="5" t="s">
        <v>837</v>
      </c>
      <c r="F781" s="5" t="s">
        <v>51</v>
      </c>
      <c r="G781" s="5" t="s">
        <v>668</v>
      </c>
      <c r="H781" s="5" t="s">
        <v>271</v>
      </c>
    </row>
    <row r="782" spans="5:8" x14ac:dyDescent="0.3">
      <c r="E782" s="5" t="s">
        <v>837</v>
      </c>
      <c r="F782" s="5" t="s">
        <v>51</v>
      </c>
      <c r="G782" s="5" t="s">
        <v>669</v>
      </c>
      <c r="H782" s="5" t="s">
        <v>878</v>
      </c>
    </row>
    <row r="783" spans="5:8" x14ac:dyDescent="0.3">
      <c r="E783" s="5" t="s">
        <v>837</v>
      </c>
      <c r="F783" s="5" t="s">
        <v>51</v>
      </c>
      <c r="G783" s="5" t="s">
        <v>671</v>
      </c>
      <c r="H783" s="5" t="s">
        <v>879</v>
      </c>
    </row>
    <row r="784" spans="5:8" x14ac:dyDescent="0.3">
      <c r="E784" s="5" t="s">
        <v>837</v>
      </c>
      <c r="F784" s="5" t="s">
        <v>51</v>
      </c>
      <c r="G784" s="5" t="s">
        <v>674</v>
      </c>
      <c r="H784" s="5" t="s">
        <v>411</v>
      </c>
    </row>
    <row r="785" spans="5:8" x14ac:dyDescent="0.3">
      <c r="E785" s="5" t="s">
        <v>837</v>
      </c>
      <c r="F785" s="5" t="s">
        <v>51</v>
      </c>
      <c r="G785" s="5" t="s">
        <v>676</v>
      </c>
      <c r="H785" s="5" t="s">
        <v>880</v>
      </c>
    </row>
    <row r="786" spans="5:8" x14ac:dyDescent="0.3">
      <c r="E786" s="5" t="s">
        <v>837</v>
      </c>
      <c r="F786" s="5" t="s">
        <v>51</v>
      </c>
      <c r="G786" s="5" t="s">
        <v>677</v>
      </c>
      <c r="H786" s="5" t="s">
        <v>881</v>
      </c>
    </row>
    <row r="787" spans="5:8" x14ac:dyDescent="0.3">
      <c r="E787" s="5" t="s">
        <v>837</v>
      </c>
      <c r="F787" s="5" t="s">
        <v>51</v>
      </c>
      <c r="G787" s="5" t="s">
        <v>679</v>
      </c>
      <c r="H787" s="5" t="s">
        <v>412</v>
      </c>
    </row>
    <row r="788" spans="5:8" x14ac:dyDescent="0.3">
      <c r="E788" s="5" t="s">
        <v>837</v>
      </c>
      <c r="F788" s="5" t="s">
        <v>51</v>
      </c>
      <c r="G788" s="5" t="s">
        <v>680</v>
      </c>
      <c r="H788" s="5" t="s">
        <v>277</v>
      </c>
    </row>
    <row r="789" spans="5:8" x14ac:dyDescent="0.3">
      <c r="E789" s="5" t="s">
        <v>837</v>
      </c>
      <c r="F789" s="5" t="s">
        <v>51</v>
      </c>
      <c r="G789" s="5" t="s">
        <v>673</v>
      </c>
      <c r="H789" s="5" t="s">
        <v>275</v>
      </c>
    </row>
    <row r="790" spans="5:8" x14ac:dyDescent="0.3">
      <c r="E790" s="5" t="s">
        <v>837</v>
      </c>
      <c r="F790" s="5" t="s">
        <v>51</v>
      </c>
      <c r="G790" s="5" t="s">
        <v>682</v>
      </c>
      <c r="H790" s="5" t="s">
        <v>882</v>
      </c>
    </row>
    <row r="791" spans="5:8" x14ac:dyDescent="0.3">
      <c r="E791" s="5" t="s">
        <v>837</v>
      </c>
      <c r="F791" s="5" t="s">
        <v>51</v>
      </c>
      <c r="G791" s="5" t="s">
        <v>684</v>
      </c>
      <c r="H791" s="5" t="s">
        <v>883</v>
      </c>
    </row>
    <row r="792" spans="5:8" x14ac:dyDescent="0.3">
      <c r="E792" s="5" t="s">
        <v>837</v>
      </c>
      <c r="F792" s="5" t="s">
        <v>51</v>
      </c>
      <c r="G792" s="5" t="s">
        <v>685</v>
      </c>
      <c r="H792" s="5" t="s">
        <v>884</v>
      </c>
    </row>
    <row r="793" spans="5:8" x14ac:dyDescent="0.3">
      <c r="E793" s="5" t="s">
        <v>837</v>
      </c>
      <c r="F793" s="5" t="s">
        <v>51</v>
      </c>
      <c r="G793" s="5" t="s">
        <v>686</v>
      </c>
      <c r="H793" s="5" t="s">
        <v>421</v>
      </c>
    </row>
    <row r="794" spans="5:8" x14ac:dyDescent="0.3">
      <c r="E794" s="5" t="s">
        <v>837</v>
      </c>
      <c r="F794" s="5" t="s">
        <v>51</v>
      </c>
      <c r="G794" s="5" t="s">
        <v>687</v>
      </c>
      <c r="H794" s="5" t="s">
        <v>885</v>
      </c>
    </row>
    <row r="795" spans="5:8" x14ac:dyDescent="0.3">
      <c r="E795" s="5" t="s">
        <v>837</v>
      </c>
      <c r="F795" s="5" t="s">
        <v>51</v>
      </c>
      <c r="G795" s="5" t="s">
        <v>326</v>
      </c>
      <c r="H795" s="5" t="s">
        <v>886</v>
      </c>
    </row>
    <row r="796" spans="5:8" x14ac:dyDescent="0.3">
      <c r="E796" s="5" t="s">
        <v>837</v>
      </c>
      <c r="F796" s="5" t="s">
        <v>51</v>
      </c>
      <c r="G796" s="5" t="s">
        <v>689</v>
      </c>
      <c r="H796" s="5" t="s">
        <v>779</v>
      </c>
    </row>
    <row r="797" spans="5:8" x14ac:dyDescent="0.3">
      <c r="E797" s="5" t="s">
        <v>837</v>
      </c>
      <c r="F797" s="5" t="s">
        <v>51</v>
      </c>
      <c r="G797" s="5" t="s">
        <v>691</v>
      </c>
      <c r="H797" s="5" t="s">
        <v>289</v>
      </c>
    </row>
    <row r="798" spans="5:8" x14ac:dyDescent="0.3">
      <c r="E798" s="5" t="s">
        <v>837</v>
      </c>
      <c r="F798" s="5" t="s">
        <v>51</v>
      </c>
      <c r="G798" s="5" t="s">
        <v>693</v>
      </c>
      <c r="H798" s="5" t="s">
        <v>782</v>
      </c>
    </row>
    <row r="799" spans="5:8" x14ac:dyDescent="0.3">
      <c r="E799" s="5" t="s">
        <v>837</v>
      </c>
      <c r="F799" s="5" t="s">
        <v>51</v>
      </c>
      <c r="G799" s="5" t="s">
        <v>695</v>
      </c>
      <c r="H799" s="5" t="s">
        <v>426</v>
      </c>
    </row>
    <row r="800" spans="5:8" x14ac:dyDescent="0.3">
      <c r="E800" s="5" t="s">
        <v>837</v>
      </c>
      <c r="F800" s="5" t="s">
        <v>51</v>
      </c>
      <c r="G800" s="5" t="s">
        <v>330</v>
      </c>
      <c r="H800" s="5" t="s">
        <v>887</v>
      </c>
    </row>
    <row r="801" spans="5:8" x14ac:dyDescent="0.3">
      <c r="E801" s="5" t="s">
        <v>837</v>
      </c>
      <c r="F801" s="5" t="s">
        <v>51</v>
      </c>
      <c r="G801" s="5" t="s">
        <v>696</v>
      </c>
      <c r="H801" s="5" t="s">
        <v>888</v>
      </c>
    </row>
    <row r="802" spans="5:8" x14ac:dyDescent="0.3">
      <c r="E802" s="5" t="s">
        <v>837</v>
      </c>
      <c r="F802" s="5" t="s">
        <v>51</v>
      </c>
      <c r="G802" s="5" t="s">
        <v>697</v>
      </c>
      <c r="H802" s="5" t="s">
        <v>889</v>
      </c>
    </row>
    <row r="803" spans="5:8" x14ac:dyDescent="0.3">
      <c r="E803" s="5" t="s">
        <v>837</v>
      </c>
      <c r="F803" s="5" t="s">
        <v>51</v>
      </c>
      <c r="G803" s="5" t="s">
        <v>699</v>
      </c>
      <c r="H803" s="5" t="s">
        <v>890</v>
      </c>
    </row>
    <row r="804" spans="5:8" x14ac:dyDescent="0.3">
      <c r="E804" s="5" t="s">
        <v>837</v>
      </c>
      <c r="F804" s="5" t="s">
        <v>51</v>
      </c>
      <c r="G804" s="5" t="s">
        <v>891</v>
      </c>
      <c r="H804" s="5" t="s">
        <v>892</v>
      </c>
    </row>
    <row r="805" spans="5:8" x14ac:dyDescent="0.3">
      <c r="E805" s="5" t="s">
        <v>893</v>
      </c>
      <c r="F805" s="5" t="s">
        <v>53</v>
      </c>
      <c r="G805" s="5" t="s">
        <v>160</v>
      </c>
      <c r="H805" s="5" t="s">
        <v>487</v>
      </c>
    </row>
    <row r="806" spans="5:8" x14ac:dyDescent="0.3">
      <c r="E806" s="5" t="s">
        <v>893</v>
      </c>
      <c r="F806" s="5" t="s">
        <v>53</v>
      </c>
      <c r="G806" s="5" t="s">
        <v>162</v>
      </c>
      <c r="H806" s="5" t="s">
        <v>894</v>
      </c>
    </row>
    <row r="807" spans="5:8" x14ac:dyDescent="0.3">
      <c r="E807" s="5" t="s">
        <v>893</v>
      </c>
      <c r="F807" s="5" t="s">
        <v>53</v>
      </c>
      <c r="G807" s="5" t="s">
        <v>164</v>
      </c>
      <c r="H807" s="5" t="s">
        <v>895</v>
      </c>
    </row>
    <row r="808" spans="5:8" x14ac:dyDescent="0.3">
      <c r="E808" s="5" t="s">
        <v>893</v>
      </c>
      <c r="F808" s="5" t="s">
        <v>53</v>
      </c>
      <c r="G808" s="5" t="s">
        <v>166</v>
      </c>
      <c r="H808" s="5" t="s">
        <v>369</v>
      </c>
    </row>
    <row r="809" spans="5:8" x14ac:dyDescent="0.3">
      <c r="E809" s="5" t="s">
        <v>893</v>
      </c>
      <c r="F809" s="5" t="s">
        <v>53</v>
      </c>
      <c r="G809" s="5" t="s">
        <v>168</v>
      </c>
      <c r="H809" s="5" t="s">
        <v>896</v>
      </c>
    </row>
    <row r="810" spans="5:8" x14ac:dyDescent="0.3">
      <c r="E810" s="5" t="s">
        <v>893</v>
      </c>
      <c r="F810" s="5" t="s">
        <v>53</v>
      </c>
      <c r="G810" s="5" t="s">
        <v>170</v>
      </c>
      <c r="H810" s="5" t="s">
        <v>370</v>
      </c>
    </row>
    <row r="811" spans="5:8" x14ac:dyDescent="0.3">
      <c r="E811" s="5" t="s">
        <v>893</v>
      </c>
      <c r="F811" s="5" t="s">
        <v>53</v>
      </c>
      <c r="G811" s="5" t="s">
        <v>172</v>
      </c>
      <c r="H811" s="5" t="s">
        <v>840</v>
      </c>
    </row>
    <row r="812" spans="5:8" x14ac:dyDescent="0.3">
      <c r="E812" s="5" t="s">
        <v>893</v>
      </c>
      <c r="F812" s="5" t="s">
        <v>53</v>
      </c>
      <c r="G812" s="5" t="s">
        <v>174</v>
      </c>
      <c r="H812" s="5" t="s">
        <v>372</v>
      </c>
    </row>
    <row r="813" spans="5:8" x14ac:dyDescent="0.3">
      <c r="E813" s="5" t="s">
        <v>893</v>
      </c>
      <c r="F813" s="5" t="s">
        <v>53</v>
      </c>
      <c r="G813" s="5" t="s">
        <v>176</v>
      </c>
      <c r="H813" s="5" t="s">
        <v>842</v>
      </c>
    </row>
    <row r="814" spans="5:8" x14ac:dyDescent="0.3">
      <c r="E814" s="5" t="s">
        <v>893</v>
      </c>
      <c r="F814" s="5" t="s">
        <v>53</v>
      </c>
      <c r="G814" s="5" t="s">
        <v>178</v>
      </c>
      <c r="H814" s="5" t="s">
        <v>374</v>
      </c>
    </row>
    <row r="815" spans="5:8" x14ac:dyDescent="0.3">
      <c r="E815" s="5" t="s">
        <v>893</v>
      </c>
      <c r="F815" s="5" t="s">
        <v>53</v>
      </c>
      <c r="G815" s="5" t="s">
        <v>180</v>
      </c>
      <c r="H815" s="5" t="s">
        <v>187</v>
      </c>
    </row>
    <row r="816" spans="5:8" x14ac:dyDescent="0.3">
      <c r="E816" s="5" t="s">
        <v>893</v>
      </c>
      <c r="F816" s="5" t="s">
        <v>53</v>
      </c>
      <c r="G816" s="5" t="s">
        <v>182</v>
      </c>
      <c r="H816" s="5" t="s">
        <v>845</v>
      </c>
    </row>
    <row r="817" spans="5:8" x14ac:dyDescent="0.3">
      <c r="E817" s="5" t="s">
        <v>893</v>
      </c>
      <c r="F817" s="5" t="s">
        <v>53</v>
      </c>
      <c r="G817" s="5" t="s">
        <v>184</v>
      </c>
      <c r="H817" s="5" t="s">
        <v>379</v>
      </c>
    </row>
    <row r="818" spans="5:8" x14ac:dyDescent="0.3">
      <c r="E818" s="5" t="s">
        <v>893</v>
      </c>
      <c r="F818" s="5" t="s">
        <v>53</v>
      </c>
      <c r="G818" s="5" t="s">
        <v>186</v>
      </c>
      <c r="H818" s="5" t="s">
        <v>897</v>
      </c>
    </row>
    <row r="819" spans="5:8" x14ac:dyDescent="0.3">
      <c r="E819" s="5" t="s">
        <v>893</v>
      </c>
      <c r="F819" s="5" t="s">
        <v>53</v>
      </c>
      <c r="G819" s="5" t="s">
        <v>188</v>
      </c>
      <c r="H819" s="5" t="s">
        <v>898</v>
      </c>
    </row>
    <row r="820" spans="5:8" x14ac:dyDescent="0.3">
      <c r="E820" s="5" t="s">
        <v>893</v>
      </c>
      <c r="F820" s="5" t="s">
        <v>53</v>
      </c>
      <c r="G820" s="5" t="s">
        <v>190</v>
      </c>
      <c r="H820" s="5" t="s">
        <v>639</v>
      </c>
    </row>
    <row r="821" spans="5:8" x14ac:dyDescent="0.3">
      <c r="E821" s="5" t="s">
        <v>893</v>
      </c>
      <c r="F821" s="5" t="s">
        <v>53</v>
      </c>
      <c r="G821" s="5" t="s">
        <v>192</v>
      </c>
      <c r="H821" s="5" t="s">
        <v>209</v>
      </c>
    </row>
    <row r="822" spans="5:8" x14ac:dyDescent="0.3">
      <c r="E822" s="5" t="s">
        <v>893</v>
      </c>
      <c r="F822" s="5" t="s">
        <v>53</v>
      </c>
      <c r="G822" s="5" t="s">
        <v>194</v>
      </c>
      <c r="H822" s="5" t="s">
        <v>899</v>
      </c>
    </row>
    <row r="823" spans="5:8" x14ac:dyDescent="0.3">
      <c r="E823" s="5" t="s">
        <v>893</v>
      </c>
      <c r="F823" s="5" t="s">
        <v>53</v>
      </c>
      <c r="G823" s="5" t="s">
        <v>196</v>
      </c>
      <c r="H823" s="5" t="s">
        <v>900</v>
      </c>
    </row>
    <row r="824" spans="5:8" x14ac:dyDescent="0.3">
      <c r="E824" s="5" t="s">
        <v>893</v>
      </c>
      <c r="F824" s="5" t="s">
        <v>53</v>
      </c>
      <c r="G824" s="5" t="s">
        <v>198</v>
      </c>
      <c r="H824" s="5" t="s">
        <v>901</v>
      </c>
    </row>
    <row r="825" spans="5:8" x14ac:dyDescent="0.3">
      <c r="E825" s="5" t="s">
        <v>893</v>
      </c>
      <c r="F825" s="5" t="s">
        <v>53</v>
      </c>
      <c r="G825" s="5" t="s">
        <v>200</v>
      </c>
      <c r="H825" s="5" t="s">
        <v>217</v>
      </c>
    </row>
    <row r="826" spans="5:8" x14ac:dyDescent="0.3">
      <c r="E826" s="5" t="s">
        <v>893</v>
      </c>
      <c r="F826" s="5" t="s">
        <v>53</v>
      </c>
      <c r="G826" s="5" t="s">
        <v>202</v>
      </c>
      <c r="H826" s="5" t="s">
        <v>649</v>
      </c>
    </row>
    <row r="827" spans="5:8" x14ac:dyDescent="0.3">
      <c r="E827" s="5" t="s">
        <v>893</v>
      </c>
      <c r="F827" s="5" t="s">
        <v>53</v>
      </c>
      <c r="G827" s="5" t="s">
        <v>204</v>
      </c>
      <c r="H827" s="5" t="s">
        <v>902</v>
      </c>
    </row>
    <row r="828" spans="5:8" x14ac:dyDescent="0.3">
      <c r="E828" s="5" t="s">
        <v>893</v>
      </c>
      <c r="F828" s="5" t="s">
        <v>53</v>
      </c>
      <c r="G828" s="5" t="s">
        <v>206</v>
      </c>
      <c r="H828" s="5" t="s">
        <v>219</v>
      </c>
    </row>
    <row r="829" spans="5:8" x14ac:dyDescent="0.3">
      <c r="E829" s="5" t="s">
        <v>893</v>
      </c>
      <c r="F829" s="5" t="s">
        <v>53</v>
      </c>
      <c r="G829" s="5" t="s">
        <v>208</v>
      </c>
      <c r="H829" s="5" t="s">
        <v>385</v>
      </c>
    </row>
    <row r="830" spans="5:8" x14ac:dyDescent="0.3">
      <c r="E830" s="5" t="s">
        <v>893</v>
      </c>
      <c r="F830" s="5" t="s">
        <v>53</v>
      </c>
      <c r="G830" s="5" t="s">
        <v>210</v>
      </c>
      <c r="H830" s="5" t="s">
        <v>903</v>
      </c>
    </row>
    <row r="831" spans="5:8" x14ac:dyDescent="0.3">
      <c r="E831" s="5" t="s">
        <v>893</v>
      </c>
      <c r="F831" s="5" t="s">
        <v>53</v>
      </c>
      <c r="G831" s="5" t="s">
        <v>212</v>
      </c>
      <c r="H831" s="5" t="s">
        <v>387</v>
      </c>
    </row>
    <row r="832" spans="5:8" x14ac:dyDescent="0.3">
      <c r="E832" s="5" t="s">
        <v>893</v>
      </c>
      <c r="F832" s="5" t="s">
        <v>53</v>
      </c>
      <c r="G832" s="5" t="s">
        <v>214</v>
      </c>
      <c r="H832" s="5" t="s">
        <v>223</v>
      </c>
    </row>
    <row r="833" spans="5:8" x14ac:dyDescent="0.3">
      <c r="E833" s="5" t="s">
        <v>893</v>
      </c>
      <c r="F833" s="5" t="s">
        <v>53</v>
      </c>
      <c r="G833" s="5" t="s">
        <v>216</v>
      </c>
      <c r="H833" s="5" t="s">
        <v>574</v>
      </c>
    </row>
    <row r="834" spans="5:8" x14ac:dyDescent="0.3">
      <c r="E834" s="5" t="s">
        <v>893</v>
      </c>
      <c r="F834" s="5" t="s">
        <v>53</v>
      </c>
      <c r="G834" s="5" t="s">
        <v>218</v>
      </c>
      <c r="H834" s="5" t="s">
        <v>659</v>
      </c>
    </row>
    <row r="835" spans="5:8" x14ac:dyDescent="0.3">
      <c r="E835" s="5" t="s">
        <v>893</v>
      </c>
      <c r="F835" s="5" t="s">
        <v>53</v>
      </c>
      <c r="G835" s="5" t="s">
        <v>220</v>
      </c>
      <c r="H835" s="5" t="s">
        <v>904</v>
      </c>
    </row>
    <row r="836" spans="5:8" x14ac:dyDescent="0.3">
      <c r="E836" s="5" t="s">
        <v>893</v>
      </c>
      <c r="F836" s="5" t="s">
        <v>53</v>
      </c>
      <c r="G836" s="5" t="s">
        <v>222</v>
      </c>
      <c r="H836" s="5" t="s">
        <v>905</v>
      </c>
    </row>
    <row r="837" spans="5:8" x14ac:dyDescent="0.3">
      <c r="E837" s="5" t="s">
        <v>893</v>
      </c>
      <c r="F837" s="5" t="s">
        <v>53</v>
      </c>
      <c r="G837" s="5" t="s">
        <v>224</v>
      </c>
      <c r="H837" s="5" t="s">
        <v>227</v>
      </c>
    </row>
    <row r="838" spans="5:8" x14ac:dyDescent="0.3">
      <c r="E838" s="5" t="s">
        <v>893</v>
      </c>
      <c r="F838" s="5" t="s">
        <v>53</v>
      </c>
      <c r="G838" s="5" t="s">
        <v>226</v>
      </c>
      <c r="H838" s="5" t="s">
        <v>390</v>
      </c>
    </row>
    <row r="839" spans="5:8" x14ac:dyDescent="0.3">
      <c r="E839" s="5" t="s">
        <v>893</v>
      </c>
      <c r="F839" s="5" t="s">
        <v>53</v>
      </c>
      <c r="G839" s="5" t="s">
        <v>228</v>
      </c>
      <c r="H839" s="5" t="s">
        <v>906</v>
      </c>
    </row>
    <row r="840" spans="5:8" x14ac:dyDescent="0.3">
      <c r="E840" s="5" t="s">
        <v>893</v>
      </c>
      <c r="F840" s="5" t="s">
        <v>53</v>
      </c>
      <c r="G840" s="5" t="s">
        <v>230</v>
      </c>
      <c r="H840" s="5" t="s">
        <v>231</v>
      </c>
    </row>
    <row r="841" spans="5:8" x14ac:dyDescent="0.3">
      <c r="E841" s="5" t="s">
        <v>893</v>
      </c>
      <c r="F841" s="5" t="s">
        <v>53</v>
      </c>
      <c r="G841" s="5" t="s">
        <v>232</v>
      </c>
      <c r="H841" s="5" t="s">
        <v>670</v>
      </c>
    </row>
    <row r="842" spans="5:8" x14ac:dyDescent="0.3">
      <c r="E842" s="5" t="s">
        <v>893</v>
      </c>
      <c r="F842" s="5" t="s">
        <v>53</v>
      </c>
      <c r="G842" s="5" t="s">
        <v>234</v>
      </c>
      <c r="H842" s="5" t="s">
        <v>907</v>
      </c>
    </row>
    <row r="843" spans="5:8" x14ac:dyDescent="0.3">
      <c r="E843" s="5" t="s">
        <v>893</v>
      </c>
      <c r="F843" s="5" t="s">
        <v>53</v>
      </c>
      <c r="G843" s="5" t="s">
        <v>236</v>
      </c>
      <c r="H843" s="5" t="s">
        <v>233</v>
      </c>
    </row>
    <row r="844" spans="5:8" x14ac:dyDescent="0.3">
      <c r="E844" s="5" t="s">
        <v>893</v>
      </c>
      <c r="F844" s="5" t="s">
        <v>53</v>
      </c>
      <c r="G844" s="5" t="s">
        <v>238</v>
      </c>
      <c r="H844" s="5" t="s">
        <v>908</v>
      </c>
    </row>
    <row r="845" spans="5:8" x14ac:dyDescent="0.3">
      <c r="E845" s="5" t="s">
        <v>893</v>
      </c>
      <c r="F845" s="5" t="s">
        <v>53</v>
      </c>
      <c r="G845" s="5" t="s">
        <v>240</v>
      </c>
      <c r="H845" s="5" t="s">
        <v>393</v>
      </c>
    </row>
    <row r="846" spans="5:8" x14ac:dyDescent="0.3">
      <c r="E846" s="5" t="s">
        <v>893</v>
      </c>
      <c r="F846" s="5" t="s">
        <v>53</v>
      </c>
      <c r="G846" s="5" t="s">
        <v>242</v>
      </c>
      <c r="H846" s="5" t="s">
        <v>863</v>
      </c>
    </row>
    <row r="847" spans="5:8" x14ac:dyDescent="0.3">
      <c r="E847" s="5" t="s">
        <v>893</v>
      </c>
      <c r="F847" s="5" t="s">
        <v>53</v>
      </c>
      <c r="G847" s="5" t="s">
        <v>244</v>
      </c>
      <c r="H847" s="5" t="s">
        <v>909</v>
      </c>
    </row>
    <row r="848" spans="5:8" x14ac:dyDescent="0.3">
      <c r="E848" s="5" t="s">
        <v>893</v>
      </c>
      <c r="F848" s="5" t="s">
        <v>53</v>
      </c>
      <c r="G848" s="5" t="s">
        <v>246</v>
      </c>
      <c r="H848" s="5" t="s">
        <v>910</v>
      </c>
    </row>
    <row r="849" spans="5:8" x14ac:dyDescent="0.3">
      <c r="E849" s="5" t="s">
        <v>893</v>
      </c>
      <c r="F849" s="5" t="s">
        <v>53</v>
      </c>
      <c r="G849" s="5" t="s">
        <v>248</v>
      </c>
      <c r="H849" s="5" t="s">
        <v>447</v>
      </c>
    </row>
    <row r="850" spans="5:8" x14ac:dyDescent="0.3">
      <c r="E850" s="5" t="s">
        <v>893</v>
      </c>
      <c r="F850" s="5" t="s">
        <v>53</v>
      </c>
      <c r="G850" s="5" t="s">
        <v>250</v>
      </c>
      <c r="H850" s="5" t="s">
        <v>911</v>
      </c>
    </row>
    <row r="851" spans="5:8" x14ac:dyDescent="0.3">
      <c r="E851" s="5" t="s">
        <v>893</v>
      </c>
      <c r="F851" s="5" t="s">
        <v>53</v>
      </c>
      <c r="G851" s="5" t="s">
        <v>252</v>
      </c>
      <c r="H851" s="5" t="s">
        <v>239</v>
      </c>
    </row>
    <row r="852" spans="5:8" x14ac:dyDescent="0.3">
      <c r="E852" s="5" t="s">
        <v>893</v>
      </c>
      <c r="F852" s="5" t="s">
        <v>53</v>
      </c>
      <c r="G852" s="5" t="s">
        <v>254</v>
      </c>
      <c r="H852" s="5" t="s">
        <v>249</v>
      </c>
    </row>
    <row r="853" spans="5:8" x14ac:dyDescent="0.3">
      <c r="E853" s="5" t="s">
        <v>893</v>
      </c>
      <c r="F853" s="5" t="s">
        <v>53</v>
      </c>
      <c r="G853" s="5" t="s">
        <v>256</v>
      </c>
      <c r="H853" s="5" t="s">
        <v>253</v>
      </c>
    </row>
    <row r="854" spans="5:8" x14ac:dyDescent="0.3">
      <c r="E854" s="5" t="s">
        <v>893</v>
      </c>
      <c r="F854" s="5" t="s">
        <v>53</v>
      </c>
      <c r="G854" s="5" t="s">
        <v>258</v>
      </c>
      <c r="H854" s="5" t="s">
        <v>255</v>
      </c>
    </row>
    <row r="855" spans="5:8" x14ac:dyDescent="0.3">
      <c r="E855" s="5" t="s">
        <v>893</v>
      </c>
      <c r="F855" s="5" t="s">
        <v>53</v>
      </c>
      <c r="G855" s="5" t="s">
        <v>260</v>
      </c>
      <c r="H855" s="5" t="s">
        <v>586</v>
      </c>
    </row>
    <row r="856" spans="5:8" x14ac:dyDescent="0.3">
      <c r="E856" s="5" t="s">
        <v>893</v>
      </c>
      <c r="F856" s="5" t="s">
        <v>53</v>
      </c>
      <c r="G856" s="5" t="s">
        <v>262</v>
      </c>
      <c r="H856" s="5" t="s">
        <v>912</v>
      </c>
    </row>
    <row r="857" spans="5:8" x14ac:dyDescent="0.3">
      <c r="E857" s="5" t="s">
        <v>893</v>
      </c>
      <c r="F857" s="5" t="s">
        <v>53</v>
      </c>
      <c r="G857" s="5" t="s">
        <v>264</v>
      </c>
      <c r="H857" s="5" t="s">
        <v>259</v>
      </c>
    </row>
    <row r="858" spans="5:8" x14ac:dyDescent="0.3">
      <c r="E858" s="5" t="s">
        <v>893</v>
      </c>
      <c r="F858" s="5" t="s">
        <v>53</v>
      </c>
      <c r="G858" s="5" t="s">
        <v>266</v>
      </c>
      <c r="H858" s="5" t="s">
        <v>261</v>
      </c>
    </row>
    <row r="859" spans="5:8" x14ac:dyDescent="0.3">
      <c r="E859" s="5" t="s">
        <v>893</v>
      </c>
      <c r="F859" s="5" t="s">
        <v>53</v>
      </c>
      <c r="G859" s="5" t="s">
        <v>268</v>
      </c>
      <c r="H859" s="5" t="s">
        <v>263</v>
      </c>
    </row>
    <row r="860" spans="5:8" x14ac:dyDescent="0.3">
      <c r="E860" s="5" t="s">
        <v>893</v>
      </c>
      <c r="F860" s="5" t="s">
        <v>53</v>
      </c>
      <c r="G860" s="5" t="s">
        <v>270</v>
      </c>
      <c r="H860" s="5" t="s">
        <v>402</v>
      </c>
    </row>
    <row r="861" spans="5:8" x14ac:dyDescent="0.3">
      <c r="E861" s="5" t="s">
        <v>893</v>
      </c>
      <c r="F861" s="5" t="s">
        <v>53</v>
      </c>
      <c r="G861" s="5" t="s">
        <v>272</v>
      </c>
      <c r="H861" s="5" t="s">
        <v>913</v>
      </c>
    </row>
    <row r="862" spans="5:8" x14ac:dyDescent="0.3">
      <c r="E862" s="5" t="s">
        <v>893</v>
      </c>
      <c r="F862" s="5" t="s">
        <v>53</v>
      </c>
      <c r="G862" s="5" t="s">
        <v>274</v>
      </c>
      <c r="H862" s="5" t="s">
        <v>914</v>
      </c>
    </row>
    <row r="863" spans="5:8" x14ac:dyDescent="0.3">
      <c r="E863" s="5" t="s">
        <v>893</v>
      </c>
      <c r="F863" s="5" t="s">
        <v>53</v>
      </c>
      <c r="G863" s="5" t="s">
        <v>276</v>
      </c>
      <c r="H863" s="5" t="s">
        <v>459</v>
      </c>
    </row>
    <row r="864" spans="5:8" x14ac:dyDescent="0.3">
      <c r="E864" s="5" t="s">
        <v>893</v>
      </c>
      <c r="F864" s="5" t="s">
        <v>53</v>
      </c>
      <c r="G864" s="5" t="s">
        <v>278</v>
      </c>
      <c r="H864" s="5" t="s">
        <v>915</v>
      </c>
    </row>
    <row r="865" spans="5:8" x14ac:dyDescent="0.3">
      <c r="E865" s="5" t="s">
        <v>893</v>
      </c>
      <c r="F865" s="5" t="s">
        <v>53</v>
      </c>
      <c r="G865" s="5" t="s">
        <v>280</v>
      </c>
      <c r="H865" s="5" t="s">
        <v>916</v>
      </c>
    </row>
    <row r="866" spans="5:8" x14ac:dyDescent="0.3">
      <c r="E866" s="5" t="s">
        <v>893</v>
      </c>
      <c r="F866" s="5" t="s">
        <v>53</v>
      </c>
      <c r="G866" s="5" t="s">
        <v>282</v>
      </c>
      <c r="H866" s="5" t="s">
        <v>265</v>
      </c>
    </row>
    <row r="867" spans="5:8" x14ac:dyDescent="0.3">
      <c r="E867" s="5" t="s">
        <v>893</v>
      </c>
      <c r="F867" s="5" t="s">
        <v>53</v>
      </c>
      <c r="G867" s="5" t="s">
        <v>284</v>
      </c>
      <c r="H867" s="5" t="s">
        <v>269</v>
      </c>
    </row>
    <row r="868" spans="5:8" x14ac:dyDescent="0.3">
      <c r="E868" s="5" t="s">
        <v>893</v>
      </c>
      <c r="F868" s="5" t="s">
        <v>53</v>
      </c>
      <c r="G868" s="5" t="s">
        <v>286</v>
      </c>
      <c r="H868" s="5" t="s">
        <v>917</v>
      </c>
    </row>
    <row r="869" spans="5:8" x14ac:dyDescent="0.3">
      <c r="E869" s="5" t="s">
        <v>893</v>
      </c>
      <c r="F869" s="5" t="s">
        <v>53</v>
      </c>
      <c r="G869" s="5" t="s">
        <v>288</v>
      </c>
      <c r="H869" s="5" t="s">
        <v>918</v>
      </c>
    </row>
    <row r="870" spans="5:8" x14ac:dyDescent="0.3">
      <c r="E870" s="5" t="s">
        <v>893</v>
      </c>
      <c r="F870" s="5" t="s">
        <v>53</v>
      </c>
      <c r="G870" s="5" t="s">
        <v>290</v>
      </c>
      <c r="H870" s="5" t="s">
        <v>409</v>
      </c>
    </row>
    <row r="871" spans="5:8" x14ac:dyDescent="0.3">
      <c r="E871" s="5" t="s">
        <v>893</v>
      </c>
      <c r="F871" s="5" t="s">
        <v>53</v>
      </c>
      <c r="G871" s="5" t="s">
        <v>292</v>
      </c>
      <c r="H871" s="5" t="s">
        <v>596</v>
      </c>
    </row>
    <row r="872" spans="5:8" x14ac:dyDescent="0.3">
      <c r="E872" s="5" t="s">
        <v>893</v>
      </c>
      <c r="F872" s="5" t="s">
        <v>53</v>
      </c>
      <c r="G872" s="5" t="s">
        <v>416</v>
      </c>
      <c r="H872" s="5" t="s">
        <v>271</v>
      </c>
    </row>
    <row r="873" spans="5:8" x14ac:dyDescent="0.3">
      <c r="E873" s="5" t="s">
        <v>893</v>
      </c>
      <c r="F873" s="5" t="s">
        <v>53</v>
      </c>
      <c r="G873" s="5" t="s">
        <v>418</v>
      </c>
      <c r="H873" s="5" t="s">
        <v>919</v>
      </c>
    </row>
    <row r="874" spans="5:8" x14ac:dyDescent="0.3">
      <c r="E874" s="5" t="s">
        <v>893</v>
      </c>
      <c r="F874" s="5" t="s">
        <v>53</v>
      </c>
      <c r="G874" s="5" t="s">
        <v>420</v>
      </c>
      <c r="H874" s="5" t="s">
        <v>920</v>
      </c>
    </row>
    <row r="875" spans="5:8" x14ac:dyDescent="0.3">
      <c r="E875" s="5" t="s">
        <v>893</v>
      </c>
      <c r="F875" s="5" t="s">
        <v>53</v>
      </c>
      <c r="G875" s="5" t="s">
        <v>424</v>
      </c>
      <c r="H875" s="5" t="s">
        <v>412</v>
      </c>
    </row>
    <row r="876" spans="5:8" x14ac:dyDescent="0.3">
      <c r="E876" s="5" t="s">
        <v>893</v>
      </c>
      <c r="F876" s="5" t="s">
        <v>53</v>
      </c>
      <c r="G876" s="5" t="s">
        <v>425</v>
      </c>
      <c r="H876" s="5" t="s">
        <v>277</v>
      </c>
    </row>
    <row r="877" spans="5:8" x14ac:dyDescent="0.3">
      <c r="E877" s="5" t="s">
        <v>893</v>
      </c>
      <c r="F877" s="5" t="s">
        <v>53</v>
      </c>
      <c r="G877" s="5" t="s">
        <v>427</v>
      </c>
      <c r="H877" s="5" t="s">
        <v>922</v>
      </c>
    </row>
    <row r="878" spans="5:8" x14ac:dyDescent="0.3">
      <c r="E878" s="5" t="s">
        <v>893</v>
      </c>
      <c r="F878" s="5" t="s">
        <v>53</v>
      </c>
      <c r="G878" s="5" t="s">
        <v>422</v>
      </c>
      <c r="H878" s="5" t="s">
        <v>921</v>
      </c>
    </row>
    <row r="879" spans="5:8" x14ac:dyDescent="0.3">
      <c r="E879" s="5" t="s">
        <v>893</v>
      </c>
      <c r="F879" s="5" t="s">
        <v>53</v>
      </c>
      <c r="G879" s="5" t="s">
        <v>429</v>
      </c>
      <c r="H879" s="5" t="s">
        <v>923</v>
      </c>
    </row>
    <row r="880" spans="5:8" x14ac:dyDescent="0.3">
      <c r="E880" s="5" t="s">
        <v>893</v>
      </c>
      <c r="F880" s="5" t="s">
        <v>53</v>
      </c>
      <c r="G880" s="5" t="s">
        <v>664</v>
      </c>
      <c r="H880" s="5" t="s">
        <v>924</v>
      </c>
    </row>
    <row r="881" spans="5:8" x14ac:dyDescent="0.3">
      <c r="E881" s="5" t="s">
        <v>893</v>
      </c>
      <c r="F881" s="5" t="s">
        <v>53</v>
      </c>
      <c r="G881" s="5" t="s">
        <v>665</v>
      </c>
      <c r="H881" s="5" t="s">
        <v>925</v>
      </c>
    </row>
    <row r="882" spans="5:8" x14ac:dyDescent="0.3">
      <c r="E882" s="5" t="s">
        <v>893</v>
      </c>
      <c r="F882" s="5" t="s">
        <v>53</v>
      </c>
      <c r="G882" s="5" t="s">
        <v>666</v>
      </c>
      <c r="H882" s="5" t="s">
        <v>926</v>
      </c>
    </row>
    <row r="883" spans="5:8" x14ac:dyDescent="0.3">
      <c r="E883" s="5" t="s">
        <v>893</v>
      </c>
      <c r="F883" s="5" t="s">
        <v>53</v>
      </c>
      <c r="G883" s="5" t="s">
        <v>668</v>
      </c>
      <c r="H883" s="5" t="s">
        <v>927</v>
      </c>
    </row>
    <row r="884" spans="5:8" x14ac:dyDescent="0.3">
      <c r="E884" s="5" t="s">
        <v>893</v>
      </c>
      <c r="F884" s="5" t="s">
        <v>53</v>
      </c>
      <c r="G884" s="5" t="s">
        <v>669</v>
      </c>
      <c r="H884" s="5" t="s">
        <v>928</v>
      </c>
    </row>
    <row r="885" spans="5:8" x14ac:dyDescent="0.3">
      <c r="E885" s="5" t="s">
        <v>893</v>
      </c>
      <c r="F885" s="5" t="s">
        <v>53</v>
      </c>
      <c r="G885" s="5" t="s">
        <v>671</v>
      </c>
      <c r="H885" s="5" t="s">
        <v>421</v>
      </c>
    </row>
    <row r="886" spans="5:8" x14ac:dyDescent="0.3">
      <c r="E886" s="5" t="s">
        <v>893</v>
      </c>
      <c r="F886" s="5" t="s">
        <v>53</v>
      </c>
      <c r="G886" s="5" t="s">
        <v>673</v>
      </c>
      <c r="H886" s="5" t="s">
        <v>929</v>
      </c>
    </row>
    <row r="887" spans="5:8" x14ac:dyDescent="0.3">
      <c r="E887" s="5" t="s">
        <v>893</v>
      </c>
      <c r="F887" s="5" t="s">
        <v>53</v>
      </c>
      <c r="G887" s="5" t="s">
        <v>674</v>
      </c>
      <c r="H887" s="5" t="s">
        <v>930</v>
      </c>
    </row>
    <row r="888" spans="5:8" x14ac:dyDescent="0.3">
      <c r="E888" s="5" t="s">
        <v>893</v>
      </c>
      <c r="F888" s="5" t="s">
        <v>53</v>
      </c>
      <c r="G888" s="5" t="s">
        <v>676</v>
      </c>
      <c r="H888" s="5" t="s">
        <v>931</v>
      </c>
    </row>
    <row r="889" spans="5:8" x14ac:dyDescent="0.3">
      <c r="E889" s="5" t="s">
        <v>893</v>
      </c>
      <c r="F889" s="5" t="s">
        <v>53</v>
      </c>
      <c r="G889" s="5" t="s">
        <v>677</v>
      </c>
      <c r="H889" s="5" t="s">
        <v>886</v>
      </c>
    </row>
    <row r="890" spans="5:8" x14ac:dyDescent="0.3">
      <c r="E890" s="5" t="s">
        <v>893</v>
      </c>
      <c r="F890" s="5" t="s">
        <v>53</v>
      </c>
      <c r="G890" s="5" t="s">
        <v>679</v>
      </c>
      <c r="H890" s="5" t="s">
        <v>779</v>
      </c>
    </row>
    <row r="891" spans="5:8" x14ac:dyDescent="0.3">
      <c r="E891" s="5" t="s">
        <v>893</v>
      </c>
      <c r="F891" s="5" t="s">
        <v>53</v>
      </c>
      <c r="G891" s="5" t="s">
        <v>680</v>
      </c>
      <c r="H891" s="5" t="s">
        <v>932</v>
      </c>
    </row>
    <row r="892" spans="5:8" x14ac:dyDescent="0.3">
      <c r="E892" s="5" t="s">
        <v>893</v>
      </c>
      <c r="F892" s="5" t="s">
        <v>53</v>
      </c>
      <c r="G892" s="5" t="s">
        <v>682</v>
      </c>
      <c r="H892" s="5" t="s">
        <v>289</v>
      </c>
    </row>
    <row r="893" spans="5:8" x14ac:dyDescent="0.3">
      <c r="E893" s="5" t="s">
        <v>893</v>
      </c>
      <c r="F893" s="5" t="s">
        <v>53</v>
      </c>
      <c r="G893" s="5" t="s">
        <v>684</v>
      </c>
      <c r="H893" s="5" t="s">
        <v>782</v>
      </c>
    </row>
    <row r="894" spans="5:8" x14ac:dyDescent="0.3">
      <c r="E894" s="5" t="s">
        <v>893</v>
      </c>
      <c r="F894" s="5" t="s">
        <v>53</v>
      </c>
      <c r="G894" s="5" t="s">
        <v>685</v>
      </c>
      <c r="H894" s="5" t="s">
        <v>933</v>
      </c>
    </row>
    <row r="895" spans="5:8" x14ac:dyDescent="0.3">
      <c r="E895" s="5" t="s">
        <v>893</v>
      </c>
      <c r="F895" s="5" t="s">
        <v>53</v>
      </c>
      <c r="G895" s="5" t="s">
        <v>686</v>
      </c>
      <c r="H895" s="5" t="s">
        <v>426</v>
      </c>
    </row>
    <row r="896" spans="5:8" x14ac:dyDescent="0.3">
      <c r="E896" s="5" t="s">
        <v>893</v>
      </c>
      <c r="F896" s="5" t="s">
        <v>53</v>
      </c>
      <c r="G896" s="5" t="s">
        <v>687</v>
      </c>
      <c r="H896" s="5" t="s">
        <v>934</v>
      </c>
    </row>
    <row r="897" spans="5:8" x14ac:dyDescent="0.3">
      <c r="E897" s="5" t="s">
        <v>981</v>
      </c>
      <c r="F897" s="5" t="s">
        <v>57</v>
      </c>
      <c r="G897" s="5" t="s">
        <v>160</v>
      </c>
      <c r="H897" s="5" t="s">
        <v>894</v>
      </c>
    </row>
    <row r="898" spans="5:8" x14ac:dyDescent="0.3">
      <c r="E898" s="5" t="s">
        <v>981</v>
      </c>
      <c r="F898" s="5" t="s">
        <v>57</v>
      </c>
      <c r="G898" s="5" t="s">
        <v>162</v>
      </c>
      <c r="H898" s="5" t="s">
        <v>982</v>
      </c>
    </row>
    <row r="899" spans="5:8" x14ac:dyDescent="0.3">
      <c r="E899" s="5" t="s">
        <v>981</v>
      </c>
      <c r="F899" s="5" t="s">
        <v>57</v>
      </c>
      <c r="G899" s="5" t="s">
        <v>164</v>
      </c>
      <c r="H899" s="5" t="s">
        <v>983</v>
      </c>
    </row>
    <row r="900" spans="5:8" x14ac:dyDescent="0.3">
      <c r="E900" s="5" t="s">
        <v>981</v>
      </c>
      <c r="F900" s="5" t="s">
        <v>57</v>
      </c>
      <c r="G900" s="5" t="s">
        <v>166</v>
      </c>
      <c r="H900" s="5" t="s">
        <v>984</v>
      </c>
    </row>
    <row r="901" spans="5:8" x14ac:dyDescent="0.3">
      <c r="E901" s="5" t="s">
        <v>981</v>
      </c>
      <c r="F901" s="5" t="s">
        <v>57</v>
      </c>
      <c r="G901" s="5" t="s">
        <v>168</v>
      </c>
      <c r="H901" s="5" t="s">
        <v>985</v>
      </c>
    </row>
    <row r="902" spans="5:8" x14ac:dyDescent="0.3">
      <c r="E902" s="5" t="s">
        <v>981</v>
      </c>
      <c r="F902" s="5" t="s">
        <v>57</v>
      </c>
      <c r="G902" s="5" t="s">
        <v>170</v>
      </c>
      <c r="H902" s="5" t="s">
        <v>986</v>
      </c>
    </row>
    <row r="903" spans="5:8" x14ac:dyDescent="0.3">
      <c r="E903" s="5" t="s">
        <v>981</v>
      </c>
      <c r="F903" s="5" t="s">
        <v>57</v>
      </c>
      <c r="G903" s="5" t="s">
        <v>172</v>
      </c>
      <c r="H903" s="5" t="s">
        <v>840</v>
      </c>
    </row>
    <row r="904" spans="5:8" x14ac:dyDescent="0.3">
      <c r="E904" s="5" t="s">
        <v>981</v>
      </c>
      <c r="F904" s="5" t="s">
        <v>57</v>
      </c>
      <c r="G904" s="5" t="s">
        <v>174</v>
      </c>
      <c r="H904" s="5" t="s">
        <v>173</v>
      </c>
    </row>
    <row r="905" spans="5:8" x14ac:dyDescent="0.3">
      <c r="E905" s="5" t="s">
        <v>981</v>
      </c>
      <c r="F905" s="5" t="s">
        <v>57</v>
      </c>
      <c r="G905" s="5" t="s">
        <v>176</v>
      </c>
      <c r="H905" s="5" t="s">
        <v>987</v>
      </c>
    </row>
    <row r="906" spans="5:8" x14ac:dyDescent="0.3">
      <c r="E906" s="5" t="s">
        <v>981</v>
      </c>
      <c r="F906" s="5" t="s">
        <v>57</v>
      </c>
      <c r="G906" s="5" t="s">
        <v>178</v>
      </c>
      <c r="H906" s="5" t="s">
        <v>988</v>
      </c>
    </row>
    <row r="907" spans="5:8" x14ac:dyDescent="0.3">
      <c r="E907" s="5" t="s">
        <v>981</v>
      </c>
      <c r="F907" s="5" t="s">
        <v>57</v>
      </c>
      <c r="G907" s="5" t="s">
        <v>180</v>
      </c>
      <c r="H907" s="5" t="s">
        <v>179</v>
      </c>
    </row>
    <row r="908" spans="5:8" x14ac:dyDescent="0.3">
      <c r="E908" s="5" t="s">
        <v>981</v>
      </c>
      <c r="F908" s="5" t="s">
        <v>57</v>
      </c>
      <c r="G908" s="5" t="s">
        <v>182</v>
      </c>
      <c r="H908" s="5" t="s">
        <v>497</v>
      </c>
    </row>
    <row r="909" spans="5:8" x14ac:dyDescent="0.3">
      <c r="E909" s="5" t="s">
        <v>981</v>
      </c>
      <c r="F909" s="5" t="s">
        <v>57</v>
      </c>
      <c r="G909" s="5" t="s">
        <v>184</v>
      </c>
      <c r="H909" s="5" t="s">
        <v>374</v>
      </c>
    </row>
    <row r="910" spans="5:8" x14ac:dyDescent="0.3">
      <c r="E910" s="5" t="s">
        <v>981</v>
      </c>
      <c r="F910" s="5" t="s">
        <v>57</v>
      </c>
      <c r="G910" s="5" t="s">
        <v>186</v>
      </c>
      <c r="H910" s="5" t="s">
        <v>187</v>
      </c>
    </row>
    <row r="911" spans="5:8" x14ac:dyDescent="0.3">
      <c r="E911" s="5" t="s">
        <v>981</v>
      </c>
      <c r="F911" s="5" t="s">
        <v>57</v>
      </c>
      <c r="G911" s="5" t="s">
        <v>188</v>
      </c>
      <c r="H911" s="5" t="s">
        <v>989</v>
      </c>
    </row>
    <row r="912" spans="5:8" x14ac:dyDescent="0.3">
      <c r="E912" s="5" t="s">
        <v>981</v>
      </c>
      <c r="F912" s="5" t="s">
        <v>57</v>
      </c>
      <c r="G912" s="5" t="s">
        <v>190</v>
      </c>
      <c r="H912" s="5" t="s">
        <v>990</v>
      </c>
    </row>
    <row r="913" spans="5:8" x14ac:dyDescent="0.3">
      <c r="E913" s="5" t="s">
        <v>981</v>
      </c>
      <c r="F913" s="5" t="s">
        <v>57</v>
      </c>
      <c r="G913" s="5" t="s">
        <v>192</v>
      </c>
      <c r="H913" s="5" t="s">
        <v>991</v>
      </c>
    </row>
    <row r="914" spans="5:8" x14ac:dyDescent="0.3">
      <c r="E914" s="5" t="s">
        <v>981</v>
      </c>
      <c r="F914" s="5" t="s">
        <v>57</v>
      </c>
      <c r="G914" s="5" t="s">
        <v>194</v>
      </c>
      <c r="H914" s="5" t="s">
        <v>992</v>
      </c>
    </row>
    <row r="915" spans="5:8" x14ac:dyDescent="0.3">
      <c r="E915" s="5" t="s">
        <v>981</v>
      </c>
      <c r="F915" s="5" t="s">
        <v>57</v>
      </c>
      <c r="G915" s="5" t="s">
        <v>196</v>
      </c>
      <c r="H915" s="5" t="s">
        <v>379</v>
      </c>
    </row>
    <row r="916" spans="5:8" x14ac:dyDescent="0.3">
      <c r="E916" s="5" t="s">
        <v>981</v>
      </c>
      <c r="F916" s="5" t="s">
        <v>57</v>
      </c>
      <c r="G916" s="5" t="s">
        <v>198</v>
      </c>
      <c r="H916" s="5" t="s">
        <v>639</v>
      </c>
    </row>
    <row r="917" spans="5:8" x14ac:dyDescent="0.3">
      <c r="E917" s="5" t="s">
        <v>981</v>
      </c>
      <c r="F917" s="5" t="s">
        <v>57</v>
      </c>
      <c r="G917" s="5" t="s">
        <v>200</v>
      </c>
      <c r="H917" s="5" t="s">
        <v>949</v>
      </c>
    </row>
    <row r="918" spans="5:8" x14ac:dyDescent="0.3">
      <c r="E918" s="5" t="s">
        <v>981</v>
      </c>
      <c r="F918" s="5" t="s">
        <v>57</v>
      </c>
      <c r="G918" s="5" t="s">
        <v>202</v>
      </c>
      <c r="H918" s="5" t="s">
        <v>993</v>
      </c>
    </row>
    <row r="919" spans="5:8" x14ac:dyDescent="0.3">
      <c r="E919" s="5" t="s">
        <v>981</v>
      </c>
      <c r="F919" s="5" t="s">
        <v>57</v>
      </c>
      <c r="G919" s="5" t="s">
        <v>204</v>
      </c>
      <c r="H919" s="5" t="s">
        <v>506</v>
      </c>
    </row>
    <row r="920" spans="5:8" x14ac:dyDescent="0.3">
      <c r="E920" s="5" t="s">
        <v>981</v>
      </c>
      <c r="F920" s="5" t="s">
        <v>57</v>
      </c>
      <c r="G920" s="5" t="s">
        <v>206</v>
      </c>
      <c r="H920" s="5" t="s">
        <v>851</v>
      </c>
    </row>
    <row r="921" spans="5:8" x14ac:dyDescent="0.3">
      <c r="E921" s="5" t="s">
        <v>981</v>
      </c>
      <c r="F921" s="5" t="s">
        <v>57</v>
      </c>
      <c r="G921" s="5" t="s">
        <v>208</v>
      </c>
      <c r="H921" s="5" t="s">
        <v>994</v>
      </c>
    </row>
    <row r="922" spans="5:8" x14ac:dyDescent="0.3">
      <c r="E922" s="5" t="s">
        <v>981</v>
      </c>
      <c r="F922" s="5" t="s">
        <v>57</v>
      </c>
      <c r="G922" s="5" t="s">
        <v>210</v>
      </c>
      <c r="H922" s="5" t="s">
        <v>995</v>
      </c>
    </row>
    <row r="923" spans="5:8" x14ac:dyDescent="0.3">
      <c r="E923" s="5" t="s">
        <v>981</v>
      </c>
      <c r="F923" s="5" t="s">
        <v>57</v>
      </c>
      <c r="G923" s="5" t="s">
        <v>212</v>
      </c>
      <c r="H923" s="5" t="s">
        <v>996</v>
      </c>
    </row>
    <row r="924" spans="5:8" x14ac:dyDescent="0.3">
      <c r="E924" s="5" t="s">
        <v>981</v>
      </c>
      <c r="F924" s="5" t="s">
        <v>57</v>
      </c>
      <c r="G924" s="5" t="s">
        <v>214</v>
      </c>
      <c r="H924" s="5" t="s">
        <v>997</v>
      </c>
    </row>
    <row r="925" spans="5:8" x14ac:dyDescent="0.3">
      <c r="E925" s="5" t="s">
        <v>981</v>
      </c>
      <c r="F925" s="5" t="s">
        <v>57</v>
      </c>
      <c r="G925" s="5" t="s">
        <v>216</v>
      </c>
      <c r="H925" s="5" t="s">
        <v>852</v>
      </c>
    </row>
    <row r="926" spans="5:8" x14ac:dyDescent="0.3">
      <c r="E926" s="5" t="s">
        <v>981</v>
      </c>
      <c r="F926" s="5" t="s">
        <v>57</v>
      </c>
      <c r="G926" s="5" t="s">
        <v>218</v>
      </c>
      <c r="H926" s="5" t="s">
        <v>219</v>
      </c>
    </row>
    <row r="927" spans="5:8" x14ac:dyDescent="0.3">
      <c r="E927" s="5" t="s">
        <v>981</v>
      </c>
      <c r="F927" s="5" t="s">
        <v>57</v>
      </c>
      <c r="G927" s="5" t="s">
        <v>220</v>
      </c>
      <c r="H927" s="5" t="s">
        <v>998</v>
      </c>
    </row>
    <row r="928" spans="5:8" x14ac:dyDescent="0.3">
      <c r="E928" s="5" t="s">
        <v>981</v>
      </c>
      <c r="F928" s="5" t="s">
        <v>57</v>
      </c>
      <c r="G928" s="5" t="s">
        <v>222</v>
      </c>
      <c r="H928" s="5" t="s">
        <v>999</v>
      </c>
    </row>
    <row r="929" spans="5:8" x14ac:dyDescent="0.3">
      <c r="E929" s="5" t="s">
        <v>981</v>
      </c>
      <c r="F929" s="5" t="s">
        <v>57</v>
      </c>
      <c r="G929" s="5" t="s">
        <v>224</v>
      </c>
      <c r="H929" s="5" t="s">
        <v>354</v>
      </c>
    </row>
    <row r="930" spans="5:8" x14ac:dyDescent="0.3">
      <c r="E930" s="5" t="s">
        <v>981</v>
      </c>
      <c r="F930" s="5" t="s">
        <v>57</v>
      </c>
      <c r="G930" s="5" t="s">
        <v>226</v>
      </c>
      <c r="H930" s="5" t="s">
        <v>387</v>
      </c>
    </row>
    <row r="931" spans="5:8" x14ac:dyDescent="0.3">
      <c r="E931" s="5" t="s">
        <v>981</v>
      </c>
      <c r="F931" s="5" t="s">
        <v>57</v>
      </c>
      <c r="G931" s="5" t="s">
        <v>228</v>
      </c>
      <c r="H931" s="5" t="s">
        <v>1000</v>
      </c>
    </row>
    <row r="932" spans="5:8" x14ac:dyDescent="0.3">
      <c r="E932" s="5" t="s">
        <v>981</v>
      </c>
      <c r="F932" s="5" t="s">
        <v>57</v>
      </c>
      <c r="G932" s="5" t="s">
        <v>230</v>
      </c>
      <c r="H932" s="5" t="s">
        <v>1001</v>
      </c>
    </row>
    <row r="933" spans="5:8" x14ac:dyDescent="0.3">
      <c r="E933" s="5" t="s">
        <v>981</v>
      </c>
      <c r="F933" s="5" t="s">
        <v>57</v>
      </c>
      <c r="G933" s="5" t="s">
        <v>232</v>
      </c>
      <c r="H933" s="5" t="s">
        <v>1002</v>
      </c>
    </row>
    <row r="934" spans="5:8" x14ac:dyDescent="0.3">
      <c r="E934" s="5" t="s">
        <v>981</v>
      </c>
      <c r="F934" s="5" t="s">
        <v>57</v>
      </c>
      <c r="G934" s="5" t="s">
        <v>234</v>
      </c>
      <c r="H934" s="5" t="s">
        <v>574</v>
      </c>
    </row>
    <row r="935" spans="5:8" x14ac:dyDescent="0.3">
      <c r="E935" s="5" t="s">
        <v>981</v>
      </c>
      <c r="F935" s="5" t="s">
        <v>57</v>
      </c>
      <c r="G935" s="5" t="s">
        <v>236</v>
      </c>
      <c r="H935" s="5" t="s">
        <v>1003</v>
      </c>
    </row>
    <row r="936" spans="5:8" x14ac:dyDescent="0.3">
      <c r="E936" s="5" t="s">
        <v>981</v>
      </c>
      <c r="F936" s="5" t="s">
        <v>57</v>
      </c>
      <c r="G936" s="5" t="s">
        <v>238</v>
      </c>
      <c r="H936" s="5" t="s">
        <v>1004</v>
      </c>
    </row>
    <row r="937" spans="5:8" x14ac:dyDescent="0.3">
      <c r="E937" s="5" t="s">
        <v>981</v>
      </c>
      <c r="F937" s="5" t="s">
        <v>57</v>
      </c>
      <c r="G937" s="5" t="s">
        <v>240</v>
      </c>
      <c r="H937" s="5" t="s">
        <v>1005</v>
      </c>
    </row>
    <row r="938" spans="5:8" x14ac:dyDescent="0.3">
      <c r="E938" s="5" t="s">
        <v>981</v>
      </c>
      <c r="F938" s="5" t="s">
        <v>57</v>
      </c>
      <c r="G938" s="5" t="s">
        <v>242</v>
      </c>
      <c r="H938" s="5" t="s">
        <v>1006</v>
      </c>
    </row>
    <row r="939" spans="5:8" x14ac:dyDescent="0.3">
      <c r="E939" s="5" t="s">
        <v>981</v>
      </c>
      <c r="F939" s="5" t="s">
        <v>57</v>
      </c>
      <c r="G939" s="5" t="s">
        <v>244</v>
      </c>
      <c r="H939" s="5" t="s">
        <v>231</v>
      </c>
    </row>
    <row r="940" spans="5:8" x14ac:dyDescent="0.3">
      <c r="E940" s="5" t="s">
        <v>981</v>
      </c>
      <c r="F940" s="5" t="s">
        <v>57</v>
      </c>
      <c r="G940" s="5" t="s">
        <v>246</v>
      </c>
      <c r="H940" s="5" t="s">
        <v>233</v>
      </c>
    </row>
    <row r="941" spans="5:8" x14ac:dyDescent="0.3">
      <c r="E941" s="5" t="s">
        <v>981</v>
      </c>
      <c r="F941" s="5" t="s">
        <v>57</v>
      </c>
      <c r="G941" s="5" t="s">
        <v>248</v>
      </c>
      <c r="H941" s="5" t="s">
        <v>1007</v>
      </c>
    </row>
    <row r="942" spans="5:8" x14ac:dyDescent="0.3">
      <c r="E942" s="5" t="s">
        <v>981</v>
      </c>
      <c r="F942" s="5" t="s">
        <v>57</v>
      </c>
      <c r="G942" s="5" t="s">
        <v>250</v>
      </c>
      <c r="H942" s="5" t="s">
        <v>393</v>
      </c>
    </row>
    <row r="943" spans="5:8" x14ac:dyDescent="0.3">
      <c r="E943" s="5" t="s">
        <v>981</v>
      </c>
      <c r="F943" s="5" t="s">
        <v>57</v>
      </c>
      <c r="G943" s="5" t="s">
        <v>252</v>
      </c>
      <c r="H943" s="5" t="s">
        <v>1008</v>
      </c>
    </row>
    <row r="944" spans="5:8" x14ac:dyDescent="0.3">
      <c r="E944" s="5" t="s">
        <v>981</v>
      </c>
      <c r="F944" s="5" t="s">
        <v>57</v>
      </c>
      <c r="G944" s="5" t="s">
        <v>254</v>
      </c>
      <c r="H944" s="5" t="s">
        <v>1009</v>
      </c>
    </row>
    <row r="945" spans="5:8" x14ac:dyDescent="0.3">
      <c r="E945" s="5" t="s">
        <v>981</v>
      </c>
      <c r="F945" s="5" t="s">
        <v>57</v>
      </c>
      <c r="G945" s="5" t="s">
        <v>256</v>
      </c>
      <c r="H945" s="5" t="s">
        <v>517</v>
      </c>
    </row>
    <row r="946" spans="5:8" x14ac:dyDescent="0.3">
      <c r="E946" s="5" t="s">
        <v>981</v>
      </c>
      <c r="F946" s="5" t="s">
        <v>57</v>
      </c>
      <c r="G946" s="5" t="s">
        <v>258</v>
      </c>
      <c r="H946" s="5" t="s">
        <v>1010</v>
      </c>
    </row>
    <row r="947" spans="5:8" x14ac:dyDescent="0.3">
      <c r="E947" s="5" t="s">
        <v>981</v>
      </c>
      <c r="F947" s="5" t="s">
        <v>57</v>
      </c>
      <c r="G947" s="5" t="s">
        <v>260</v>
      </c>
      <c r="H947" s="5" t="s">
        <v>1011</v>
      </c>
    </row>
    <row r="948" spans="5:8" x14ac:dyDescent="0.3">
      <c r="E948" s="5" t="s">
        <v>981</v>
      </c>
      <c r="F948" s="5" t="s">
        <v>57</v>
      </c>
      <c r="G948" s="5" t="s">
        <v>262</v>
      </c>
      <c r="H948" s="5" t="s">
        <v>1012</v>
      </c>
    </row>
    <row r="949" spans="5:8" x14ac:dyDescent="0.3">
      <c r="E949" s="5" t="s">
        <v>981</v>
      </c>
      <c r="F949" s="5" t="s">
        <v>57</v>
      </c>
      <c r="G949" s="5" t="s">
        <v>264</v>
      </c>
      <c r="H949" s="5" t="s">
        <v>395</v>
      </c>
    </row>
    <row r="950" spans="5:8" x14ac:dyDescent="0.3">
      <c r="E950" s="5" t="s">
        <v>981</v>
      </c>
      <c r="F950" s="5" t="s">
        <v>57</v>
      </c>
      <c r="G950" s="5" t="s">
        <v>266</v>
      </c>
      <c r="H950" s="5" t="s">
        <v>957</v>
      </c>
    </row>
    <row r="951" spans="5:8" x14ac:dyDescent="0.3">
      <c r="E951" s="5" t="s">
        <v>981</v>
      </c>
      <c r="F951" s="5" t="s">
        <v>57</v>
      </c>
      <c r="G951" s="5" t="s">
        <v>268</v>
      </c>
      <c r="H951" s="5" t="s">
        <v>397</v>
      </c>
    </row>
    <row r="952" spans="5:8" x14ac:dyDescent="0.3">
      <c r="E952" s="5" t="s">
        <v>981</v>
      </c>
      <c r="F952" s="5" t="s">
        <v>57</v>
      </c>
      <c r="G952" s="5" t="s">
        <v>270</v>
      </c>
      <c r="H952" s="5" t="s">
        <v>960</v>
      </c>
    </row>
    <row r="953" spans="5:8" x14ac:dyDescent="0.3">
      <c r="E953" s="5" t="s">
        <v>981</v>
      </c>
      <c r="F953" s="5" t="s">
        <v>57</v>
      </c>
      <c r="G953" s="5" t="s">
        <v>274</v>
      </c>
      <c r="H953" s="5" t="s">
        <v>253</v>
      </c>
    </row>
    <row r="954" spans="5:8" x14ac:dyDescent="0.3">
      <c r="E954" s="5" t="s">
        <v>981</v>
      </c>
      <c r="F954" s="5" t="s">
        <v>57</v>
      </c>
      <c r="G954" s="5" t="s">
        <v>276</v>
      </c>
      <c r="H954" s="5" t="s">
        <v>255</v>
      </c>
    </row>
    <row r="955" spans="5:8" x14ac:dyDescent="0.3">
      <c r="E955" s="5" t="s">
        <v>981</v>
      </c>
      <c r="F955" s="5" t="s">
        <v>57</v>
      </c>
      <c r="G955" s="5" t="s">
        <v>272</v>
      </c>
      <c r="H955" s="5" t="s">
        <v>1013</v>
      </c>
    </row>
    <row r="956" spans="5:8" x14ac:dyDescent="0.3">
      <c r="E956" s="5" t="s">
        <v>981</v>
      </c>
      <c r="F956" s="5" t="s">
        <v>57</v>
      </c>
      <c r="G956" s="5" t="s">
        <v>278</v>
      </c>
      <c r="H956" s="5" t="s">
        <v>1014</v>
      </c>
    </row>
    <row r="957" spans="5:8" x14ac:dyDescent="0.3">
      <c r="E957" s="5" t="s">
        <v>981</v>
      </c>
      <c r="F957" s="5" t="s">
        <v>57</v>
      </c>
      <c r="G957" s="5" t="s">
        <v>280</v>
      </c>
      <c r="H957" s="5" t="s">
        <v>912</v>
      </c>
    </row>
    <row r="958" spans="5:8" x14ac:dyDescent="0.3">
      <c r="E958" s="5" t="s">
        <v>981</v>
      </c>
      <c r="F958" s="5" t="s">
        <v>57</v>
      </c>
      <c r="G958" s="5" t="s">
        <v>282</v>
      </c>
      <c r="H958" s="5" t="s">
        <v>701</v>
      </c>
    </row>
    <row r="959" spans="5:8" x14ac:dyDescent="0.3">
      <c r="E959" s="5" t="s">
        <v>981</v>
      </c>
      <c r="F959" s="5" t="s">
        <v>57</v>
      </c>
      <c r="G959" s="5" t="s">
        <v>284</v>
      </c>
      <c r="H959" s="5" t="s">
        <v>261</v>
      </c>
    </row>
    <row r="960" spans="5:8" x14ac:dyDescent="0.3">
      <c r="E960" s="5" t="s">
        <v>981</v>
      </c>
      <c r="F960" s="5" t="s">
        <v>57</v>
      </c>
      <c r="G960" s="5" t="s">
        <v>286</v>
      </c>
      <c r="H960" s="5" t="s">
        <v>1015</v>
      </c>
    </row>
    <row r="961" spans="5:8" x14ac:dyDescent="0.3">
      <c r="E961" s="5" t="s">
        <v>981</v>
      </c>
      <c r="F961" s="5" t="s">
        <v>57</v>
      </c>
      <c r="G961" s="5" t="s">
        <v>288</v>
      </c>
      <c r="H961" s="5" t="s">
        <v>1016</v>
      </c>
    </row>
    <row r="962" spans="5:8" x14ac:dyDescent="0.3">
      <c r="E962" s="5" t="s">
        <v>981</v>
      </c>
      <c r="F962" s="5" t="s">
        <v>57</v>
      </c>
      <c r="G962" s="5" t="s">
        <v>290</v>
      </c>
      <c r="H962" s="5" t="s">
        <v>1017</v>
      </c>
    </row>
    <row r="963" spans="5:8" x14ac:dyDescent="0.3">
      <c r="E963" s="5" t="s">
        <v>981</v>
      </c>
      <c r="F963" s="5" t="s">
        <v>57</v>
      </c>
      <c r="G963" s="5" t="s">
        <v>292</v>
      </c>
      <c r="H963" s="5" t="s">
        <v>1018</v>
      </c>
    </row>
    <row r="964" spans="5:8" x14ac:dyDescent="0.3">
      <c r="E964" s="5" t="s">
        <v>981</v>
      </c>
      <c r="F964" s="5" t="s">
        <v>57</v>
      </c>
      <c r="G964" s="5" t="s">
        <v>416</v>
      </c>
      <c r="H964" s="5" t="s">
        <v>1019</v>
      </c>
    </row>
    <row r="965" spans="5:8" x14ac:dyDescent="0.3">
      <c r="E965" s="5" t="s">
        <v>981</v>
      </c>
      <c r="F965" s="5" t="s">
        <v>57</v>
      </c>
      <c r="G965" s="5" t="s">
        <v>418</v>
      </c>
      <c r="H965" s="5" t="s">
        <v>1020</v>
      </c>
    </row>
    <row r="966" spans="5:8" x14ac:dyDescent="0.3">
      <c r="E966" s="5" t="s">
        <v>981</v>
      </c>
      <c r="F966" s="5" t="s">
        <v>57</v>
      </c>
      <c r="G966" s="5" t="s">
        <v>420</v>
      </c>
      <c r="H966" s="5" t="s">
        <v>1021</v>
      </c>
    </row>
    <row r="967" spans="5:8" x14ac:dyDescent="0.3">
      <c r="E967" s="5" t="s">
        <v>981</v>
      </c>
      <c r="F967" s="5" t="s">
        <v>57</v>
      </c>
      <c r="G967" s="5" t="s">
        <v>422</v>
      </c>
      <c r="H967" s="5" t="s">
        <v>1022</v>
      </c>
    </row>
    <row r="968" spans="5:8" x14ac:dyDescent="0.3">
      <c r="E968" s="5" t="s">
        <v>981</v>
      </c>
      <c r="F968" s="5" t="s">
        <v>57</v>
      </c>
      <c r="G968" s="5" t="s">
        <v>424</v>
      </c>
      <c r="H968" s="5" t="s">
        <v>1023</v>
      </c>
    </row>
    <row r="969" spans="5:8" x14ac:dyDescent="0.3">
      <c r="E969" s="5" t="s">
        <v>981</v>
      </c>
      <c r="F969" s="5" t="s">
        <v>57</v>
      </c>
      <c r="G969" s="5" t="s">
        <v>425</v>
      </c>
      <c r="H969" s="5" t="s">
        <v>1024</v>
      </c>
    </row>
    <row r="970" spans="5:8" x14ac:dyDescent="0.3">
      <c r="E970" s="5" t="s">
        <v>981</v>
      </c>
      <c r="F970" s="5" t="s">
        <v>57</v>
      </c>
      <c r="G970" s="5" t="s">
        <v>427</v>
      </c>
      <c r="H970" s="5" t="s">
        <v>404</v>
      </c>
    </row>
    <row r="971" spans="5:8" x14ac:dyDescent="0.3">
      <c r="E971" s="5" t="s">
        <v>981</v>
      </c>
      <c r="F971" s="5" t="s">
        <v>57</v>
      </c>
      <c r="G971" s="5" t="s">
        <v>429</v>
      </c>
      <c r="H971" s="5" t="s">
        <v>1025</v>
      </c>
    </row>
    <row r="972" spans="5:8" x14ac:dyDescent="0.3">
      <c r="E972" s="5" t="s">
        <v>981</v>
      </c>
      <c r="F972" s="5" t="s">
        <v>57</v>
      </c>
      <c r="G972" s="5" t="s">
        <v>664</v>
      </c>
      <c r="H972" s="5" t="s">
        <v>1026</v>
      </c>
    </row>
    <row r="973" spans="5:8" x14ac:dyDescent="0.3">
      <c r="E973" s="5" t="s">
        <v>981</v>
      </c>
      <c r="F973" s="5" t="s">
        <v>57</v>
      </c>
      <c r="G973" s="5" t="s">
        <v>665</v>
      </c>
      <c r="H973" s="5" t="s">
        <v>1027</v>
      </c>
    </row>
    <row r="974" spans="5:8" x14ac:dyDescent="0.3">
      <c r="E974" s="5" t="s">
        <v>981</v>
      </c>
      <c r="F974" s="5" t="s">
        <v>57</v>
      </c>
      <c r="G974" s="5" t="s">
        <v>666</v>
      </c>
      <c r="H974" s="5" t="s">
        <v>1028</v>
      </c>
    </row>
    <row r="975" spans="5:8" x14ac:dyDescent="0.3">
      <c r="E975" s="5" t="s">
        <v>981</v>
      </c>
      <c r="F975" s="5" t="s">
        <v>57</v>
      </c>
      <c r="G975" s="5" t="s">
        <v>668</v>
      </c>
      <c r="H975" s="5" t="s">
        <v>1029</v>
      </c>
    </row>
    <row r="976" spans="5:8" x14ac:dyDescent="0.3">
      <c r="E976" s="5" t="s">
        <v>981</v>
      </c>
      <c r="F976" s="5" t="s">
        <v>57</v>
      </c>
      <c r="G976" s="5" t="s">
        <v>669</v>
      </c>
      <c r="H976" s="5" t="s">
        <v>1030</v>
      </c>
    </row>
    <row r="977" spans="5:8" x14ac:dyDescent="0.3">
      <c r="E977" s="5" t="s">
        <v>981</v>
      </c>
      <c r="F977" s="5" t="s">
        <v>57</v>
      </c>
      <c r="G977" s="5" t="s">
        <v>671</v>
      </c>
      <c r="H977" s="5" t="s">
        <v>1031</v>
      </c>
    </row>
    <row r="978" spans="5:8" x14ac:dyDescent="0.3">
      <c r="E978" s="5" t="s">
        <v>981</v>
      </c>
      <c r="F978" s="5" t="s">
        <v>57</v>
      </c>
      <c r="G978" s="5" t="s">
        <v>673</v>
      </c>
      <c r="H978" s="5" t="s">
        <v>1032</v>
      </c>
    </row>
    <row r="979" spans="5:8" x14ac:dyDescent="0.3">
      <c r="E979" s="5" t="s">
        <v>981</v>
      </c>
      <c r="F979" s="5" t="s">
        <v>57</v>
      </c>
      <c r="G979" s="5" t="s">
        <v>674</v>
      </c>
      <c r="H979" s="5" t="s">
        <v>920</v>
      </c>
    </row>
    <row r="980" spans="5:8" x14ac:dyDescent="0.3">
      <c r="E980" s="5" t="s">
        <v>981</v>
      </c>
      <c r="F980" s="5" t="s">
        <v>57</v>
      </c>
      <c r="G980" s="5" t="s">
        <v>676</v>
      </c>
      <c r="H980" s="5" t="s">
        <v>273</v>
      </c>
    </row>
    <row r="981" spans="5:8" x14ac:dyDescent="0.3">
      <c r="E981" s="5" t="s">
        <v>981</v>
      </c>
      <c r="F981" s="5" t="s">
        <v>57</v>
      </c>
      <c r="G981" s="5" t="s">
        <v>677</v>
      </c>
      <c r="H981" s="5" t="s">
        <v>411</v>
      </c>
    </row>
    <row r="982" spans="5:8" x14ac:dyDescent="0.3">
      <c r="E982" s="5" t="s">
        <v>981</v>
      </c>
      <c r="F982" s="5" t="s">
        <v>57</v>
      </c>
      <c r="G982" s="5" t="s">
        <v>679</v>
      </c>
      <c r="H982" s="5" t="s">
        <v>412</v>
      </c>
    </row>
    <row r="983" spans="5:8" x14ac:dyDescent="0.3">
      <c r="E983" s="5" t="s">
        <v>981</v>
      </c>
      <c r="F983" s="5" t="s">
        <v>57</v>
      </c>
      <c r="G983" s="5" t="s">
        <v>680</v>
      </c>
      <c r="H983" s="5" t="s">
        <v>539</v>
      </c>
    </row>
    <row r="984" spans="5:8" x14ac:dyDescent="0.3">
      <c r="E984" s="5" t="s">
        <v>981</v>
      </c>
      <c r="F984" s="5" t="s">
        <v>57</v>
      </c>
      <c r="G984" s="5" t="s">
        <v>682</v>
      </c>
      <c r="H984" s="5" t="s">
        <v>1033</v>
      </c>
    </row>
    <row r="985" spans="5:8" x14ac:dyDescent="0.3">
      <c r="E985" s="5" t="s">
        <v>981</v>
      </c>
      <c r="F985" s="5" t="s">
        <v>57</v>
      </c>
      <c r="G985" s="5" t="s">
        <v>684</v>
      </c>
      <c r="H985" s="5" t="s">
        <v>1034</v>
      </c>
    </row>
    <row r="986" spans="5:8" x14ac:dyDescent="0.3">
      <c r="E986" s="5" t="s">
        <v>981</v>
      </c>
      <c r="F986" s="5" t="s">
        <v>57</v>
      </c>
      <c r="G986" s="5" t="s">
        <v>685</v>
      </c>
      <c r="H986" s="5" t="s">
        <v>1035</v>
      </c>
    </row>
    <row r="987" spans="5:8" x14ac:dyDescent="0.3">
      <c r="E987" s="5" t="s">
        <v>981</v>
      </c>
      <c r="F987" s="5" t="s">
        <v>57</v>
      </c>
      <c r="G987" s="5" t="s">
        <v>686</v>
      </c>
      <c r="H987" s="5" t="s">
        <v>1036</v>
      </c>
    </row>
    <row r="988" spans="5:8" x14ac:dyDescent="0.3">
      <c r="E988" s="5" t="s">
        <v>981</v>
      </c>
      <c r="F988" s="5" t="s">
        <v>57</v>
      </c>
      <c r="G988" s="5" t="s">
        <v>687</v>
      </c>
      <c r="H988" s="5" t="s">
        <v>1037</v>
      </c>
    </row>
    <row r="989" spans="5:8" x14ac:dyDescent="0.3">
      <c r="E989" s="5" t="s">
        <v>981</v>
      </c>
      <c r="F989" s="5" t="s">
        <v>57</v>
      </c>
      <c r="G989" s="5" t="s">
        <v>326</v>
      </c>
      <c r="H989" s="5" t="s">
        <v>1038</v>
      </c>
    </row>
    <row r="990" spans="5:8" x14ac:dyDescent="0.3">
      <c r="E990" s="5" t="s">
        <v>981</v>
      </c>
      <c r="F990" s="5" t="s">
        <v>57</v>
      </c>
      <c r="G990" s="5" t="s">
        <v>689</v>
      </c>
      <c r="H990" s="5" t="s">
        <v>1039</v>
      </c>
    </row>
    <row r="991" spans="5:8" x14ac:dyDescent="0.3">
      <c r="E991" s="5" t="s">
        <v>981</v>
      </c>
      <c r="F991" s="5" t="s">
        <v>57</v>
      </c>
      <c r="G991" s="5" t="s">
        <v>691</v>
      </c>
      <c r="H991" s="5" t="s">
        <v>1040</v>
      </c>
    </row>
    <row r="992" spans="5:8" x14ac:dyDescent="0.3">
      <c r="E992" s="5" t="s">
        <v>981</v>
      </c>
      <c r="F992" s="5" t="s">
        <v>57</v>
      </c>
      <c r="G992" s="5" t="s">
        <v>693</v>
      </c>
      <c r="H992" s="5" t="s">
        <v>1041</v>
      </c>
    </row>
    <row r="993" spans="5:8" x14ac:dyDescent="0.3">
      <c r="E993" s="5" t="s">
        <v>981</v>
      </c>
      <c r="F993" s="5" t="s">
        <v>57</v>
      </c>
      <c r="G993" s="5" t="s">
        <v>695</v>
      </c>
      <c r="H993" s="5" t="s">
        <v>756</v>
      </c>
    </row>
    <row r="994" spans="5:8" x14ac:dyDescent="0.3">
      <c r="E994" s="5" t="s">
        <v>981</v>
      </c>
      <c r="F994" s="5" t="s">
        <v>57</v>
      </c>
      <c r="G994" s="5" t="s">
        <v>330</v>
      </c>
      <c r="H994" s="5" t="s">
        <v>1042</v>
      </c>
    </row>
    <row r="995" spans="5:8" x14ac:dyDescent="0.3">
      <c r="E995" s="5" t="s">
        <v>981</v>
      </c>
      <c r="F995" s="5" t="s">
        <v>57</v>
      </c>
      <c r="G995" s="5" t="s">
        <v>696</v>
      </c>
      <c r="H995" s="5" t="s">
        <v>1043</v>
      </c>
    </row>
    <row r="996" spans="5:8" x14ac:dyDescent="0.3">
      <c r="E996" s="5" t="s">
        <v>981</v>
      </c>
      <c r="F996" s="5" t="s">
        <v>57</v>
      </c>
      <c r="G996" s="5" t="s">
        <v>697</v>
      </c>
      <c r="H996" s="5" t="s">
        <v>1044</v>
      </c>
    </row>
    <row r="997" spans="5:8" x14ac:dyDescent="0.3">
      <c r="E997" s="5" t="s">
        <v>981</v>
      </c>
      <c r="F997" s="5" t="s">
        <v>57</v>
      </c>
      <c r="G997" s="5" t="s">
        <v>699</v>
      </c>
      <c r="H997" s="5" t="s">
        <v>289</v>
      </c>
    </row>
    <row r="998" spans="5:8" x14ac:dyDescent="0.3">
      <c r="E998" s="5" t="s">
        <v>981</v>
      </c>
      <c r="F998" s="5" t="s">
        <v>57</v>
      </c>
      <c r="G998" s="5" t="s">
        <v>891</v>
      </c>
      <c r="H998" s="5" t="s">
        <v>1045</v>
      </c>
    </row>
    <row r="999" spans="5:8" x14ac:dyDescent="0.3">
      <c r="E999" s="5" t="s">
        <v>981</v>
      </c>
      <c r="F999" s="5" t="s">
        <v>57</v>
      </c>
      <c r="G999" s="5" t="s">
        <v>700</v>
      </c>
      <c r="H999" s="5" t="s">
        <v>1046</v>
      </c>
    </row>
    <row r="1000" spans="5:8" x14ac:dyDescent="0.3">
      <c r="E1000" s="5" t="s">
        <v>981</v>
      </c>
      <c r="F1000" s="5" t="s">
        <v>57</v>
      </c>
      <c r="G1000" s="5" t="s">
        <v>702</v>
      </c>
      <c r="H1000" s="5" t="s">
        <v>1047</v>
      </c>
    </row>
    <row r="1001" spans="5:8" x14ac:dyDescent="0.3">
      <c r="E1001" s="5" t="s">
        <v>981</v>
      </c>
      <c r="F1001" s="5" t="s">
        <v>57</v>
      </c>
      <c r="G1001" s="5" t="s">
        <v>703</v>
      </c>
      <c r="H1001" s="5" t="s">
        <v>1048</v>
      </c>
    </row>
    <row r="1002" spans="5:8" x14ac:dyDescent="0.3">
      <c r="E1002" s="5" t="s">
        <v>1049</v>
      </c>
      <c r="F1002" s="5" t="s">
        <v>59</v>
      </c>
      <c r="G1002" s="5" t="s">
        <v>160</v>
      </c>
      <c r="H1002" s="5" t="s">
        <v>936</v>
      </c>
    </row>
    <row r="1003" spans="5:8" x14ac:dyDescent="0.3">
      <c r="E1003" s="5" t="s">
        <v>1049</v>
      </c>
      <c r="F1003" s="5" t="s">
        <v>59</v>
      </c>
      <c r="G1003" s="5" t="s">
        <v>162</v>
      </c>
      <c r="H1003" s="5" t="s">
        <v>894</v>
      </c>
    </row>
    <row r="1004" spans="5:8" x14ac:dyDescent="0.3">
      <c r="E1004" s="5" t="s">
        <v>1049</v>
      </c>
      <c r="F1004" s="5" t="s">
        <v>59</v>
      </c>
      <c r="G1004" s="5" t="s">
        <v>164</v>
      </c>
      <c r="H1004" s="5" t="s">
        <v>982</v>
      </c>
    </row>
    <row r="1005" spans="5:8" x14ac:dyDescent="0.3">
      <c r="E1005" s="5" t="s">
        <v>1049</v>
      </c>
      <c r="F1005" s="5" t="s">
        <v>59</v>
      </c>
      <c r="G1005" s="5" t="s">
        <v>166</v>
      </c>
      <c r="H1005" s="5" t="s">
        <v>1050</v>
      </c>
    </row>
    <row r="1006" spans="5:8" x14ac:dyDescent="0.3">
      <c r="E1006" s="5" t="s">
        <v>1049</v>
      </c>
      <c r="F1006" s="5" t="s">
        <v>59</v>
      </c>
      <c r="G1006" s="5" t="s">
        <v>168</v>
      </c>
      <c r="H1006" s="5" t="s">
        <v>1051</v>
      </c>
    </row>
    <row r="1007" spans="5:8" x14ac:dyDescent="0.3">
      <c r="E1007" s="5" t="s">
        <v>1049</v>
      </c>
      <c r="F1007" s="5" t="s">
        <v>59</v>
      </c>
      <c r="G1007" s="5" t="s">
        <v>170</v>
      </c>
      <c r="H1007" s="5" t="s">
        <v>1052</v>
      </c>
    </row>
    <row r="1008" spans="5:8" x14ac:dyDescent="0.3">
      <c r="E1008" s="5" t="s">
        <v>1049</v>
      </c>
      <c r="F1008" s="5" t="s">
        <v>59</v>
      </c>
      <c r="G1008" s="5" t="s">
        <v>172</v>
      </c>
      <c r="H1008" s="5" t="s">
        <v>1053</v>
      </c>
    </row>
    <row r="1009" spans="5:8" x14ac:dyDescent="0.3">
      <c r="E1009" s="5" t="s">
        <v>1049</v>
      </c>
      <c r="F1009" s="5" t="s">
        <v>59</v>
      </c>
      <c r="G1009" s="5" t="s">
        <v>174</v>
      </c>
      <c r="H1009" s="5" t="s">
        <v>370</v>
      </c>
    </row>
    <row r="1010" spans="5:8" x14ac:dyDescent="0.3">
      <c r="E1010" s="5" t="s">
        <v>1049</v>
      </c>
      <c r="F1010" s="5" t="s">
        <v>59</v>
      </c>
      <c r="G1010" s="5" t="s">
        <v>176</v>
      </c>
      <c r="H1010" s="5" t="s">
        <v>986</v>
      </c>
    </row>
    <row r="1011" spans="5:8" x14ac:dyDescent="0.3">
      <c r="E1011" s="5" t="s">
        <v>1049</v>
      </c>
      <c r="F1011" s="5" t="s">
        <v>59</v>
      </c>
      <c r="G1011" s="5" t="s">
        <v>178</v>
      </c>
      <c r="H1011" s="5" t="s">
        <v>1054</v>
      </c>
    </row>
    <row r="1012" spans="5:8" x14ac:dyDescent="0.3">
      <c r="E1012" s="5" t="s">
        <v>1049</v>
      </c>
      <c r="F1012" s="5" t="s">
        <v>59</v>
      </c>
      <c r="G1012" s="5" t="s">
        <v>180</v>
      </c>
      <c r="H1012" s="5" t="s">
        <v>1055</v>
      </c>
    </row>
    <row r="1013" spans="5:8" x14ac:dyDescent="0.3">
      <c r="E1013" s="5" t="s">
        <v>1049</v>
      </c>
      <c r="F1013" s="5" t="s">
        <v>59</v>
      </c>
      <c r="G1013" s="5" t="s">
        <v>182</v>
      </c>
      <c r="H1013" s="5" t="s">
        <v>1056</v>
      </c>
    </row>
    <row r="1014" spans="5:8" x14ac:dyDescent="0.3">
      <c r="E1014" s="5" t="s">
        <v>1049</v>
      </c>
      <c r="F1014" s="5" t="s">
        <v>59</v>
      </c>
      <c r="G1014" s="5" t="s">
        <v>184</v>
      </c>
      <c r="H1014" s="5" t="s">
        <v>1057</v>
      </c>
    </row>
    <row r="1015" spans="5:8" x14ac:dyDescent="0.3">
      <c r="E1015" s="5" t="s">
        <v>1049</v>
      </c>
      <c r="F1015" s="5" t="s">
        <v>59</v>
      </c>
      <c r="G1015" s="5" t="s">
        <v>186</v>
      </c>
      <c r="H1015" s="5" t="s">
        <v>1058</v>
      </c>
    </row>
    <row r="1016" spans="5:8" x14ac:dyDescent="0.3">
      <c r="E1016" s="5" t="s">
        <v>1049</v>
      </c>
      <c r="F1016" s="5" t="s">
        <v>59</v>
      </c>
      <c r="G1016" s="5" t="s">
        <v>188</v>
      </c>
      <c r="H1016" s="5" t="s">
        <v>1059</v>
      </c>
    </row>
    <row r="1017" spans="5:8" x14ac:dyDescent="0.3">
      <c r="E1017" s="5" t="s">
        <v>1049</v>
      </c>
      <c r="F1017" s="5" t="s">
        <v>59</v>
      </c>
      <c r="G1017" s="5" t="s">
        <v>190</v>
      </c>
      <c r="H1017" s="5" t="s">
        <v>173</v>
      </c>
    </row>
    <row r="1018" spans="5:8" x14ac:dyDescent="0.3">
      <c r="E1018" s="5" t="s">
        <v>1049</v>
      </c>
      <c r="F1018" s="5" t="s">
        <v>59</v>
      </c>
      <c r="G1018" s="5" t="s">
        <v>192</v>
      </c>
      <c r="H1018" s="5" t="s">
        <v>1060</v>
      </c>
    </row>
    <row r="1019" spans="5:8" x14ac:dyDescent="0.3">
      <c r="E1019" s="5" t="s">
        <v>1049</v>
      </c>
      <c r="F1019" s="5" t="s">
        <v>59</v>
      </c>
      <c r="G1019" s="5" t="s">
        <v>194</v>
      </c>
      <c r="H1019" s="5" t="s">
        <v>1061</v>
      </c>
    </row>
    <row r="1020" spans="5:8" x14ac:dyDescent="0.3">
      <c r="E1020" s="5" t="s">
        <v>1049</v>
      </c>
      <c r="F1020" s="5" t="s">
        <v>59</v>
      </c>
      <c r="G1020" s="5" t="s">
        <v>196</v>
      </c>
      <c r="H1020" s="5" t="s">
        <v>1062</v>
      </c>
    </row>
    <row r="1021" spans="5:8" x14ac:dyDescent="0.3">
      <c r="E1021" s="5" t="s">
        <v>1049</v>
      </c>
      <c r="F1021" s="5" t="s">
        <v>59</v>
      </c>
      <c r="G1021" s="5" t="s">
        <v>198</v>
      </c>
      <c r="H1021" s="5" t="s">
        <v>1063</v>
      </c>
    </row>
    <row r="1022" spans="5:8" x14ac:dyDescent="0.3">
      <c r="E1022" s="5" t="s">
        <v>1049</v>
      </c>
      <c r="F1022" s="5" t="s">
        <v>59</v>
      </c>
      <c r="G1022" s="5" t="s">
        <v>200</v>
      </c>
      <c r="H1022" s="5" t="s">
        <v>372</v>
      </c>
    </row>
    <row r="1023" spans="5:8" x14ac:dyDescent="0.3">
      <c r="E1023" s="5" t="s">
        <v>1049</v>
      </c>
      <c r="F1023" s="5" t="s">
        <v>59</v>
      </c>
      <c r="G1023" s="5" t="s">
        <v>202</v>
      </c>
      <c r="H1023" s="5" t="s">
        <v>1064</v>
      </c>
    </row>
    <row r="1024" spans="5:8" x14ac:dyDescent="0.3">
      <c r="E1024" s="5" t="s">
        <v>1049</v>
      </c>
      <c r="F1024" s="5" t="s">
        <v>59</v>
      </c>
      <c r="G1024" s="5" t="s">
        <v>204</v>
      </c>
      <c r="H1024" s="5" t="s">
        <v>1065</v>
      </c>
    </row>
    <row r="1025" spans="5:8" x14ac:dyDescent="0.3">
      <c r="E1025" s="5" t="s">
        <v>1049</v>
      </c>
      <c r="F1025" s="5" t="s">
        <v>59</v>
      </c>
      <c r="G1025" s="5" t="s">
        <v>206</v>
      </c>
      <c r="H1025" s="5" t="s">
        <v>844</v>
      </c>
    </row>
    <row r="1026" spans="5:8" x14ac:dyDescent="0.3">
      <c r="E1026" s="5" t="s">
        <v>1049</v>
      </c>
      <c r="F1026" s="5" t="s">
        <v>59</v>
      </c>
      <c r="G1026" s="5" t="s">
        <v>208</v>
      </c>
      <c r="H1026" s="5" t="s">
        <v>374</v>
      </c>
    </row>
    <row r="1027" spans="5:8" x14ac:dyDescent="0.3">
      <c r="E1027" s="5" t="s">
        <v>1049</v>
      </c>
      <c r="F1027" s="5" t="s">
        <v>59</v>
      </c>
      <c r="G1027" s="5" t="s">
        <v>210</v>
      </c>
      <c r="H1027" s="5" t="s">
        <v>187</v>
      </c>
    </row>
    <row r="1028" spans="5:8" x14ac:dyDescent="0.3">
      <c r="E1028" s="5" t="s">
        <v>1049</v>
      </c>
      <c r="F1028" s="5" t="s">
        <v>59</v>
      </c>
      <c r="G1028" s="5" t="s">
        <v>212</v>
      </c>
      <c r="H1028" s="5" t="s">
        <v>845</v>
      </c>
    </row>
    <row r="1029" spans="5:8" x14ac:dyDescent="0.3">
      <c r="E1029" s="5" t="s">
        <v>1049</v>
      </c>
      <c r="F1029" s="5" t="s">
        <v>59</v>
      </c>
      <c r="G1029" s="5" t="s">
        <v>214</v>
      </c>
      <c r="H1029" s="5" t="s">
        <v>380</v>
      </c>
    </row>
    <row r="1030" spans="5:8" x14ac:dyDescent="0.3">
      <c r="E1030" s="5" t="s">
        <v>1049</v>
      </c>
      <c r="F1030" s="5" t="s">
        <v>59</v>
      </c>
      <c r="G1030" s="5" t="s">
        <v>216</v>
      </c>
      <c r="H1030" s="5" t="s">
        <v>847</v>
      </c>
    </row>
    <row r="1031" spans="5:8" x14ac:dyDescent="0.3">
      <c r="E1031" s="5" t="s">
        <v>1049</v>
      </c>
      <c r="F1031" s="5" t="s">
        <v>59</v>
      </c>
      <c r="G1031" s="5" t="s">
        <v>218</v>
      </c>
      <c r="H1031" s="5" t="s">
        <v>897</v>
      </c>
    </row>
    <row r="1032" spans="5:8" x14ac:dyDescent="0.3">
      <c r="E1032" s="5" t="s">
        <v>1049</v>
      </c>
      <c r="F1032" s="5" t="s">
        <v>59</v>
      </c>
      <c r="G1032" s="5" t="s">
        <v>220</v>
      </c>
      <c r="H1032" s="5" t="s">
        <v>1066</v>
      </c>
    </row>
    <row r="1033" spans="5:8" x14ac:dyDescent="0.3">
      <c r="E1033" s="5" t="s">
        <v>1049</v>
      </c>
      <c r="F1033" s="5" t="s">
        <v>59</v>
      </c>
      <c r="G1033" s="5" t="s">
        <v>222</v>
      </c>
      <c r="H1033" s="5" t="s">
        <v>1067</v>
      </c>
    </row>
    <row r="1034" spans="5:8" x14ac:dyDescent="0.3">
      <c r="E1034" s="5" t="s">
        <v>1049</v>
      </c>
      <c r="F1034" s="5" t="s">
        <v>59</v>
      </c>
      <c r="G1034" s="5" t="s">
        <v>224</v>
      </c>
      <c r="H1034" s="5" t="s">
        <v>1068</v>
      </c>
    </row>
    <row r="1035" spans="5:8" x14ac:dyDescent="0.3">
      <c r="E1035" s="5" t="s">
        <v>1049</v>
      </c>
      <c r="F1035" s="5" t="s">
        <v>59</v>
      </c>
      <c r="G1035" s="5" t="s">
        <v>226</v>
      </c>
      <c r="H1035" s="5" t="s">
        <v>217</v>
      </c>
    </row>
    <row r="1036" spans="5:8" x14ac:dyDescent="0.3">
      <c r="E1036" s="5" t="s">
        <v>1049</v>
      </c>
      <c r="F1036" s="5" t="s">
        <v>59</v>
      </c>
      <c r="G1036" s="5" t="s">
        <v>228</v>
      </c>
      <c r="H1036" s="5" t="s">
        <v>1069</v>
      </c>
    </row>
    <row r="1037" spans="5:8" x14ac:dyDescent="0.3">
      <c r="E1037" s="5" t="s">
        <v>1049</v>
      </c>
      <c r="F1037" s="5" t="s">
        <v>59</v>
      </c>
      <c r="G1037" s="5" t="s">
        <v>230</v>
      </c>
      <c r="H1037" s="5" t="s">
        <v>649</v>
      </c>
    </row>
    <row r="1038" spans="5:8" x14ac:dyDescent="0.3">
      <c r="E1038" s="5" t="s">
        <v>1049</v>
      </c>
      <c r="F1038" s="5" t="s">
        <v>59</v>
      </c>
      <c r="G1038" s="5" t="s">
        <v>232</v>
      </c>
      <c r="H1038" s="5" t="s">
        <v>219</v>
      </c>
    </row>
    <row r="1039" spans="5:8" x14ac:dyDescent="0.3">
      <c r="E1039" s="5" t="s">
        <v>1049</v>
      </c>
      <c r="F1039" s="5" t="s">
        <v>59</v>
      </c>
      <c r="G1039" s="5" t="s">
        <v>234</v>
      </c>
      <c r="H1039" s="5" t="s">
        <v>385</v>
      </c>
    </row>
    <row r="1040" spans="5:8" x14ac:dyDescent="0.3">
      <c r="E1040" s="5" t="s">
        <v>1049</v>
      </c>
      <c r="F1040" s="5" t="s">
        <v>59</v>
      </c>
      <c r="G1040" s="5" t="s">
        <v>236</v>
      </c>
      <c r="H1040" s="5" t="s">
        <v>853</v>
      </c>
    </row>
    <row r="1041" spans="5:8" x14ac:dyDescent="0.3">
      <c r="E1041" s="5" t="s">
        <v>1049</v>
      </c>
      <c r="F1041" s="5" t="s">
        <v>59</v>
      </c>
      <c r="G1041" s="5" t="s">
        <v>238</v>
      </c>
      <c r="H1041" s="5" t="s">
        <v>1070</v>
      </c>
    </row>
    <row r="1042" spans="5:8" x14ac:dyDescent="0.3">
      <c r="E1042" s="5" t="s">
        <v>1049</v>
      </c>
      <c r="F1042" s="5" t="s">
        <v>59</v>
      </c>
      <c r="G1042" s="5" t="s">
        <v>240</v>
      </c>
      <c r="H1042" s="5" t="s">
        <v>387</v>
      </c>
    </row>
    <row r="1043" spans="5:8" x14ac:dyDescent="0.3">
      <c r="E1043" s="5" t="s">
        <v>1049</v>
      </c>
      <c r="F1043" s="5" t="s">
        <v>59</v>
      </c>
      <c r="G1043" s="5" t="s">
        <v>242</v>
      </c>
      <c r="H1043" s="5" t="s">
        <v>1071</v>
      </c>
    </row>
    <row r="1044" spans="5:8" x14ac:dyDescent="0.3">
      <c r="E1044" s="5" t="s">
        <v>1049</v>
      </c>
      <c r="F1044" s="5" t="s">
        <v>59</v>
      </c>
      <c r="G1044" s="5" t="s">
        <v>244</v>
      </c>
      <c r="H1044" s="5" t="s">
        <v>1072</v>
      </c>
    </row>
    <row r="1045" spans="5:8" x14ac:dyDescent="0.3">
      <c r="E1045" s="5" t="s">
        <v>1049</v>
      </c>
      <c r="F1045" s="5" t="s">
        <v>59</v>
      </c>
      <c r="G1045" s="5" t="s">
        <v>246</v>
      </c>
      <c r="H1045" s="5" t="s">
        <v>1073</v>
      </c>
    </row>
    <row r="1046" spans="5:8" x14ac:dyDescent="0.3">
      <c r="E1046" s="5" t="s">
        <v>1049</v>
      </c>
      <c r="F1046" s="5" t="s">
        <v>59</v>
      </c>
      <c r="G1046" s="5" t="s">
        <v>248</v>
      </c>
      <c r="H1046" s="5" t="s">
        <v>1074</v>
      </c>
    </row>
    <row r="1047" spans="5:8" x14ac:dyDescent="0.3">
      <c r="E1047" s="5" t="s">
        <v>1049</v>
      </c>
      <c r="F1047" s="5" t="s">
        <v>59</v>
      </c>
      <c r="G1047" s="5" t="s">
        <v>250</v>
      </c>
      <c r="H1047" s="5" t="s">
        <v>659</v>
      </c>
    </row>
    <row r="1048" spans="5:8" x14ac:dyDescent="0.3">
      <c r="E1048" s="5" t="s">
        <v>1049</v>
      </c>
      <c r="F1048" s="5" t="s">
        <v>59</v>
      </c>
      <c r="G1048" s="5" t="s">
        <v>252</v>
      </c>
      <c r="H1048" s="5" t="s">
        <v>855</v>
      </c>
    </row>
    <row r="1049" spans="5:8" x14ac:dyDescent="0.3">
      <c r="E1049" s="5" t="s">
        <v>1049</v>
      </c>
      <c r="F1049" s="5" t="s">
        <v>59</v>
      </c>
      <c r="G1049" s="5" t="s">
        <v>254</v>
      </c>
      <c r="H1049" s="5" t="s">
        <v>1075</v>
      </c>
    </row>
    <row r="1050" spans="5:8" x14ac:dyDescent="0.3">
      <c r="E1050" s="5" t="s">
        <v>1049</v>
      </c>
      <c r="F1050" s="5" t="s">
        <v>59</v>
      </c>
      <c r="G1050" s="5" t="s">
        <v>256</v>
      </c>
      <c r="H1050" s="5" t="s">
        <v>904</v>
      </c>
    </row>
    <row r="1051" spans="5:8" x14ac:dyDescent="0.3">
      <c r="E1051" s="5" t="s">
        <v>1049</v>
      </c>
      <c r="F1051" s="5" t="s">
        <v>59</v>
      </c>
      <c r="G1051" s="5" t="s">
        <v>258</v>
      </c>
      <c r="H1051" s="5" t="s">
        <v>662</v>
      </c>
    </row>
    <row r="1052" spans="5:8" x14ac:dyDescent="0.3">
      <c r="E1052" s="5" t="s">
        <v>1049</v>
      </c>
      <c r="F1052" s="5" t="s">
        <v>59</v>
      </c>
      <c r="G1052" s="5" t="s">
        <v>260</v>
      </c>
      <c r="H1052" s="5" t="s">
        <v>856</v>
      </c>
    </row>
    <row r="1053" spans="5:8" x14ac:dyDescent="0.3">
      <c r="E1053" s="5" t="s">
        <v>1049</v>
      </c>
      <c r="F1053" s="5" t="s">
        <v>59</v>
      </c>
      <c r="G1053" s="5" t="s">
        <v>262</v>
      </c>
      <c r="H1053" s="5" t="s">
        <v>227</v>
      </c>
    </row>
    <row r="1054" spans="5:8" x14ac:dyDescent="0.3">
      <c r="E1054" s="5" t="s">
        <v>1049</v>
      </c>
      <c r="F1054" s="5" t="s">
        <v>59</v>
      </c>
      <c r="G1054" s="5" t="s">
        <v>264</v>
      </c>
      <c r="H1054" s="5" t="s">
        <v>1076</v>
      </c>
    </row>
    <row r="1055" spans="5:8" x14ac:dyDescent="0.3">
      <c r="E1055" s="5" t="s">
        <v>1049</v>
      </c>
      <c r="F1055" s="5" t="s">
        <v>59</v>
      </c>
      <c r="G1055" s="5" t="s">
        <v>266</v>
      </c>
      <c r="H1055" s="5" t="s">
        <v>1077</v>
      </c>
    </row>
    <row r="1056" spans="5:8" x14ac:dyDescent="0.3">
      <c r="E1056" s="5" t="s">
        <v>1049</v>
      </c>
      <c r="F1056" s="5" t="s">
        <v>59</v>
      </c>
      <c r="G1056" s="5" t="s">
        <v>268</v>
      </c>
      <c r="H1056" s="5" t="s">
        <v>231</v>
      </c>
    </row>
    <row r="1057" spans="5:8" x14ac:dyDescent="0.3">
      <c r="E1057" s="5" t="s">
        <v>1049</v>
      </c>
      <c r="F1057" s="5" t="s">
        <v>59</v>
      </c>
      <c r="G1057" s="5" t="s">
        <v>270</v>
      </c>
      <c r="H1057" s="5" t="s">
        <v>233</v>
      </c>
    </row>
    <row r="1058" spans="5:8" x14ac:dyDescent="0.3">
      <c r="E1058" s="5" t="s">
        <v>1049</v>
      </c>
      <c r="F1058" s="5" t="s">
        <v>59</v>
      </c>
      <c r="G1058" s="5" t="s">
        <v>272</v>
      </c>
      <c r="H1058" s="5" t="s">
        <v>1078</v>
      </c>
    </row>
    <row r="1059" spans="5:8" x14ac:dyDescent="0.3">
      <c r="E1059" s="5" t="s">
        <v>1049</v>
      </c>
      <c r="F1059" s="5" t="s">
        <v>59</v>
      </c>
      <c r="G1059" s="5" t="s">
        <v>274</v>
      </c>
      <c r="H1059" s="5" t="s">
        <v>393</v>
      </c>
    </row>
    <row r="1060" spans="5:8" x14ac:dyDescent="0.3">
      <c r="E1060" s="5" t="s">
        <v>1049</v>
      </c>
      <c r="F1060" s="5" t="s">
        <v>59</v>
      </c>
      <c r="G1060" s="5" t="s">
        <v>276</v>
      </c>
      <c r="H1060" s="5" t="s">
        <v>1079</v>
      </c>
    </row>
    <row r="1061" spans="5:8" x14ac:dyDescent="0.3">
      <c r="E1061" s="5" t="s">
        <v>1049</v>
      </c>
      <c r="F1061" s="5" t="s">
        <v>59</v>
      </c>
      <c r="G1061" s="5" t="s">
        <v>278</v>
      </c>
      <c r="H1061" s="5" t="s">
        <v>1080</v>
      </c>
    </row>
    <row r="1062" spans="5:8" x14ac:dyDescent="0.3">
      <c r="E1062" s="5" t="s">
        <v>1049</v>
      </c>
      <c r="F1062" s="5" t="s">
        <v>59</v>
      </c>
      <c r="G1062" s="5" t="s">
        <v>280</v>
      </c>
      <c r="H1062" s="5" t="s">
        <v>863</v>
      </c>
    </row>
    <row r="1063" spans="5:8" x14ac:dyDescent="0.3">
      <c r="E1063" s="5" t="s">
        <v>1049</v>
      </c>
      <c r="F1063" s="5" t="s">
        <v>59</v>
      </c>
      <c r="G1063" s="5" t="s">
        <v>282</v>
      </c>
      <c r="H1063" s="5" t="s">
        <v>1081</v>
      </c>
    </row>
    <row r="1064" spans="5:8" x14ac:dyDescent="0.3">
      <c r="E1064" s="5" t="s">
        <v>1049</v>
      </c>
      <c r="F1064" s="5" t="s">
        <v>59</v>
      </c>
      <c r="G1064" s="5" t="s">
        <v>284</v>
      </c>
      <c r="H1064" s="5" t="s">
        <v>1082</v>
      </c>
    </row>
    <row r="1065" spans="5:8" x14ac:dyDescent="0.3">
      <c r="E1065" s="5" t="s">
        <v>1049</v>
      </c>
      <c r="F1065" s="5" t="s">
        <v>59</v>
      </c>
      <c r="G1065" s="5" t="s">
        <v>286</v>
      </c>
      <c r="H1065" s="5" t="s">
        <v>239</v>
      </c>
    </row>
    <row r="1066" spans="5:8" x14ac:dyDescent="0.3">
      <c r="E1066" s="5" t="s">
        <v>1049</v>
      </c>
      <c r="F1066" s="5" t="s">
        <v>59</v>
      </c>
      <c r="G1066" s="5" t="s">
        <v>288</v>
      </c>
      <c r="H1066" s="5" t="s">
        <v>241</v>
      </c>
    </row>
    <row r="1067" spans="5:8" x14ac:dyDescent="0.3">
      <c r="E1067" s="5" t="s">
        <v>1049</v>
      </c>
      <c r="F1067" s="5" t="s">
        <v>59</v>
      </c>
      <c r="G1067" s="5" t="s">
        <v>290</v>
      </c>
      <c r="H1067" s="5" t="s">
        <v>1083</v>
      </c>
    </row>
    <row r="1068" spans="5:8" x14ac:dyDescent="0.3">
      <c r="E1068" s="5" t="s">
        <v>1049</v>
      </c>
      <c r="F1068" s="5" t="s">
        <v>59</v>
      </c>
      <c r="G1068" s="5" t="s">
        <v>292</v>
      </c>
      <c r="H1068" s="5" t="s">
        <v>1084</v>
      </c>
    </row>
    <row r="1069" spans="5:8" x14ac:dyDescent="0.3">
      <c r="E1069" s="5" t="s">
        <v>1049</v>
      </c>
      <c r="F1069" s="5" t="s">
        <v>59</v>
      </c>
      <c r="G1069" s="5" t="s">
        <v>416</v>
      </c>
      <c r="H1069" s="5" t="s">
        <v>826</v>
      </c>
    </row>
    <row r="1070" spans="5:8" x14ac:dyDescent="0.3">
      <c r="E1070" s="5" t="s">
        <v>1049</v>
      </c>
      <c r="F1070" s="5" t="s">
        <v>59</v>
      </c>
      <c r="G1070" s="5" t="s">
        <v>418</v>
      </c>
      <c r="H1070" s="5" t="s">
        <v>395</v>
      </c>
    </row>
    <row r="1071" spans="5:8" x14ac:dyDescent="0.3">
      <c r="E1071" s="5" t="s">
        <v>1049</v>
      </c>
      <c r="F1071" s="5" t="s">
        <v>59</v>
      </c>
      <c r="G1071" s="5" t="s">
        <v>420</v>
      </c>
      <c r="H1071" s="5" t="s">
        <v>865</v>
      </c>
    </row>
    <row r="1072" spans="5:8" x14ac:dyDescent="0.3">
      <c r="E1072" s="5" t="s">
        <v>1049</v>
      </c>
      <c r="F1072" s="5" t="s">
        <v>59</v>
      </c>
      <c r="G1072" s="5" t="s">
        <v>422</v>
      </c>
      <c r="H1072" s="5" t="s">
        <v>397</v>
      </c>
    </row>
    <row r="1073" spans="5:8" x14ac:dyDescent="0.3">
      <c r="E1073" s="5" t="s">
        <v>1049</v>
      </c>
      <c r="F1073" s="5" t="s">
        <v>59</v>
      </c>
      <c r="G1073" s="5" t="s">
        <v>424</v>
      </c>
      <c r="H1073" s="5" t="s">
        <v>960</v>
      </c>
    </row>
    <row r="1074" spans="5:8" x14ac:dyDescent="0.3">
      <c r="E1074" s="5" t="s">
        <v>1049</v>
      </c>
      <c r="F1074" s="5" t="s">
        <v>59</v>
      </c>
      <c r="G1074" s="5" t="s">
        <v>664</v>
      </c>
      <c r="H1074" s="5" t="s">
        <v>249</v>
      </c>
    </row>
    <row r="1075" spans="5:8" x14ac:dyDescent="0.3">
      <c r="E1075" s="5" t="s">
        <v>1049</v>
      </c>
      <c r="F1075" s="5" t="s">
        <v>59</v>
      </c>
      <c r="G1075" s="5" t="s">
        <v>665</v>
      </c>
      <c r="H1075" s="5" t="s">
        <v>1087</v>
      </c>
    </row>
    <row r="1076" spans="5:8" x14ac:dyDescent="0.3">
      <c r="E1076" s="5" t="s">
        <v>1049</v>
      </c>
      <c r="F1076" s="5" t="s">
        <v>59</v>
      </c>
      <c r="G1076" s="5" t="s">
        <v>666</v>
      </c>
      <c r="H1076" s="5" t="s">
        <v>253</v>
      </c>
    </row>
    <row r="1077" spans="5:8" x14ac:dyDescent="0.3">
      <c r="E1077" s="5" t="s">
        <v>1049</v>
      </c>
      <c r="F1077" s="5" t="s">
        <v>59</v>
      </c>
      <c r="G1077" s="5" t="s">
        <v>668</v>
      </c>
      <c r="H1077" s="5" t="s">
        <v>255</v>
      </c>
    </row>
    <row r="1078" spans="5:8" x14ac:dyDescent="0.3">
      <c r="E1078" s="5" t="s">
        <v>1049</v>
      </c>
      <c r="F1078" s="5" t="s">
        <v>59</v>
      </c>
      <c r="G1078" s="5" t="s">
        <v>669</v>
      </c>
      <c r="H1078" s="5" t="s">
        <v>586</v>
      </c>
    </row>
    <row r="1079" spans="5:8" x14ac:dyDescent="0.3">
      <c r="E1079" s="5" t="s">
        <v>1049</v>
      </c>
      <c r="F1079" s="5" t="s">
        <v>59</v>
      </c>
      <c r="G1079" s="5" t="s">
        <v>671</v>
      </c>
      <c r="H1079" s="5" t="s">
        <v>870</v>
      </c>
    </row>
    <row r="1080" spans="5:8" x14ac:dyDescent="0.3">
      <c r="E1080" s="5" t="s">
        <v>1049</v>
      </c>
      <c r="F1080" s="5" t="s">
        <v>59</v>
      </c>
      <c r="G1080" s="5" t="s">
        <v>425</v>
      </c>
      <c r="H1080" s="5" t="s">
        <v>1085</v>
      </c>
    </row>
    <row r="1081" spans="5:8" x14ac:dyDescent="0.3">
      <c r="E1081" s="5" t="s">
        <v>1049</v>
      </c>
      <c r="F1081" s="5" t="s">
        <v>59</v>
      </c>
      <c r="G1081" s="5" t="s">
        <v>427</v>
      </c>
      <c r="H1081" s="5" t="s">
        <v>1086</v>
      </c>
    </row>
    <row r="1082" spans="5:8" x14ac:dyDescent="0.3">
      <c r="E1082" s="5" t="s">
        <v>1049</v>
      </c>
      <c r="F1082" s="5" t="s">
        <v>59</v>
      </c>
      <c r="G1082" s="5" t="s">
        <v>429</v>
      </c>
      <c r="H1082" s="5" t="s">
        <v>868</v>
      </c>
    </row>
    <row r="1083" spans="5:8" x14ac:dyDescent="0.3">
      <c r="E1083" s="5" t="s">
        <v>1049</v>
      </c>
      <c r="F1083" s="5" t="s">
        <v>59</v>
      </c>
      <c r="G1083" s="5" t="s">
        <v>673</v>
      </c>
      <c r="H1083" s="5" t="s">
        <v>1014</v>
      </c>
    </row>
    <row r="1084" spans="5:8" x14ac:dyDescent="0.3">
      <c r="E1084" s="5" t="s">
        <v>1049</v>
      </c>
      <c r="F1084" s="5" t="s">
        <v>59</v>
      </c>
      <c r="G1084" s="5" t="s">
        <v>674</v>
      </c>
      <c r="H1084" s="5" t="s">
        <v>1088</v>
      </c>
    </row>
    <row r="1085" spans="5:8" x14ac:dyDescent="0.3">
      <c r="E1085" s="5" t="s">
        <v>1049</v>
      </c>
      <c r="F1085" s="5" t="s">
        <v>59</v>
      </c>
      <c r="G1085" s="5" t="s">
        <v>676</v>
      </c>
      <c r="H1085" s="5" t="s">
        <v>873</v>
      </c>
    </row>
    <row r="1086" spans="5:8" x14ac:dyDescent="0.3">
      <c r="E1086" s="5" t="s">
        <v>1049</v>
      </c>
      <c r="F1086" s="5" t="s">
        <v>59</v>
      </c>
      <c r="G1086" s="5" t="s">
        <v>677</v>
      </c>
      <c r="H1086" s="5" t="s">
        <v>1089</v>
      </c>
    </row>
    <row r="1087" spans="5:8" x14ac:dyDescent="0.3">
      <c r="E1087" s="5" t="s">
        <v>1049</v>
      </c>
      <c r="F1087" s="5" t="s">
        <v>59</v>
      </c>
      <c r="G1087" s="5" t="s">
        <v>679</v>
      </c>
      <c r="H1087" s="5" t="s">
        <v>259</v>
      </c>
    </row>
    <row r="1088" spans="5:8" x14ac:dyDescent="0.3">
      <c r="E1088" s="5" t="s">
        <v>1049</v>
      </c>
      <c r="F1088" s="5" t="s">
        <v>59</v>
      </c>
      <c r="G1088" s="5" t="s">
        <v>680</v>
      </c>
      <c r="H1088" s="5" t="s">
        <v>261</v>
      </c>
    </row>
    <row r="1089" spans="5:8" x14ac:dyDescent="0.3">
      <c r="E1089" s="5" t="s">
        <v>1049</v>
      </c>
      <c r="F1089" s="5" t="s">
        <v>59</v>
      </c>
      <c r="G1089" s="5" t="s">
        <v>682</v>
      </c>
      <c r="H1089" s="5" t="s">
        <v>263</v>
      </c>
    </row>
    <row r="1090" spans="5:8" x14ac:dyDescent="0.3">
      <c r="E1090" s="5" t="s">
        <v>1049</v>
      </c>
      <c r="F1090" s="5" t="s">
        <v>59</v>
      </c>
      <c r="G1090" s="5" t="s">
        <v>684</v>
      </c>
      <c r="H1090" s="5" t="s">
        <v>1090</v>
      </c>
    </row>
    <row r="1091" spans="5:8" x14ac:dyDescent="0.3">
      <c r="E1091" s="5" t="s">
        <v>1049</v>
      </c>
      <c r="F1091" s="5" t="s">
        <v>59</v>
      </c>
      <c r="G1091" s="5" t="s">
        <v>685</v>
      </c>
      <c r="H1091" s="5" t="s">
        <v>1091</v>
      </c>
    </row>
    <row r="1092" spans="5:8" x14ac:dyDescent="0.3">
      <c r="E1092" s="5" t="s">
        <v>1049</v>
      </c>
      <c r="F1092" s="5" t="s">
        <v>59</v>
      </c>
      <c r="G1092" s="5" t="s">
        <v>686</v>
      </c>
      <c r="H1092" s="5" t="s">
        <v>1092</v>
      </c>
    </row>
    <row r="1093" spans="5:8" x14ac:dyDescent="0.3">
      <c r="E1093" s="5" t="s">
        <v>1049</v>
      </c>
      <c r="F1093" s="5" t="s">
        <v>59</v>
      </c>
      <c r="G1093" s="5" t="s">
        <v>687</v>
      </c>
      <c r="H1093" s="5" t="s">
        <v>914</v>
      </c>
    </row>
    <row r="1094" spans="5:8" x14ac:dyDescent="0.3">
      <c r="E1094" s="5" t="s">
        <v>1049</v>
      </c>
      <c r="F1094" s="5" t="s">
        <v>59</v>
      </c>
      <c r="G1094" s="5" t="s">
        <v>326</v>
      </c>
      <c r="H1094" s="5" t="s">
        <v>1093</v>
      </c>
    </row>
    <row r="1095" spans="5:8" x14ac:dyDescent="0.3">
      <c r="E1095" s="5" t="s">
        <v>1049</v>
      </c>
      <c r="F1095" s="5" t="s">
        <v>59</v>
      </c>
      <c r="G1095" s="5" t="s">
        <v>689</v>
      </c>
      <c r="H1095" s="5" t="s">
        <v>915</v>
      </c>
    </row>
    <row r="1096" spans="5:8" x14ac:dyDescent="0.3">
      <c r="E1096" s="5" t="s">
        <v>1049</v>
      </c>
      <c r="F1096" s="5" t="s">
        <v>59</v>
      </c>
      <c r="G1096" s="5" t="s">
        <v>691</v>
      </c>
      <c r="H1096" s="5" t="s">
        <v>1094</v>
      </c>
    </row>
    <row r="1097" spans="5:8" x14ac:dyDescent="0.3">
      <c r="E1097" s="5" t="s">
        <v>1049</v>
      </c>
      <c r="F1097" s="5" t="s">
        <v>59</v>
      </c>
      <c r="G1097" s="5" t="s">
        <v>693</v>
      </c>
      <c r="H1097" s="5" t="s">
        <v>1095</v>
      </c>
    </row>
    <row r="1098" spans="5:8" x14ac:dyDescent="0.3">
      <c r="E1098" s="5" t="s">
        <v>1049</v>
      </c>
      <c r="F1098" s="5" t="s">
        <v>59</v>
      </c>
      <c r="G1098" s="5" t="s">
        <v>695</v>
      </c>
      <c r="H1098" s="5" t="s">
        <v>265</v>
      </c>
    </row>
    <row r="1099" spans="5:8" x14ac:dyDescent="0.3">
      <c r="E1099" s="5" t="s">
        <v>1049</v>
      </c>
      <c r="F1099" s="5" t="s">
        <v>59</v>
      </c>
      <c r="G1099" s="5" t="s">
        <v>330</v>
      </c>
      <c r="H1099" s="5" t="s">
        <v>269</v>
      </c>
    </row>
    <row r="1100" spans="5:8" x14ac:dyDescent="0.3">
      <c r="E1100" s="5" t="s">
        <v>1049</v>
      </c>
      <c r="F1100" s="5" t="s">
        <v>59</v>
      </c>
      <c r="G1100" s="5" t="s">
        <v>696</v>
      </c>
      <c r="H1100" s="5" t="s">
        <v>1096</v>
      </c>
    </row>
    <row r="1101" spans="5:8" x14ac:dyDescent="0.3">
      <c r="E1101" s="5" t="s">
        <v>1049</v>
      </c>
      <c r="F1101" s="5" t="s">
        <v>59</v>
      </c>
      <c r="G1101" s="5" t="s">
        <v>697</v>
      </c>
      <c r="H1101" s="5" t="s">
        <v>409</v>
      </c>
    </row>
    <row r="1102" spans="5:8" x14ac:dyDescent="0.3">
      <c r="E1102" s="5" t="s">
        <v>1049</v>
      </c>
      <c r="F1102" s="5" t="s">
        <v>59</v>
      </c>
      <c r="G1102" s="5" t="s">
        <v>699</v>
      </c>
      <c r="H1102" s="5" t="s">
        <v>1097</v>
      </c>
    </row>
    <row r="1103" spans="5:8" x14ac:dyDescent="0.3">
      <c r="E1103" s="5" t="s">
        <v>1049</v>
      </c>
      <c r="F1103" s="5" t="s">
        <v>59</v>
      </c>
      <c r="G1103" s="5" t="s">
        <v>891</v>
      </c>
      <c r="H1103" s="5" t="s">
        <v>1098</v>
      </c>
    </row>
    <row r="1104" spans="5:8" x14ac:dyDescent="0.3">
      <c r="E1104" s="5" t="s">
        <v>1049</v>
      </c>
      <c r="F1104" s="5" t="s">
        <v>59</v>
      </c>
      <c r="G1104" s="5" t="s">
        <v>700</v>
      </c>
      <c r="H1104" s="5" t="s">
        <v>1099</v>
      </c>
    </row>
    <row r="1105" spans="5:8" x14ac:dyDescent="0.3">
      <c r="E1105" s="5" t="s">
        <v>1049</v>
      </c>
      <c r="F1105" s="5" t="s">
        <v>59</v>
      </c>
      <c r="G1105" s="5" t="s">
        <v>702</v>
      </c>
      <c r="H1105" s="5" t="s">
        <v>273</v>
      </c>
    </row>
    <row r="1106" spans="5:8" x14ac:dyDescent="0.3">
      <c r="E1106" s="5" t="s">
        <v>1049</v>
      </c>
      <c r="F1106" s="5" t="s">
        <v>59</v>
      </c>
      <c r="G1106" s="5" t="s">
        <v>703</v>
      </c>
      <c r="H1106" s="5" t="s">
        <v>412</v>
      </c>
    </row>
    <row r="1107" spans="5:8" x14ac:dyDescent="0.3">
      <c r="E1107" s="5" t="s">
        <v>1049</v>
      </c>
      <c r="F1107" s="5" t="s">
        <v>59</v>
      </c>
      <c r="G1107" s="5" t="s">
        <v>704</v>
      </c>
      <c r="H1107" s="5" t="s">
        <v>277</v>
      </c>
    </row>
    <row r="1108" spans="5:8" x14ac:dyDescent="0.3">
      <c r="E1108" s="5" t="s">
        <v>1049</v>
      </c>
      <c r="F1108" s="5" t="s">
        <v>59</v>
      </c>
      <c r="G1108" s="5" t="s">
        <v>705</v>
      </c>
      <c r="H1108" s="5" t="s">
        <v>1100</v>
      </c>
    </row>
    <row r="1109" spans="5:8" x14ac:dyDescent="0.3">
      <c r="E1109" s="5" t="s">
        <v>1049</v>
      </c>
      <c r="F1109" s="5" t="s">
        <v>59</v>
      </c>
      <c r="G1109" s="5" t="s">
        <v>707</v>
      </c>
      <c r="H1109" s="5" t="s">
        <v>922</v>
      </c>
    </row>
    <row r="1110" spans="5:8" x14ac:dyDescent="0.3">
      <c r="E1110" s="5" t="s">
        <v>1049</v>
      </c>
      <c r="F1110" s="5" t="s">
        <v>59</v>
      </c>
      <c r="G1110" s="5" t="s">
        <v>709</v>
      </c>
      <c r="H1110" s="5" t="s">
        <v>603</v>
      </c>
    </row>
    <row r="1111" spans="5:8" x14ac:dyDescent="0.3">
      <c r="E1111" s="5" t="s">
        <v>1049</v>
      </c>
      <c r="F1111" s="5" t="s">
        <v>59</v>
      </c>
      <c r="G1111" s="5" t="s">
        <v>710</v>
      </c>
      <c r="H1111" s="5" t="s">
        <v>1101</v>
      </c>
    </row>
    <row r="1112" spans="5:8" x14ac:dyDescent="0.3">
      <c r="E1112" s="5" t="s">
        <v>1049</v>
      </c>
      <c r="F1112" s="5" t="s">
        <v>59</v>
      </c>
      <c r="G1112" s="5" t="s">
        <v>712</v>
      </c>
      <c r="H1112" s="5" t="s">
        <v>1102</v>
      </c>
    </row>
    <row r="1113" spans="5:8" x14ac:dyDescent="0.3">
      <c r="E1113" s="5" t="s">
        <v>1049</v>
      </c>
      <c r="F1113" s="5" t="s">
        <v>59</v>
      </c>
      <c r="G1113" s="5" t="s">
        <v>714</v>
      </c>
      <c r="H1113" s="5" t="s">
        <v>1103</v>
      </c>
    </row>
    <row r="1114" spans="5:8" x14ac:dyDescent="0.3">
      <c r="E1114" s="5" t="s">
        <v>1049</v>
      </c>
      <c r="F1114" s="5" t="s">
        <v>59</v>
      </c>
      <c r="G1114" s="5" t="s">
        <v>716</v>
      </c>
      <c r="H1114" s="5" t="s">
        <v>421</v>
      </c>
    </row>
    <row r="1115" spans="5:8" x14ac:dyDescent="0.3">
      <c r="E1115" s="5" t="s">
        <v>1049</v>
      </c>
      <c r="F1115" s="5" t="s">
        <v>59</v>
      </c>
      <c r="G1115" s="5" t="s">
        <v>718</v>
      </c>
      <c r="H1115" s="5" t="s">
        <v>779</v>
      </c>
    </row>
    <row r="1116" spans="5:8" x14ac:dyDescent="0.3">
      <c r="E1116" s="5" t="s">
        <v>1049</v>
      </c>
      <c r="F1116" s="5" t="s">
        <v>59</v>
      </c>
      <c r="G1116" s="5" t="s">
        <v>719</v>
      </c>
      <c r="H1116" s="5" t="s">
        <v>289</v>
      </c>
    </row>
    <row r="1117" spans="5:8" x14ac:dyDescent="0.3">
      <c r="E1117" s="5" t="s">
        <v>1049</v>
      </c>
      <c r="F1117" s="5" t="s">
        <v>59</v>
      </c>
      <c r="G1117" s="5" t="s">
        <v>721</v>
      </c>
      <c r="H1117" s="5" t="s">
        <v>782</v>
      </c>
    </row>
    <row r="1118" spans="5:8" x14ac:dyDescent="0.3">
      <c r="E1118" s="5" t="s">
        <v>1049</v>
      </c>
      <c r="F1118" s="5" t="s">
        <v>59</v>
      </c>
      <c r="G1118" s="5" t="s">
        <v>722</v>
      </c>
      <c r="H1118" s="5" t="s">
        <v>784</v>
      </c>
    </row>
    <row r="1119" spans="5:8" x14ac:dyDescent="0.3">
      <c r="E1119" s="5" t="s">
        <v>1049</v>
      </c>
      <c r="F1119" s="5" t="s">
        <v>59</v>
      </c>
      <c r="G1119" s="5" t="s">
        <v>723</v>
      </c>
      <c r="H1119" s="5" t="s">
        <v>934</v>
      </c>
    </row>
    <row r="1120" spans="5:8" x14ac:dyDescent="0.3">
      <c r="E1120" s="5" t="s">
        <v>1049</v>
      </c>
      <c r="F1120" s="5" t="s">
        <v>59</v>
      </c>
      <c r="G1120" s="5" t="s">
        <v>724</v>
      </c>
      <c r="H1120" s="5" t="s">
        <v>1104</v>
      </c>
    </row>
    <row r="1121" spans="5:8" x14ac:dyDescent="0.3">
      <c r="E1121" s="5" t="s">
        <v>1049</v>
      </c>
      <c r="F1121" s="5" t="s">
        <v>59</v>
      </c>
      <c r="G1121" s="5" t="s">
        <v>725</v>
      </c>
      <c r="H1121" s="5" t="s">
        <v>892</v>
      </c>
    </row>
    <row r="1122" spans="5:8" x14ac:dyDescent="0.3">
      <c r="E1122" s="5" t="s">
        <v>1105</v>
      </c>
      <c r="F1122" s="5" t="s">
        <v>61</v>
      </c>
      <c r="G1122" s="5" t="s">
        <v>160</v>
      </c>
      <c r="H1122" s="5" t="s">
        <v>1106</v>
      </c>
    </row>
    <row r="1123" spans="5:8" x14ac:dyDescent="0.3">
      <c r="E1123" s="5" t="s">
        <v>1105</v>
      </c>
      <c r="F1123" s="5" t="s">
        <v>61</v>
      </c>
      <c r="G1123" s="5" t="s">
        <v>162</v>
      </c>
      <c r="H1123" s="5" t="s">
        <v>1107</v>
      </c>
    </row>
    <row r="1124" spans="5:8" x14ac:dyDescent="0.3">
      <c r="E1124" s="5" t="s">
        <v>1105</v>
      </c>
      <c r="F1124" s="5" t="s">
        <v>61</v>
      </c>
      <c r="G1124" s="5" t="s">
        <v>164</v>
      </c>
      <c r="H1124" s="5" t="s">
        <v>1108</v>
      </c>
    </row>
    <row r="1125" spans="5:8" x14ac:dyDescent="0.3">
      <c r="E1125" s="5" t="s">
        <v>1105</v>
      </c>
      <c r="F1125" s="5" t="s">
        <v>61</v>
      </c>
      <c r="G1125" s="5" t="s">
        <v>166</v>
      </c>
      <c r="H1125" s="5" t="s">
        <v>1109</v>
      </c>
    </row>
    <row r="1126" spans="5:8" x14ac:dyDescent="0.3">
      <c r="E1126" s="5" t="s">
        <v>1105</v>
      </c>
      <c r="F1126" s="5" t="s">
        <v>61</v>
      </c>
      <c r="G1126" s="5" t="s">
        <v>168</v>
      </c>
      <c r="H1126" s="5" t="s">
        <v>1110</v>
      </c>
    </row>
    <row r="1127" spans="5:8" x14ac:dyDescent="0.3">
      <c r="E1127" s="5" t="s">
        <v>1105</v>
      </c>
      <c r="F1127" s="5" t="s">
        <v>61</v>
      </c>
      <c r="G1127" s="5" t="s">
        <v>170</v>
      </c>
      <c r="H1127" s="5" t="s">
        <v>1111</v>
      </c>
    </row>
    <row r="1128" spans="5:8" x14ac:dyDescent="0.3">
      <c r="E1128" s="5" t="s">
        <v>1105</v>
      </c>
      <c r="F1128" s="5" t="s">
        <v>61</v>
      </c>
      <c r="G1128" s="5" t="s">
        <v>172</v>
      </c>
      <c r="H1128" s="5" t="s">
        <v>1112</v>
      </c>
    </row>
    <row r="1129" spans="5:8" x14ac:dyDescent="0.3">
      <c r="E1129" s="5" t="s">
        <v>1105</v>
      </c>
      <c r="F1129" s="5" t="s">
        <v>61</v>
      </c>
      <c r="G1129" s="5" t="s">
        <v>174</v>
      </c>
      <c r="H1129" s="5" t="s">
        <v>1113</v>
      </c>
    </row>
    <row r="1130" spans="5:8" x14ac:dyDescent="0.3">
      <c r="E1130" s="5" t="s">
        <v>1105</v>
      </c>
      <c r="F1130" s="5" t="s">
        <v>61</v>
      </c>
      <c r="G1130" s="5" t="s">
        <v>176</v>
      </c>
      <c r="H1130" s="5" t="s">
        <v>1114</v>
      </c>
    </row>
    <row r="1131" spans="5:8" x14ac:dyDescent="0.3">
      <c r="E1131" s="5" t="s">
        <v>1105</v>
      </c>
      <c r="F1131" s="5" t="s">
        <v>61</v>
      </c>
      <c r="G1131" s="5" t="s">
        <v>178</v>
      </c>
      <c r="H1131" s="5" t="s">
        <v>1115</v>
      </c>
    </row>
    <row r="1132" spans="5:8" x14ac:dyDescent="0.3">
      <c r="E1132" s="5" t="s">
        <v>1105</v>
      </c>
      <c r="F1132" s="5" t="s">
        <v>61</v>
      </c>
      <c r="G1132" s="5" t="s">
        <v>180</v>
      </c>
      <c r="H1132" s="5" t="s">
        <v>1116</v>
      </c>
    </row>
    <row r="1133" spans="5:8" x14ac:dyDescent="0.3">
      <c r="E1133" s="5" t="s">
        <v>1105</v>
      </c>
      <c r="F1133" s="5" t="s">
        <v>61</v>
      </c>
      <c r="G1133" s="5" t="s">
        <v>182</v>
      </c>
      <c r="H1133" s="5" t="s">
        <v>1117</v>
      </c>
    </row>
    <row r="1134" spans="5:8" x14ac:dyDescent="0.3">
      <c r="E1134" s="5" t="s">
        <v>1105</v>
      </c>
      <c r="F1134" s="5" t="s">
        <v>61</v>
      </c>
      <c r="G1134" s="5" t="s">
        <v>184</v>
      </c>
      <c r="H1134" s="5" t="s">
        <v>1118</v>
      </c>
    </row>
    <row r="1135" spans="5:8" x14ac:dyDescent="0.3">
      <c r="E1135" s="5" t="s">
        <v>1105</v>
      </c>
      <c r="F1135" s="5" t="s">
        <v>61</v>
      </c>
      <c r="G1135" s="5" t="s">
        <v>186</v>
      </c>
      <c r="H1135" s="5" t="s">
        <v>1119</v>
      </c>
    </row>
    <row r="1136" spans="5:8" x14ac:dyDescent="0.3">
      <c r="E1136" s="5" t="s">
        <v>1105</v>
      </c>
      <c r="F1136" s="5" t="s">
        <v>61</v>
      </c>
      <c r="G1136" s="5" t="s">
        <v>188</v>
      </c>
      <c r="H1136" s="5" t="s">
        <v>1120</v>
      </c>
    </row>
    <row r="1137" spans="5:8" x14ac:dyDescent="0.3">
      <c r="E1137" s="5" t="s">
        <v>1105</v>
      </c>
      <c r="F1137" s="5" t="s">
        <v>61</v>
      </c>
      <c r="G1137" s="5" t="s">
        <v>190</v>
      </c>
      <c r="H1137" s="5" t="s">
        <v>1121</v>
      </c>
    </row>
    <row r="1138" spans="5:8" x14ac:dyDescent="0.3">
      <c r="E1138" s="5" t="s">
        <v>1105</v>
      </c>
      <c r="F1138" s="5" t="s">
        <v>61</v>
      </c>
      <c r="G1138" s="5" t="s">
        <v>192</v>
      </c>
      <c r="H1138" s="5" t="s">
        <v>1122</v>
      </c>
    </row>
    <row r="1139" spans="5:8" x14ac:dyDescent="0.3">
      <c r="E1139" s="5" t="s">
        <v>1105</v>
      </c>
      <c r="F1139" s="5" t="s">
        <v>61</v>
      </c>
      <c r="G1139" s="5" t="s">
        <v>194</v>
      </c>
      <c r="H1139" s="5" t="s">
        <v>1123</v>
      </c>
    </row>
    <row r="1140" spans="5:8" x14ac:dyDescent="0.3">
      <c r="E1140" s="5" t="s">
        <v>1105</v>
      </c>
      <c r="F1140" s="5" t="s">
        <v>61</v>
      </c>
      <c r="G1140" s="5" t="s">
        <v>196</v>
      </c>
      <c r="H1140" s="5" t="s">
        <v>1124</v>
      </c>
    </row>
    <row r="1141" spans="5:8" x14ac:dyDescent="0.3">
      <c r="E1141" s="5" t="s">
        <v>1105</v>
      </c>
      <c r="F1141" s="5" t="s">
        <v>61</v>
      </c>
      <c r="G1141" s="5" t="s">
        <v>198</v>
      </c>
      <c r="H1141" s="5" t="s">
        <v>1125</v>
      </c>
    </row>
    <row r="1142" spans="5:8" x14ac:dyDescent="0.3">
      <c r="E1142" s="5" t="s">
        <v>1105</v>
      </c>
      <c r="F1142" s="5" t="s">
        <v>61</v>
      </c>
      <c r="G1142" s="5" t="s">
        <v>200</v>
      </c>
      <c r="H1142" s="5" t="s">
        <v>1126</v>
      </c>
    </row>
    <row r="1143" spans="5:8" x14ac:dyDescent="0.3">
      <c r="E1143" s="5" t="s">
        <v>1105</v>
      </c>
      <c r="F1143" s="5" t="s">
        <v>61</v>
      </c>
      <c r="G1143" s="5" t="s">
        <v>202</v>
      </c>
      <c r="H1143" s="5" t="s">
        <v>1127</v>
      </c>
    </row>
    <row r="1144" spans="5:8" x14ac:dyDescent="0.3">
      <c r="E1144" s="5" t="s">
        <v>1105</v>
      </c>
      <c r="F1144" s="5" t="s">
        <v>61</v>
      </c>
      <c r="G1144" s="5" t="s">
        <v>204</v>
      </c>
      <c r="H1144" s="5" t="s">
        <v>1128</v>
      </c>
    </row>
    <row r="1145" spans="5:8" x14ac:dyDescent="0.3">
      <c r="E1145" s="5" t="s">
        <v>1105</v>
      </c>
      <c r="F1145" s="5" t="s">
        <v>61</v>
      </c>
      <c r="G1145" s="5" t="s">
        <v>206</v>
      </c>
      <c r="H1145" s="5" t="s">
        <v>1129</v>
      </c>
    </row>
    <row r="1146" spans="5:8" x14ac:dyDescent="0.3">
      <c r="E1146" s="5" t="s">
        <v>1105</v>
      </c>
      <c r="F1146" s="5" t="s">
        <v>61</v>
      </c>
      <c r="G1146" s="5" t="s">
        <v>208</v>
      </c>
      <c r="H1146" s="5" t="s">
        <v>1130</v>
      </c>
    </row>
    <row r="1147" spans="5:8" x14ac:dyDescent="0.3">
      <c r="E1147" s="5" t="s">
        <v>1105</v>
      </c>
      <c r="F1147" s="5" t="s">
        <v>61</v>
      </c>
      <c r="G1147" s="5" t="s">
        <v>212</v>
      </c>
      <c r="H1147" s="5" t="s">
        <v>1132</v>
      </c>
    </row>
    <row r="1148" spans="5:8" x14ac:dyDescent="0.3">
      <c r="E1148" s="5" t="s">
        <v>1105</v>
      </c>
      <c r="F1148" s="5" t="s">
        <v>61</v>
      </c>
      <c r="G1148" s="5" t="s">
        <v>210</v>
      </c>
      <c r="H1148" s="5" t="s">
        <v>1131</v>
      </c>
    </row>
    <row r="1149" spans="5:8" x14ac:dyDescent="0.3">
      <c r="E1149" s="5" t="s">
        <v>1105</v>
      </c>
      <c r="F1149" s="5" t="s">
        <v>61</v>
      </c>
      <c r="G1149" s="5" t="s">
        <v>218</v>
      </c>
      <c r="H1149" s="5" t="s">
        <v>1135</v>
      </c>
    </row>
    <row r="1150" spans="5:8" x14ac:dyDescent="0.3">
      <c r="E1150" s="5" t="s">
        <v>1105</v>
      </c>
      <c r="F1150" s="5" t="s">
        <v>61</v>
      </c>
      <c r="G1150" s="5" t="s">
        <v>214</v>
      </c>
      <c r="H1150" s="5" t="s">
        <v>1133</v>
      </c>
    </row>
    <row r="1151" spans="5:8" x14ac:dyDescent="0.3">
      <c r="E1151" s="5" t="s">
        <v>1105</v>
      </c>
      <c r="F1151" s="5" t="s">
        <v>61</v>
      </c>
      <c r="G1151" s="5" t="s">
        <v>216</v>
      </c>
      <c r="H1151" s="5" t="s">
        <v>1134</v>
      </c>
    </row>
    <row r="1152" spans="5:8" x14ac:dyDescent="0.3">
      <c r="E1152" s="5" t="s">
        <v>1105</v>
      </c>
      <c r="F1152" s="5" t="s">
        <v>61</v>
      </c>
      <c r="G1152" s="5" t="s">
        <v>220</v>
      </c>
      <c r="H1152" s="5" t="s">
        <v>1136</v>
      </c>
    </row>
    <row r="1153" spans="5:8" x14ac:dyDescent="0.3">
      <c r="E1153" s="5" t="s">
        <v>1105</v>
      </c>
      <c r="F1153" s="5" t="s">
        <v>61</v>
      </c>
      <c r="G1153" s="5" t="s">
        <v>222</v>
      </c>
      <c r="H1153" s="5" t="s">
        <v>1137</v>
      </c>
    </row>
    <row r="1154" spans="5:8" x14ac:dyDescent="0.3">
      <c r="E1154" s="5" t="s">
        <v>1105</v>
      </c>
      <c r="F1154" s="5" t="s">
        <v>61</v>
      </c>
      <c r="G1154" s="5" t="s">
        <v>224</v>
      </c>
      <c r="H1154" s="5" t="s">
        <v>1138</v>
      </c>
    </row>
    <row r="1155" spans="5:8" x14ac:dyDescent="0.3">
      <c r="E1155" s="5" t="s">
        <v>1105</v>
      </c>
      <c r="F1155" s="5" t="s">
        <v>61</v>
      </c>
      <c r="G1155" s="5" t="s">
        <v>226</v>
      </c>
      <c r="H1155" s="5" t="s">
        <v>1139</v>
      </c>
    </row>
    <row r="1156" spans="5:8" x14ac:dyDescent="0.3">
      <c r="E1156" s="5" t="s">
        <v>1105</v>
      </c>
      <c r="F1156" s="5" t="s">
        <v>61</v>
      </c>
      <c r="G1156" s="5" t="s">
        <v>228</v>
      </c>
      <c r="H1156" s="5" t="s">
        <v>1140</v>
      </c>
    </row>
    <row r="1157" spans="5:8" x14ac:dyDescent="0.3">
      <c r="E1157" s="5" t="s">
        <v>1105</v>
      </c>
      <c r="F1157" s="5" t="s">
        <v>61</v>
      </c>
      <c r="G1157" s="5" t="s">
        <v>230</v>
      </c>
      <c r="H1157" s="5" t="s">
        <v>1141</v>
      </c>
    </row>
    <row r="1158" spans="5:8" x14ac:dyDescent="0.3">
      <c r="E1158" s="5" t="s">
        <v>1105</v>
      </c>
      <c r="F1158" s="5" t="s">
        <v>61</v>
      </c>
      <c r="G1158" s="5" t="s">
        <v>232</v>
      </c>
      <c r="H1158" s="5" t="s">
        <v>1142</v>
      </c>
    </row>
    <row r="1159" spans="5:8" x14ac:dyDescent="0.3">
      <c r="E1159" s="5" t="s">
        <v>1105</v>
      </c>
      <c r="F1159" s="5" t="s">
        <v>61</v>
      </c>
      <c r="G1159" s="5" t="s">
        <v>234</v>
      </c>
      <c r="H1159" s="5" t="s">
        <v>1143</v>
      </c>
    </row>
    <row r="1160" spans="5:8" x14ac:dyDescent="0.3">
      <c r="E1160" s="5" t="s">
        <v>1105</v>
      </c>
      <c r="F1160" s="5" t="s">
        <v>61</v>
      </c>
      <c r="G1160" s="5" t="s">
        <v>236</v>
      </c>
      <c r="H1160" s="5" t="s">
        <v>1144</v>
      </c>
    </row>
    <row r="1161" spans="5:8" x14ac:dyDescent="0.3">
      <c r="E1161" s="5" t="s">
        <v>1105</v>
      </c>
      <c r="F1161" s="5" t="s">
        <v>61</v>
      </c>
      <c r="G1161" s="5" t="s">
        <v>238</v>
      </c>
      <c r="H1161" s="5" t="s">
        <v>1145</v>
      </c>
    </row>
    <row r="1162" spans="5:8" x14ac:dyDescent="0.3">
      <c r="E1162" s="5" t="s">
        <v>1105</v>
      </c>
      <c r="F1162" s="5" t="s">
        <v>61</v>
      </c>
      <c r="G1162" s="5" t="s">
        <v>240</v>
      </c>
      <c r="H1162" s="5" t="s">
        <v>1146</v>
      </c>
    </row>
    <row r="1163" spans="5:8" x14ac:dyDescent="0.3">
      <c r="E1163" s="5" t="s">
        <v>1105</v>
      </c>
      <c r="F1163" s="5" t="s">
        <v>61</v>
      </c>
      <c r="G1163" s="5" t="s">
        <v>242</v>
      </c>
      <c r="H1163" s="5" t="s">
        <v>1147</v>
      </c>
    </row>
    <row r="1164" spans="5:8" x14ac:dyDescent="0.3">
      <c r="E1164" s="5" t="s">
        <v>1105</v>
      </c>
      <c r="F1164" s="5" t="s">
        <v>61</v>
      </c>
      <c r="G1164" s="5" t="s">
        <v>244</v>
      </c>
      <c r="H1164" s="5" t="s">
        <v>1148</v>
      </c>
    </row>
    <row r="1165" spans="5:8" x14ac:dyDescent="0.3">
      <c r="E1165" s="5" t="s">
        <v>1105</v>
      </c>
      <c r="F1165" s="5" t="s">
        <v>61</v>
      </c>
      <c r="G1165" s="5" t="s">
        <v>246</v>
      </c>
      <c r="H1165" s="5" t="s">
        <v>1149</v>
      </c>
    </row>
    <row r="1166" spans="5:8" x14ac:dyDescent="0.3">
      <c r="E1166" s="5" t="s">
        <v>1105</v>
      </c>
      <c r="F1166" s="5" t="s">
        <v>61</v>
      </c>
      <c r="G1166" s="5" t="s">
        <v>248</v>
      </c>
      <c r="H1166" s="5" t="s">
        <v>1150</v>
      </c>
    </row>
    <row r="1167" spans="5:8" x14ac:dyDescent="0.3">
      <c r="E1167" s="5" t="s">
        <v>1105</v>
      </c>
      <c r="F1167" s="5" t="s">
        <v>61</v>
      </c>
      <c r="G1167" s="5" t="s">
        <v>250</v>
      </c>
      <c r="H1167" s="5" t="s">
        <v>1151</v>
      </c>
    </row>
    <row r="1168" spans="5:8" x14ac:dyDescent="0.3">
      <c r="E1168" s="5" t="s">
        <v>1105</v>
      </c>
      <c r="F1168" s="5" t="s">
        <v>61</v>
      </c>
      <c r="G1168" s="5" t="s">
        <v>252</v>
      </c>
      <c r="H1168" s="5" t="s">
        <v>1152</v>
      </c>
    </row>
    <row r="1169" spans="5:8" x14ac:dyDescent="0.3">
      <c r="E1169" s="5" t="s">
        <v>1105</v>
      </c>
      <c r="F1169" s="5" t="s">
        <v>61</v>
      </c>
      <c r="G1169" s="5" t="s">
        <v>254</v>
      </c>
      <c r="H1169" s="5" t="s">
        <v>1153</v>
      </c>
    </row>
    <row r="1170" spans="5:8" x14ac:dyDescent="0.3">
      <c r="E1170" s="5" t="s">
        <v>1105</v>
      </c>
      <c r="F1170" s="5" t="s">
        <v>61</v>
      </c>
      <c r="G1170" s="5" t="s">
        <v>256</v>
      </c>
      <c r="H1170" s="5" t="s">
        <v>1154</v>
      </c>
    </row>
    <row r="1171" spans="5:8" x14ac:dyDescent="0.3">
      <c r="E1171" s="5" t="s">
        <v>1105</v>
      </c>
      <c r="F1171" s="5" t="s">
        <v>61</v>
      </c>
      <c r="G1171" s="5" t="s">
        <v>258</v>
      </c>
      <c r="H1171" s="5" t="s">
        <v>1155</v>
      </c>
    </row>
    <row r="1172" spans="5:8" x14ac:dyDescent="0.3">
      <c r="E1172" s="5" t="s">
        <v>1105</v>
      </c>
      <c r="F1172" s="5" t="s">
        <v>61</v>
      </c>
      <c r="G1172" s="5" t="s">
        <v>260</v>
      </c>
      <c r="H1172" s="5" t="s">
        <v>1156</v>
      </c>
    </row>
    <row r="1173" spans="5:8" x14ac:dyDescent="0.3">
      <c r="E1173" s="5" t="s">
        <v>1105</v>
      </c>
      <c r="F1173" s="5" t="s">
        <v>61</v>
      </c>
      <c r="G1173" s="5" t="s">
        <v>262</v>
      </c>
      <c r="H1173" s="5" t="s">
        <v>1157</v>
      </c>
    </row>
    <row r="1174" spans="5:8" x14ac:dyDescent="0.3">
      <c r="E1174" s="5" t="s">
        <v>1105</v>
      </c>
      <c r="F1174" s="5" t="s">
        <v>61</v>
      </c>
      <c r="G1174" s="5" t="s">
        <v>264</v>
      </c>
      <c r="H1174" s="5" t="s">
        <v>1158</v>
      </c>
    </row>
    <row r="1175" spans="5:8" x14ac:dyDescent="0.3">
      <c r="E1175" s="5" t="s">
        <v>1105</v>
      </c>
      <c r="F1175" s="5" t="s">
        <v>61</v>
      </c>
      <c r="G1175" s="5" t="s">
        <v>266</v>
      </c>
      <c r="H1175" s="5" t="s">
        <v>1159</v>
      </c>
    </row>
    <row r="1176" spans="5:8" x14ac:dyDescent="0.3">
      <c r="E1176" s="5" t="s">
        <v>1105</v>
      </c>
      <c r="F1176" s="5" t="s">
        <v>61</v>
      </c>
      <c r="G1176" s="5" t="s">
        <v>268</v>
      </c>
      <c r="H1176" s="5" t="s">
        <v>1160</v>
      </c>
    </row>
    <row r="1177" spans="5:8" x14ac:dyDescent="0.3">
      <c r="E1177" s="5" t="s">
        <v>1105</v>
      </c>
      <c r="F1177" s="5" t="s">
        <v>61</v>
      </c>
      <c r="G1177" s="5" t="s">
        <v>270</v>
      </c>
      <c r="H1177" s="5" t="s">
        <v>1161</v>
      </c>
    </row>
    <row r="1178" spans="5:8" x14ac:dyDescent="0.3">
      <c r="E1178" s="5" t="s">
        <v>1105</v>
      </c>
      <c r="F1178" s="5" t="s">
        <v>61</v>
      </c>
      <c r="G1178" s="5" t="s">
        <v>272</v>
      </c>
      <c r="H1178" s="5" t="s">
        <v>1162</v>
      </c>
    </row>
    <row r="1179" spans="5:8" x14ac:dyDescent="0.3">
      <c r="E1179" s="5" t="s">
        <v>1105</v>
      </c>
      <c r="F1179" s="5" t="s">
        <v>61</v>
      </c>
      <c r="G1179" s="5" t="s">
        <v>274</v>
      </c>
      <c r="H1179" s="5" t="s">
        <v>1163</v>
      </c>
    </row>
    <row r="1180" spans="5:8" x14ac:dyDescent="0.3">
      <c r="E1180" s="5" t="s">
        <v>1105</v>
      </c>
      <c r="F1180" s="5" t="s">
        <v>61</v>
      </c>
      <c r="G1180" s="5" t="s">
        <v>276</v>
      </c>
      <c r="H1180" s="5" t="s">
        <v>1164</v>
      </c>
    </row>
    <row r="1181" spans="5:8" x14ac:dyDescent="0.3">
      <c r="E1181" s="5" t="s">
        <v>1105</v>
      </c>
      <c r="F1181" s="5" t="s">
        <v>61</v>
      </c>
      <c r="G1181" s="5" t="s">
        <v>278</v>
      </c>
      <c r="H1181" s="5" t="s">
        <v>1165</v>
      </c>
    </row>
    <row r="1182" spans="5:8" x14ac:dyDescent="0.3">
      <c r="E1182" s="5" t="s">
        <v>1105</v>
      </c>
      <c r="F1182" s="5" t="s">
        <v>61</v>
      </c>
      <c r="G1182" s="5" t="s">
        <v>280</v>
      </c>
      <c r="H1182" s="5" t="s">
        <v>1166</v>
      </c>
    </row>
    <row r="1183" spans="5:8" x14ac:dyDescent="0.3">
      <c r="E1183" s="5" t="s">
        <v>1105</v>
      </c>
      <c r="F1183" s="5" t="s">
        <v>61</v>
      </c>
      <c r="G1183" s="5" t="s">
        <v>282</v>
      </c>
      <c r="H1183" s="5" t="s">
        <v>1167</v>
      </c>
    </row>
    <row r="1184" spans="5:8" x14ac:dyDescent="0.3">
      <c r="E1184" s="5" t="s">
        <v>1105</v>
      </c>
      <c r="F1184" s="5" t="s">
        <v>61</v>
      </c>
      <c r="G1184" s="5" t="s">
        <v>284</v>
      </c>
      <c r="H1184" s="5" t="s">
        <v>1168</v>
      </c>
    </row>
    <row r="1185" spans="5:8" x14ac:dyDescent="0.3">
      <c r="E1185" s="5" t="s">
        <v>1105</v>
      </c>
      <c r="F1185" s="5" t="s">
        <v>61</v>
      </c>
      <c r="G1185" s="5" t="s">
        <v>286</v>
      </c>
      <c r="H1185" s="5" t="s">
        <v>1169</v>
      </c>
    </row>
    <row r="1186" spans="5:8" x14ac:dyDescent="0.3">
      <c r="E1186" s="5" t="s">
        <v>1199</v>
      </c>
      <c r="F1186" s="5" t="s">
        <v>67</v>
      </c>
      <c r="G1186" s="5" t="s">
        <v>160</v>
      </c>
      <c r="H1186" s="5" t="s">
        <v>1200</v>
      </c>
    </row>
    <row r="1187" spans="5:8" x14ac:dyDescent="0.3">
      <c r="E1187" s="5" t="s">
        <v>1199</v>
      </c>
      <c r="F1187" s="5" t="s">
        <v>67</v>
      </c>
      <c r="G1187" s="5" t="s">
        <v>162</v>
      </c>
      <c r="H1187" s="5" t="s">
        <v>1201</v>
      </c>
    </row>
    <row r="1188" spans="5:8" x14ac:dyDescent="0.3">
      <c r="E1188" s="5" t="s">
        <v>1199</v>
      </c>
      <c r="F1188" s="5" t="s">
        <v>67</v>
      </c>
      <c r="G1188" s="5" t="s">
        <v>164</v>
      </c>
      <c r="H1188" s="5" t="s">
        <v>1202</v>
      </c>
    </row>
    <row r="1189" spans="5:8" x14ac:dyDescent="0.3">
      <c r="E1189" s="5" t="s">
        <v>1199</v>
      </c>
      <c r="F1189" s="5" t="s">
        <v>67</v>
      </c>
      <c r="G1189" s="5" t="s">
        <v>166</v>
      </c>
      <c r="H1189" s="5" t="s">
        <v>1203</v>
      </c>
    </row>
    <row r="1190" spans="5:8" x14ac:dyDescent="0.3">
      <c r="E1190" s="5" t="s">
        <v>1199</v>
      </c>
      <c r="F1190" s="5" t="s">
        <v>67</v>
      </c>
      <c r="G1190" s="5" t="s">
        <v>168</v>
      </c>
      <c r="H1190" s="5" t="s">
        <v>1204</v>
      </c>
    </row>
    <row r="1191" spans="5:8" x14ac:dyDescent="0.3">
      <c r="E1191" s="5" t="s">
        <v>1199</v>
      </c>
      <c r="F1191" s="5" t="s">
        <v>67</v>
      </c>
      <c r="G1191" s="5" t="s">
        <v>170</v>
      </c>
      <c r="H1191" s="5" t="s">
        <v>219</v>
      </c>
    </row>
    <row r="1192" spans="5:8" x14ac:dyDescent="0.3">
      <c r="E1192" s="5" t="s">
        <v>1199</v>
      </c>
      <c r="F1192" s="5" t="s">
        <v>67</v>
      </c>
      <c r="G1192" s="5" t="s">
        <v>172</v>
      </c>
      <c r="H1192" s="5" t="s">
        <v>1205</v>
      </c>
    </row>
    <row r="1193" spans="5:8" x14ac:dyDescent="0.3">
      <c r="E1193" s="5" t="s">
        <v>1199</v>
      </c>
      <c r="F1193" s="5" t="s">
        <v>67</v>
      </c>
      <c r="G1193" s="5" t="s">
        <v>174</v>
      </c>
      <c r="H1193" s="5" t="s">
        <v>1206</v>
      </c>
    </row>
    <row r="1194" spans="5:8" x14ac:dyDescent="0.3">
      <c r="E1194" s="5" t="s">
        <v>1199</v>
      </c>
      <c r="F1194" s="5" t="s">
        <v>67</v>
      </c>
      <c r="G1194" s="5" t="s">
        <v>176</v>
      </c>
      <c r="H1194" s="5" t="s">
        <v>546</v>
      </c>
    </row>
    <row r="1195" spans="5:8" x14ac:dyDescent="0.3">
      <c r="E1195" s="5" t="s">
        <v>1199</v>
      </c>
      <c r="F1195" s="5" t="s">
        <v>67</v>
      </c>
      <c r="G1195" s="5" t="s">
        <v>178</v>
      </c>
      <c r="H1195" s="5" t="s">
        <v>1207</v>
      </c>
    </row>
    <row r="1196" spans="5:8" x14ac:dyDescent="0.3">
      <c r="E1196" s="5" t="s">
        <v>1199</v>
      </c>
      <c r="F1196" s="5" t="s">
        <v>67</v>
      </c>
      <c r="G1196" s="5" t="s">
        <v>180</v>
      </c>
      <c r="H1196" s="5" t="s">
        <v>1208</v>
      </c>
    </row>
    <row r="1197" spans="5:8" x14ac:dyDescent="0.3">
      <c r="E1197" s="5" t="s">
        <v>1199</v>
      </c>
      <c r="F1197" s="5" t="s">
        <v>67</v>
      </c>
      <c r="G1197" s="5" t="s">
        <v>182</v>
      </c>
      <c r="H1197" s="5" t="s">
        <v>968</v>
      </c>
    </row>
    <row r="1198" spans="5:8" x14ac:dyDescent="0.3">
      <c r="E1198" s="5" t="s">
        <v>1199</v>
      </c>
      <c r="F1198" s="5" t="s">
        <v>67</v>
      </c>
      <c r="G1198" s="5" t="s">
        <v>184</v>
      </c>
      <c r="H1198" s="5" t="s">
        <v>1209</v>
      </c>
    </row>
    <row r="1199" spans="5:8" x14ac:dyDescent="0.3">
      <c r="E1199" s="5" t="s">
        <v>1199</v>
      </c>
      <c r="F1199" s="5" t="s">
        <v>67</v>
      </c>
      <c r="G1199" s="5" t="s">
        <v>186</v>
      </c>
      <c r="H1199" s="5" t="s">
        <v>1197</v>
      </c>
    </row>
    <row r="1200" spans="5:8" x14ac:dyDescent="0.3">
      <c r="E1200" s="5" t="s">
        <v>1181</v>
      </c>
      <c r="F1200" s="5" t="s">
        <v>65</v>
      </c>
      <c r="G1200" s="5" t="s">
        <v>160</v>
      </c>
      <c r="H1200" s="5" t="s">
        <v>1182</v>
      </c>
    </row>
    <row r="1201" spans="5:8" x14ac:dyDescent="0.3">
      <c r="E1201" s="5" t="s">
        <v>1181</v>
      </c>
      <c r="F1201" s="5" t="s">
        <v>65</v>
      </c>
      <c r="G1201" s="5" t="s">
        <v>162</v>
      </c>
      <c r="H1201" s="5" t="s">
        <v>1183</v>
      </c>
    </row>
    <row r="1202" spans="5:8" x14ac:dyDescent="0.3">
      <c r="E1202" s="5" t="s">
        <v>1181</v>
      </c>
      <c r="F1202" s="5" t="s">
        <v>65</v>
      </c>
      <c r="G1202" s="5" t="s">
        <v>1198</v>
      </c>
      <c r="H1202" s="5" t="s">
        <v>2613</v>
      </c>
    </row>
    <row r="1203" spans="5:8" x14ac:dyDescent="0.3">
      <c r="E1203" s="5" t="s">
        <v>1181</v>
      </c>
      <c r="F1203" s="5" t="s">
        <v>65</v>
      </c>
      <c r="G1203" s="5" t="s">
        <v>164</v>
      </c>
      <c r="H1203" s="5" t="s">
        <v>1184</v>
      </c>
    </row>
    <row r="1204" spans="5:8" x14ac:dyDescent="0.3">
      <c r="E1204" s="5" t="s">
        <v>1181</v>
      </c>
      <c r="F1204" s="5" t="s">
        <v>65</v>
      </c>
      <c r="G1204" s="5" t="s">
        <v>168</v>
      </c>
      <c r="H1204" s="5" t="s">
        <v>1185</v>
      </c>
    </row>
    <row r="1205" spans="5:8" x14ac:dyDescent="0.3">
      <c r="E1205" s="5" t="s">
        <v>1181</v>
      </c>
      <c r="F1205" s="5" t="s">
        <v>65</v>
      </c>
      <c r="G1205" s="5" t="s">
        <v>170</v>
      </c>
      <c r="H1205" s="5" t="s">
        <v>1186</v>
      </c>
    </row>
    <row r="1206" spans="5:8" x14ac:dyDescent="0.3">
      <c r="E1206" s="5" t="s">
        <v>1181</v>
      </c>
      <c r="F1206" s="5" t="s">
        <v>65</v>
      </c>
      <c r="G1206" s="5" t="s">
        <v>172</v>
      </c>
      <c r="H1206" s="5" t="s">
        <v>372</v>
      </c>
    </row>
    <row r="1207" spans="5:8" x14ac:dyDescent="0.3">
      <c r="E1207" s="5" t="s">
        <v>1181</v>
      </c>
      <c r="F1207" s="5" t="s">
        <v>65</v>
      </c>
      <c r="G1207" s="5" t="s">
        <v>174</v>
      </c>
      <c r="H1207" s="5" t="s">
        <v>1187</v>
      </c>
    </row>
    <row r="1208" spans="5:8" x14ac:dyDescent="0.3">
      <c r="E1208" s="5" t="s">
        <v>1181</v>
      </c>
      <c r="F1208" s="5" t="s">
        <v>65</v>
      </c>
      <c r="G1208" s="5" t="s">
        <v>176</v>
      </c>
      <c r="H1208" s="5" t="s">
        <v>1188</v>
      </c>
    </row>
    <row r="1209" spans="5:8" x14ac:dyDescent="0.3">
      <c r="E1209" s="5" t="s">
        <v>1181</v>
      </c>
      <c r="F1209" s="5" t="s">
        <v>65</v>
      </c>
      <c r="G1209" s="5" t="s">
        <v>178</v>
      </c>
      <c r="H1209" s="5" t="s">
        <v>1189</v>
      </c>
    </row>
    <row r="1210" spans="5:8" x14ac:dyDescent="0.3">
      <c r="E1210" s="5" t="s">
        <v>1181</v>
      </c>
      <c r="F1210" s="5" t="s">
        <v>65</v>
      </c>
      <c r="G1210" s="5" t="s">
        <v>180</v>
      </c>
      <c r="H1210" s="5" t="s">
        <v>1190</v>
      </c>
    </row>
    <row r="1211" spans="5:8" x14ac:dyDescent="0.3">
      <c r="E1211" s="5" t="s">
        <v>1181</v>
      </c>
      <c r="F1211" s="5" t="s">
        <v>65</v>
      </c>
      <c r="G1211" s="5" t="s">
        <v>182</v>
      </c>
      <c r="H1211" s="5" t="s">
        <v>1191</v>
      </c>
    </row>
    <row r="1212" spans="5:8" x14ac:dyDescent="0.3">
      <c r="E1212" s="5" t="s">
        <v>1181</v>
      </c>
      <c r="F1212" s="5" t="s">
        <v>65</v>
      </c>
      <c r="G1212" s="5" t="s">
        <v>184</v>
      </c>
      <c r="H1212" s="5" t="s">
        <v>1192</v>
      </c>
    </row>
    <row r="1213" spans="5:8" x14ac:dyDescent="0.3">
      <c r="E1213" s="5" t="s">
        <v>1181</v>
      </c>
      <c r="F1213" s="5" t="s">
        <v>65</v>
      </c>
      <c r="G1213" s="5" t="s">
        <v>186</v>
      </c>
      <c r="H1213" s="5" t="s">
        <v>390</v>
      </c>
    </row>
    <row r="1214" spans="5:8" x14ac:dyDescent="0.3">
      <c r="E1214" s="5" t="s">
        <v>1181</v>
      </c>
      <c r="F1214" s="5" t="s">
        <v>65</v>
      </c>
      <c r="G1214" s="5" t="s">
        <v>188</v>
      </c>
      <c r="H1214" s="5" t="s">
        <v>552</v>
      </c>
    </row>
    <row r="1215" spans="5:8" x14ac:dyDescent="0.3">
      <c r="E1215" s="5" t="s">
        <v>1181</v>
      </c>
      <c r="F1215" s="5" t="s">
        <v>65</v>
      </c>
      <c r="G1215" s="5" t="s">
        <v>190</v>
      </c>
      <c r="H1215" s="5" t="s">
        <v>261</v>
      </c>
    </row>
    <row r="1216" spans="5:8" x14ac:dyDescent="0.3">
      <c r="E1216" s="5" t="s">
        <v>1181</v>
      </c>
      <c r="F1216" s="5" t="s">
        <v>65</v>
      </c>
      <c r="G1216" s="5" t="s">
        <v>192</v>
      </c>
      <c r="H1216" s="5" t="s">
        <v>1193</v>
      </c>
    </row>
    <row r="1217" spans="5:8" x14ac:dyDescent="0.3">
      <c r="E1217" s="5" t="s">
        <v>1181</v>
      </c>
      <c r="F1217" s="5" t="s">
        <v>65</v>
      </c>
      <c r="G1217" s="5" t="s">
        <v>194</v>
      </c>
      <c r="H1217" s="5" t="s">
        <v>1194</v>
      </c>
    </row>
    <row r="1218" spans="5:8" x14ac:dyDescent="0.3">
      <c r="E1218" s="5" t="s">
        <v>1181</v>
      </c>
      <c r="F1218" s="5" t="s">
        <v>65</v>
      </c>
      <c r="G1218" s="5" t="s">
        <v>198</v>
      </c>
      <c r="H1218" s="5" t="s">
        <v>1178</v>
      </c>
    </row>
    <row r="1219" spans="5:8" x14ac:dyDescent="0.3">
      <c r="E1219" s="5" t="s">
        <v>1181</v>
      </c>
      <c r="F1219" s="5" t="s">
        <v>65</v>
      </c>
      <c r="G1219" s="5" t="s">
        <v>196</v>
      </c>
      <c r="H1219" s="5" t="s">
        <v>1195</v>
      </c>
    </row>
    <row r="1220" spans="5:8" x14ac:dyDescent="0.3">
      <c r="E1220" s="5" t="s">
        <v>1181</v>
      </c>
      <c r="F1220" s="5" t="s">
        <v>65</v>
      </c>
      <c r="G1220" s="5" t="s">
        <v>200</v>
      </c>
      <c r="H1220" s="5" t="s">
        <v>746</v>
      </c>
    </row>
    <row r="1221" spans="5:8" x14ac:dyDescent="0.3">
      <c r="E1221" s="5" t="s">
        <v>1181</v>
      </c>
      <c r="F1221" s="5" t="s">
        <v>65</v>
      </c>
      <c r="G1221" s="5" t="s">
        <v>202</v>
      </c>
      <c r="H1221" s="5" t="s">
        <v>289</v>
      </c>
    </row>
    <row r="1222" spans="5:8" x14ac:dyDescent="0.3">
      <c r="E1222" s="5" t="s">
        <v>1181</v>
      </c>
      <c r="F1222" s="5" t="s">
        <v>65</v>
      </c>
      <c r="G1222" s="5" t="s">
        <v>204</v>
      </c>
      <c r="H1222" s="5" t="s">
        <v>1196</v>
      </c>
    </row>
    <row r="1223" spans="5:8" x14ac:dyDescent="0.3">
      <c r="E1223" s="5" t="s">
        <v>1181</v>
      </c>
      <c r="F1223" s="5" t="s">
        <v>65</v>
      </c>
      <c r="G1223" s="5" t="s">
        <v>206</v>
      </c>
      <c r="H1223" s="5" t="s">
        <v>1197</v>
      </c>
    </row>
    <row r="1224" spans="5:8" x14ac:dyDescent="0.3">
      <c r="E1224" s="5" t="s">
        <v>1170</v>
      </c>
      <c r="F1224" s="5" t="s">
        <v>63</v>
      </c>
      <c r="G1224" s="5" t="s">
        <v>160</v>
      </c>
      <c r="H1224" s="5" t="s">
        <v>1171</v>
      </c>
    </row>
    <row r="1225" spans="5:8" x14ac:dyDescent="0.3">
      <c r="E1225" s="5" t="s">
        <v>1170</v>
      </c>
      <c r="F1225" s="5" t="s">
        <v>63</v>
      </c>
      <c r="G1225" s="5" t="s">
        <v>162</v>
      </c>
      <c r="H1225" s="5" t="s">
        <v>1172</v>
      </c>
    </row>
    <row r="1226" spans="5:8" x14ac:dyDescent="0.3">
      <c r="E1226" s="5" t="s">
        <v>1170</v>
      </c>
      <c r="F1226" s="5" t="s">
        <v>63</v>
      </c>
      <c r="G1226" s="5" t="s">
        <v>164</v>
      </c>
      <c r="H1226" s="5" t="s">
        <v>847</v>
      </c>
    </row>
    <row r="1227" spans="5:8" x14ac:dyDescent="0.3">
      <c r="E1227" s="5" t="s">
        <v>1170</v>
      </c>
      <c r="F1227" s="5" t="s">
        <v>63</v>
      </c>
      <c r="G1227" s="5" t="s">
        <v>166</v>
      </c>
      <c r="H1227" s="5" t="s">
        <v>219</v>
      </c>
    </row>
    <row r="1228" spans="5:8" x14ac:dyDescent="0.3">
      <c r="E1228" s="5" t="s">
        <v>1170</v>
      </c>
      <c r="F1228" s="5" t="s">
        <v>63</v>
      </c>
      <c r="G1228" s="5" t="s">
        <v>168</v>
      </c>
      <c r="H1228" s="5" t="s">
        <v>659</v>
      </c>
    </row>
    <row r="1229" spans="5:8" x14ac:dyDescent="0.3">
      <c r="E1229" s="5" t="s">
        <v>1170</v>
      </c>
      <c r="F1229" s="5" t="s">
        <v>63</v>
      </c>
      <c r="G1229" s="5" t="s">
        <v>170</v>
      </c>
      <c r="H1229" s="5" t="s">
        <v>1173</v>
      </c>
    </row>
    <row r="1230" spans="5:8" x14ac:dyDescent="0.3">
      <c r="E1230" s="5" t="s">
        <v>1170</v>
      </c>
      <c r="F1230" s="5" t="s">
        <v>63</v>
      </c>
      <c r="G1230" s="5" t="s">
        <v>172</v>
      </c>
      <c r="H1230" s="5" t="s">
        <v>863</v>
      </c>
    </row>
    <row r="1231" spans="5:8" x14ac:dyDescent="0.3">
      <c r="E1231" s="5" t="s">
        <v>1170</v>
      </c>
      <c r="F1231" s="5" t="s">
        <v>63</v>
      </c>
      <c r="G1231" s="5" t="s">
        <v>174</v>
      </c>
      <c r="H1231" s="5" t="s">
        <v>395</v>
      </c>
    </row>
    <row r="1232" spans="5:8" x14ac:dyDescent="0.3">
      <c r="E1232" s="5" t="s">
        <v>1170</v>
      </c>
      <c r="F1232" s="5" t="s">
        <v>63</v>
      </c>
      <c r="G1232" s="5" t="s">
        <v>176</v>
      </c>
      <c r="H1232" s="5" t="s">
        <v>1174</v>
      </c>
    </row>
    <row r="1233" spans="5:8" x14ac:dyDescent="0.3">
      <c r="E1233" s="5" t="s">
        <v>1170</v>
      </c>
      <c r="F1233" s="5" t="s">
        <v>63</v>
      </c>
      <c r="G1233" s="5" t="s">
        <v>178</v>
      </c>
      <c r="H1233" s="5" t="s">
        <v>1175</v>
      </c>
    </row>
    <row r="1234" spans="5:8" x14ac:dyDescent="0.3">
      <c r="E1234" s="5" t="s">
        <v>1170</v>
      </c>
      <c r="F1234" s="5" t="s">
        <v>63</v>
      </c>
      <c r="G1234" s="5" t="s">
        <v>180</v>
      </c>
      <c r="H1234" s="5" t="s">
        <v>1176</v>
      </c>
    </row>
    <row r="1235" spans="5:8" x14ac:dyDescent="0.3">
      <c r="E1235" s="5" t="s">
        <v>1170</v>
      </c>
      <c r="F1235" s="5" t="s">
        <v>63</v>
      </c>
      <c r="G1235" s="5" t="s">
        <v>182</v>
      </c>
      <c r="H1235" s="5" t="s">
        <v>1177</v>
      </c>
    </row>
    <row r="1236" spans="5:8" x14ac:dyDescent="0.3">
      <c r="E1236" s="5" t="s">
        <v>1170</v>
      </c>
      <c r="F1236" s="5" t="s">
        <v>63</v>
      </c>
      <c r="G1236" s="5" t="s">
        <v>184</v>
      </c>
      <c r="H1236" s="5" t="s">
        <v>1178</v>
      </c>
    </row>
    <row r="1237" spans="5:8" x14ac:dyDescent="0.3">
      <c r="E1237" s="5" t="s">
        <v>1170</v>
      </c>
      <c r="F1237" s="5" t="s">
        <v>63</v>
      </c>
      <c r="G1237" s="5" t="s">
        <v>186</v>
      </c>
      <c r="H1237" s="5" t="s">
        <v>1179</v>
      </c>
    </row>
    <row r="1238" spans="5:8" x14ac:dyDescent="0.3">
      <c r="E1238" s="5" t="s">
        <v>1170</v>
      </c>
      <c r="F1238" s="5" t="s">
        <v>63</v>
      </c>
      <c r="G1238" s="5" t="s">
        <v>188</v>
      </c>
      <c r="H1238" s="5" t="s">
        <v>289</v>
      </c>
    </row>
    <row r="1239" spans="5:8" x14ac:dyDescent="0.3">
      <c r="E1239" s="5" t="s">
        <v>1170</v>
      </c>
      <c r="F1239" s="5" t="s">
        <v>63</v>
      </c>
      <c r="G1239" s="5" t="s">
        <v>190</v>
      </c>
      <c r="H1239" s="5" t="s">
        <v>1180</v>
      </c>
    </row>
    <row r="1240" spans="5:8" x14ac:dyDescent="0.3">
      <c r="E1240" s="5" t="s">
        <v>143</v>
      </c>
      <c r="F1240" s="5" t="s">
        <v>144</v>
      </c>
      <c r="G1240" s="5" t="s">
        <v>2614</v>
      </c>
      <c r="H1240" s="5" t="s">
        <v>2615</v>
      </c>
    </row>
    <row r="1241" spans="5:8" x14ac:dyDescent="0.3">
      <c r="E1241" s="5" t="s">
        <v>1210</v>
      </c>
      <c r="F1241" s="5" t="s">
        <v>69</v>
      </c>
      <c r="G1241" s="5" t="s">
        <v>160</v>
      </c>
      <c r="H1241" s="5" t="s">
        <v>1211</v>
      </c>
    </row>
    <row r="1242" spans="5:8" x14ac:dyDescent="0.3">
      <c r="E1242" s="5" t="s">
        <v>1210</v>
      </c>
      <c r="F1242" s="5" t="s">
        <v>69</v>
      </c>
      <c r="G1242" s="5" t="s">
        <v>162</v>
      </c>
      <c r="H1242" s="5" t="s">
        <v>1212</v>
      </c>
    </row>
    <row r="1243" spans="5:8" x14ac:dyDescent="0.3">
      <c r="E1243" s="5" t="s">
        <v>1210</v>
      </c>
      <c r="F1243" s="5" t="s">
        <v>69</v>
      </c>
      <c r="G1243" s="5" t="s">
        <v>164</v>
      </c>
      <c r="H1243" s="5" t="s">
        <v>1213</v>
      </c>
    </row>
    <row r="1244" spans="5:8" x14ac:dyDescent="0.3">
      <c r="E1244" s="5" t="s">
        <v>1210</v>
      </c>
      <c r="F1244" s="5" t="s">
        <v>69</v>
      </c>
      <c r="G1244" s="5" t="s">
        <v>166</v>
      </c>
      <c r="H1244" s="5" t="s">
        <v>1214</v>
      </c>
    </row>
    <row r="1245" spans="5:8" x14ac:dyDescent="0.3">
      <c r="E1245" s="5" t="s">
        <v>1210</v>
      </c>
      <c r="F1245" s="5" t="s">
        <v>69</v>
      </c>
      <c r="G1245" s="5" t="s">
        <v>168</v>
      </c>
      <c r="H1245" s="5" t="s">
        <v>1215</v>
      </c>
    </row>
    <row r="1246" spans="5:8" x14ac:dyDescent="0.3">
      <c r="E1246" s="5" t="s">
        <v>1210</v>
      </c>
      <c r="F1246" s="5" t="s">
        <v>69</v>
      </c>
      <c r="G1246" s="5" t="s">
        <v>170</v>
      </c>
      <c r="H1246" s="5" t="s">
        <v>1216</v>
      </c>
    </row>
    <row r="1247" spans="5:8" x14ac:dyDescent="0.3">
      <c r="E1247" s="5" t="s">
        <v>1210</v>
      </c>
      <c r="F1247" s="5" t="s">
        <v>69</v>
      </c>
      <c r="G1247" s="5" t="s">
        <v>172</v>
      </c>
      <c r="H1247" s="5" t="s">
        <v>1217</v>
      </c>
    </row>
    <row r="1248" spans="5:8" x14ac:dyDescent="0.3">
      <c r="E1248" s="5" t="s">
        <v>1210</v>
      </c>
      <c r="F1248" s="5" t="s">
        <v>69</v>
      </c>
      <c r="G1248" s="5" t="s">
        <v>174</v>
      </c>
      <c r="H1248" s="5" t="s">
        <v>1218</v>
      </c>
    </row>
    <row r="1249" spans="5:8" x14ac:dyDescent="0.3">
      <c r="E1249" s="5" t="s">
        <v>1210</v>
      </c>
      <c r="F1249" s="5" t="s">
        <v>69</v>
      </c>
      <c r="G1249" s="5" t="s">
        <v>176</v>
      </c>
      <c r="H1249" s="5" t="s">
        <v>559</v>
      </c>
    </row>
    <row r="1250" spans="5:8" x14ac:dyDescent="0.3">
      <c r="E1250" s="5" t="s">
        <v>1210</v>
      </c>
      <c r="F1250" s="5" t="s">
        <v>69</v>
      </c>
      <c r="G1250" s="5" t="s">
        <v>178</v>
      </c>
      <c r="H1250" s="5" t="s">
        <v>1219</v>
      </c>
    </row>
    <row r="1251" spans="5:8" x14ac:dyDescent="0.3">
      <c r="E1251" s="5" t="s">
        <v>1210</v>
      </c>
      <c r="F1251" s="5" t="s">
        <v>69</v>
      </c>
      <c r="G1251" s="5" t="s">
        <v>180</v>
      </c>
      <c r="H1251" s="5" t="s">
        <v>615</v>
      </c>
    </row>
    <row r="1252" spans="5:8" x14ac:dyDescent="0.3">
      <c r="E1252" s="5" t="s">
        <v>1210</v>
      </c>
      <c r="F1252" s="5" t="s">
        <v>69</v>
      </c>
      <c r="G1252" s="5" t="s">
        <v>182</v>
      </c>
      <c r="H1252" s="5" t="s">
        <v>1220</v>
      </c>
    </row>
    <row r="1253" spans="5:8" x14ac:dyDescent="0.3">
      <c r="E1253" s="5" t="s">
        <v>1210</v>
      </c>
      <c r="F1253" s="5" t="s">
        <v>69</v>
      </c>
      <c r="G1253" s="5" t="s">
        <v>184</v>
      </c>
      <c r="H1253" s="5" t="s">
        <v>175</v>
      </c>
    </row>
    <row r="1254" spans="5:8" x14ac:dyDescent="0.3">
      <c r="E1254" s="5" t="s">
        <v>1210</v>
      </c>
      <c r="F1254" s="5" t="s">
        <v>69</v>
      </c>
      <c r="G1254" s="5" t="s">
        <v>186</v>
      </c>
      <c r="H1254" s="5" t="s">
        <v>842</v>
      </c>
    </row>
    <row r="1255" spans="5:8" x14ac:dyDescent="0.3">
      <c r="E1255" s="5" t="s">
        <v>1210</v>
      </c>
      <c r="F1255" s="5" t="s">
        <v>69</v>
      </c>
      <c r="G1255" s="5" t="s">
        <v>188</v>
      </c>
      <c r="H1255" s="5" t="s">
        <v>1221</v>
      </c>
    </row>
    <row r="1256" spans="5:8" x14ac:dyDescent="0.3">
      <c r="E1256" s="5" t="s">
        <v>1210</v>
      </c>
      <c r="F1256" s="5" t="s">
        <v>69</v>
      </c>
      <c r="G1256" s="5" t="s">
        <v>190</v>
      </c>
      <c r="H1256" s="5" t="s">
        <v>1222</v>
      </c>
    </row>
    <row r="1257" spans="5:8" x14ac:dyDescent="0.3">
      <c r="E1257" s="5" t="s">
        <v>1210</v>
      </c>
      <c r="F1257" s="5" t="s">
        <v>69</v>
      </c>
      <c r="G1257" s="5" t="s">
        <v>192</v>
      </c>
      <c r="H1257" s="5" t="s">
        <v>1223</v>
      </c>
    </row>
    <row r="1258" spans="5:8" x14ac:dyDescent="0.3">
      <c r="E1258" s="5" t="s">
        <v>1210</v>
      </c>
      <c r="F1258" s="5" t="s">
        <v>69</v>
      </c>
      <c r="G1258" s="5" t="s">
        <v>194</v>
      </c>
      <c r="H1258" s="5" t="s">
        <v>1224</v>
      </c>
    </row>
    <row r="1259" spans="5:8" x14ac:dyDescent="0.3">
      <c r="E1259" s="5" t="s">
        <v>1210</v>
      </c>
      <c r="F1259" s="5" t="s">
        <v>69</v>
      </c>
      <c r="G1259" s="5" t="s">
        <v>196</v>
      </c>
      <c r="H1259" s="5" t="s">
        <v>845</v>
      </c>
    </row>
    <row r="1260" spans="5:8" x14ac:dyDescent="0.3">
      <c r="E1260" s="5" t="s">
        <v>1210</v>
      </c>
      <c r="F1260" s="5" t="s">
        <v>69</v>
      </c>
      <c r="G1260" s="5" t="s">
        <v>198</v>
      </c>
      <c r="H1260" s="5" t="s">
        <v>379</v>
      </c>
    </row>
    <row r="1261" spans="5:8" x14ac:dyDescent="0.3">
      <c r="E1261" s="5" t="s">
        <v>1210</v>
      </c>
      <c r="F1261" s="5" t="s">
        <v>69</v>
      </c>
      <c r="G1261" s="5" t="s">
        <v>200</v>
      </c>
      <c r="H1261" s="5" t="s">
        <v>503</v>
      </c>
    </row>
    <row r="1262" spans="5:8" x14ac:dyDescent="0.3">
      <c r="E1262" s="5" t="s">
        <v>1210</v>
      </c>
      <c r="F1262" s="5" t="s">
        <v>69</v>
      </c>
      <c r="G1262" s="5" t="s">
        <v>202</v>
      </c>
      <c r="H1262" s="5" t="s">
        <v>949</v>
      </c>
    </row>
    <row r="1263" spans="5:8" x14ac:dyDescent="0.3">
      <c r="E1263" s="5" t="s">
        <v>1210</v>
      </c>
      <c r="F1263" s="5" t="s">
        <v>69</v>
      </c>
      <c r="G1263" s="5" t="s">
        <v>204</v>
      </c>
      <c r="H1263" s="5" t="s">
        <v>1225</v>
      </c>
    </row>
    <row r="1264" spans="5:8" x14ac:dyDescent="0.3">
      <c r="E1264" s="5" t="s">
        <v>1210</v>
      </c>
      <c r="F1264" s="5" t="s">
        <v>69</v>
      </c>
      <c r="G1264" s="5" t="s">
        <v>206</v>
      </c>
      <c r="H1264" s="5" t="s">
        <v>951</v>
      </c>
    </row>
    <row r="1265" spans="5:8" x14ac:dyDescent="0.3">
      <c r="E1265" s="5" t="s">
        <v>1210</v>
      </c>
      <c r="F1265" s="5" t="s">
        <v>69</v>
      </c>
      <c r="G1265" s="5" t="s">
        <v>208</v>
      </c>
      <c r="H1265" s="5" t="s">
        <v>1226</v>
      </c>
    </row>
    <row r="1266" spans="5:8" x14ac:dyDescent="0.3">
      <c r="E1266" s="5" t="s">
        <v>1210</v>
      </c>
      <c r="F1266" s="5" t="s">
        <v>69</v>
      </c>
      <c r="G1266" s="5" t="s">
        <v>210</v>
      </c>
      <c r="H1266" s="5" t="s">
        <v>1227</v>
      </c>
    </row>
    <row r="1267" spans="5:8" x14ac:dyDescent="0.3">
      <c r="E1267" s="5" t="s">
        <v>1210</v>
      </c>
      <c r="F1267" s="5" t="s">
        <v>69</v>
      </c>
      <c r="G1267" s="5" t="s">
        <v>212</v>
      </c>
      <c r="H1267" s="5" t="s">
        <v>1228</v>
      </c>
    </row>
    <row r="1268" spans="5:8" x14ac:dyDescent="0.3">
      <c r="E1268" s="5" t="s">
        <v>1210</v>
      </c>
      <c r="F1268" s="5" t="s">
        <v>69</v>
      </c>
      <c r="G1268" s="5" t="s">
        <v>214</v>
      </c>
      <c r="H1268" s="5" t="s">
        <v>1229</v>
      </c>
    </row>
    <row r="1269" spans="5:8" x14ac:dyDescent="0.3">
      <c r="E1269" s="5" t="s">
        <v>1210</v>
      </c>
      <c r="F1269" s="5" t="s">
        <v>69</v>
      </c>
      <c r="G1269" s="5" t="s">
        <v>216</v>
      </c>
      <c r="H1269" s="5" t="s">
        <v>1230</v>
      </c>
    </row>
    <row r="1270" spans="5:8" x14ac:dyDescent="0.3">
      <c r="E1270" s="5" t="s">
        <v>1210</v>
      </c>
      <c r="F1270" s="5" t="s">
        <v>69</v>
      </c>
      <c r="G1270" s="5" t="s">
        <v>218</v>
      </c>
      <c r="H1270" s="5" t="s">
        <v>1231</v>
      </c>
    </row>
    <row r="1271" spans="5:8" x14ac:dyDescent="0.3">
      <c r="E1271" s="5" t="s">
        <v>1210</v>
      </c>
      <c r="F1271" s="5" t="s">
        <v>69</v>
      </c>
      <c r="G1271" s="5" t="s">
        <v>220</v>
      </c>
      <c r="H1271" s="5" t="s">
        <v>1232</v>
      </c>
    </row>
    <row r="1272" spans="5:8" x14ac:dyDescent="0.3">
      <c r="E1272" s="5" t="s">
        <v>1210</v>
      </c>
      <c r="F1272" s="5" t="s">
        <v>69</v>
      </c>
      <c r="G1272" s="5" t="s">
        <v>222</v>
      </c>
      <c r="H1272" s="5" t="s">
        <v>1233</v>
      </c>
    </row>
    <row r="1273" spans="5:8" x14ac:dyDescent="0.3">
      <c r="E1273" s="5" t="s">
        <v>1210</v>
      </c>
      <c r="F1273" s="5" t="s">
        <v>69</v>
      </c>
      <c r="G1273" s="5" t="s">
        <v>224</v>
      </c>
      <c r="H1273" s="5" t="s">
        <v>1234</v>
      </c>
    </row>
    <row r="1274" spans="5:8" x14ac:dyDescent="0.3">
      <c r="E1274" s="5" t="s">
        <v>1210</v>
      </c>
      <c r="F1274" s="5" t="s">
        <v>69</v>
      </c>
      <c r="G1274" s="5" t="s">
        <v>226</v>
      </c>
      <c r="H1274" s="5" t="s">
        <v>1235</v>
      </c>
    </row>
    <row r="1275" spans="5:8" x14ac:dyDescent="0.3">
      <c r="E1275" s="5" t="s">
        <v>1210</v>
      </c>
      <c r="F1275" s="5" t="s">
        <v>69</v>
      </c>
      <c r="G1275" s="5" t="s">
        <v>228</v>
      </c>
      <c r="H1275" s="5" t="s">
        <v>1236</v>
      </c>
    </row>
    <row r="1276" spans="5:8" x14ac:dyDescent="0.3">
      <c r="E1276" s="5" t="s">
        <v>1210</v>
      </c>
      <c r="F1276" s="5" t="s">
        <v>69</v>
      </c>
      <c r="G1276" s="5" t="s">
        <v>230</v>
      </c>
      <c r="H1276" s="5" t="s">
        <v>1237</v>
      </c>
    </row>
    <row r="1277" spans="5:8" x14ac:dyDescent="0.3">
      <c r="E1277" s="5" t="s">
        <v>1210</v>
      </c>
      <c r="F1277" s="5" t="s">
        <v>69</v>
      </c>
      <c r="G1277" s="5" t="s">
        <v>232</v>
      </c>
      <c r="H1277" s="5" t="s">
        <v>1238</v>
      </c>
    </row>
    <row r="1278" spans="5:8" x14ac:dyDescent="0.3">
      <c r="E1278" s="5" t="s">
        <v>1210</v>
      </c>
      <c r="F1278" s="5" t="s">
        <v>69</v>
      </c>
      <c r="G1278" s="5" t="s">
        <v>234</v>
      </c>
      <c r="H1278" s="5" t="s">
        <v>231</v>
      </c>
    </row>
    <row r="1279" spans="5:8" x14ac:dyDescent="0.3">
      <c r="E1279" s="5" t="s">
        <v>1210</v>
      </c>
      <c r="F1279" s="5" t="s">
        <v>69</v>
      </c>
      <c r="G1279" s="5" t="s">
        <v>236</v>
      </c>
      <c r="H1279" s="5" t="s">
        <v>1239</v>
      </c>
    </row>
    <row r="1280" spans="5:8" x14ac:dyDescent="0.3">
      <c r="E1280" s="5" t="s">
        <v>1210</v>
      </c>
      <c r="F1280" s="5" t="s">
        <v>69</v>
      </c>
      <c r="G1280" s="5" t="s">
        <v>238</v>
      </c>
      <c r="H1280" s="5" t="s">
        <v>1240</v>
      </c>
    </row>
    <row r="1281" spans="5:8" x14ac:dyDescent="0.3">
      <c r="E1281" s="5" t="s">
        <v>1210</v>
      </c>
      <c r="F1281" s="5" t="s">
        <v>69</v>
      </c>
      <c r="G1281" s="5" t="s">
        <v>240</v>
      </c>
      <c r="H1281" s="5" t="s">
        <v>552</v>
      </c>
    </row>
    <row r="1282" spans="5:8" x14ac:dyDescent="0.3">
      <c r="E1282" s="5" t="s">
        <v>1210</v>
      </c>
      <c r="F1282" s="5" t="s">
        <v>69</v>
      </c>
      <c r="G1282" s="5" t="s">
        <v>242</v>
      </c>
      <c r="H1282" s="5" t="s">
        <v>1241</v>
      </c>
    </row>
    <row r="1283" spans="5:8" x14ac:dyDescent="0.3">
      <c r="E1283" s="5" t="s">
        <v>1210</v>
      </c>
      <c r="F1283" s="5" t="s">
        <v>69</v>
      </c>
      <c r="G1283" s="5" t="s">
        <v>244</v>
      </c>
      <c r="H1283" s="5" t="s">
        <v>447</v>
      </c>
    </row>
    <row r="1284" spans="5:8" x14ac:dyDescent="0.3">
      <c r="E1284" s="5" t="s">
        <v>1210</v>
      </c>
      <c r="F1284" s="5" t="s">
        <v>69</v>
      </c>
      <c r="G1284" s="5" t="s">
        <v>246</v>
      </c>
      <c r="H1284" s="5" t="s">
        <v>1242</v>
      </c>
    </row>
    <row r="1285" spans="5:8" x14ac:dyDescent="0.3">
      <c r="E1285" s="5" t="s">
        <v>1210</v>
      </c>
      <c r="F1285" s="5" t="s">
        <v>69</v>
      </c>
      <c r="G1285" s="5" t="s">
        <v>248</v>
      </c>
      <c r="H1285" s="5" t="s">
        <v>1243</v>
      </c>
    </row>
    <row r="1286" spans="5:8" x14ac:dyDescent="0.3">
      <c r="E1286" s="5" t="s">
        <v>1210</v>
      </c>
      <c r="F1286" s="5" t="s">
        <v>69</v>
      </c>
      <c r="G1286" s="5" t="s">
        <v>250</v>
      </c>
      <c r="H1286" s="5" t="s">
        <v>1244</v>
      </c>
    </row>
    <row r="1287" spans="5:8" x14ac:dyDescent="0.3">
      <c r="E1287" s="5" t="s">
        <v>1210</v>
      </c>
      <c r="F1287" s="5" t="s">
        <v>69</v>
      </c>
      <c r="G1287" s="5" t="s">
        <v>252</v>
      </c>
      <c r="H1287" s="5" t="s">
        <v>865</v>
      </c>
    </row>
    <row r="1288" spans="5:8" x14ac:dyDescent="0.3">
      <c r="E1288" s="5" t="s">
        <v>1210</v>
      </c>
      <c r="F1288" s="5" t="s">
        <v>69</v>
      </c>
      <c r="G1288" s="5" t="s">
        <v>254</v>
      </c>
      <c r="H1288" s="5" t="s">
        <v>1245</v>
      </c>
    </row>
    <row r="1289" spans="5:8" x14ac:dyDescent="0.3">
      <c r="E1289" s="5" t="s">
        <v>1210</v>
      </c>
      <c r="F1289" s="5" t="s">
        <v>69</v>
      </c>
      <c r="G1289" s="5" t="s">
        <v>256</v>
      </c>
      <c r="H1289" s="5" t="s">
        <v>1246</v>
      </c>
    </row>
    <row r="1290" spans="5:8" x14ac:dyDescent="0.3">
      <c r="E1290" s="5" t="s">
        <v>1210</v>
      </c>
      <c r="F1290" s="5" t="s">
        <v>69</v>
      </c>
      <c r="G1290" s="5" t="s">
        <v>258</v>
      </c>
      <c r="H1290" s="5" t="s">
        <v>1247</v>
      </c>
    </row>
    <row r="1291" spans="5:8" x14ac:dyDescent="0.3">
      <c r="E1291" s="5" t="s">
        <v>1210</v>
      </c>
      <c r="F1291" s="5" t="s">
        <v>69</v>
      </c>
      <c r="G1291" s="5" t="s">
        <v>260</v>
      </c>
      <c r="H1291" s="5" t="s">
        <v>1248</v>
      </c>
    </row>
    <row r="1292" spans="5:8" x14ac:dyDescent="0.3">
      <c r="E1292" s="5" t="s">
        <v>1210</v>
      </c>
      <c r="F1292" s="5" t="s">
        <v>69</v>
      </c>
      <c r="G1292" s="5" t="s">
        <v>262</v>
      </c>
      <c r="H1292" s="5" t="s">
        <v>1249</v>
      </c>
    </row>
    <row r="1293" spans="5:8" x14ac:dyDescent="0.3">
      <c r="E1293" s="5" t="s">
        <v>1210</v>
      </c>
      <c r="F1293" s="5" t="s">
        <v>69</v>
      </c>
      <c r="G1293" s="5" t="s">
        <v>264</v>
      </c>
      <c r="H1293" s="5" t="s">
        <v>870</v>
      </c>
    </row>
    <row r="1294" spans="5:8" x14ac:dyDescent="0.3">
      <c r="E1294" s="5" t="s">
        <v>1210</v>
      </c>
      <c r="F1294" s="5" t="s">
        <v>69</v>
      </c>
      <c r="G1294" s="5" t="s">
        <v>266</v>
      </c>
      <c r="H1294" s="5" t="s">
        <v>1250</v>
      </c>
    </row>
    <row r="1295" spans="5:8" x14ac:dyDescent="0.3">
      <c r="E1295" s="5" t="s">
        <v>1210</v>
      </c>
      <c r="F1295" s="5" t="s">
        <v>69</v>
      </c>
      <c r="G1295" s="5" t="s">
        <v>268</v>
      </c>
      <c r="H1295" s="5" t="s">
        <v>1251</v>
      </c>
    </row>
    <row r="1296" spans="5:8" x14ac:dyDescent="0.3">
      <c r="E1296" s="5" t="s">
        <v>1210</v>
      </c>
      <c r="F1296" s="5" t="s">
        <v>69</v>
      </c>
      <c r="G1296" s="5" t="s">
        <v>270</v>
      </c>
      <c r="H1296" s="5" t="s">
        <v>1252</v>
      </c>
    </row>
    <row r="1297" spans="5:8" x14ac:dyDescent="0.3">
      <c r="E1297" s="5" t="s">
        <v>1210</v>
      </c>
      <c r="F1297" s="5" t="s">
        <v>69</v>
      </c>
      <c r="G1297" s="5" t="s">
        <v>272</v>
      </c>
      <c r="H1297" s="5" t="s">
        <v>1253</v>
      </c>
    </row>
    <row r="1298" spans="5:8" x14ac:dyDescent="0.3">
      <c r="E1298" s="5" t="s">
        <v>1210</v>
      </c>
      <c r="F1298" s="5" t="s">
        <v>69</v>
      </c>
      <c r="G1298" s="5" t="s">
        <v>274</v>
      </c>
      <c r="H1298" s="5" t="s">
        <v>259</v>
      </c>
    </row>
    <row r="1299" spans="5:8" x14ac:dyDescent="0.3">
      <c r="E1299" s="5" t="s">
        <v>1210</v>
      </c>
      <c r="F1299" s="5" t="s">
        <v>69</v>
      </c>
      <c r="G1299" s="5" t="s">
        <v>276</v>
      </c>
      <c r="H1299" s="5" t="s">
        <v>1254</v>
      </c>
    </row>
    <row r="1300" spans="5:8" x14ac:dyDescent="0.3">
      <c r="E1300" s="5" t="s">
        <v>1210</v>
      </c>
      <c r="F1300" s="5" t="s">
        <v>69</v>
      </c>
      <c r="G1300" s="5" t="s">
        <v>278</v>
      </c>
      <c r="H1300" s="5" t="s">
        <v>1255</v>
      </c>
    </row>
    <row r="1301" spans="5:8" x14ac:dyDescent="0.3">
      <c r="E1301" s="5" t="s">
        <v>1210</v>
      </c>
      <c r="F1301" s="5" t="s">
        <v>69</v>
      </c>
      <c r="G1301" s="5" t="s">
        <v>280</v>
      </c>
      <c r="H1301" s="5" t="s">
        <v>1256</v>
      </c>
    </row>
    <row r="1302" spans="5:8" x14ac:dyDescent="0.3">
      <c r="E1302" s="5" t="s">
        <v>1210</v>
      </c>
      <c r="F1302" s="5" t="s">
        <v>69</v>
      </c>
      <c r="G1302" s="5" t="s">
        <v>282</v>
      </c>
      <c r="H1302" s="5" t="s">
        <v>1257</v>
      </c>
    </row>
    <row r="1303" spans="5:8" x14ac:dyDescent="0.3">
      <c r="E1303" s="5" t="s">
        <v>1210</v>
      </c>
      <c r="F1303" s="5" t="s">
        <v>69</v>
      </c>
      <c r="G1303" s="5" t="s">
        <v>284</v>
      </c>
      <c r="H1303" s="5" t="s">
        <v>1258</v>
      </c>
    </row>
    <row r="1304" spans="5:8" x14ac:dyDescent="0.3">
      <c r="E1304" s="5" t="s">
        <v>1210</v>
      </c>
      <c r="F1304" s="5" t="s">
        <v>69</v>
      </c>
      <c r="G1304" s="5" t="s">
        <v>286</v>
      </c>
      <c r="H1304" s="5" t="s">
        <v>1259</v>
      </c>
    </row>
    <row r="1305" spans="5:8" x14ac:dyDescent="0.3">
      <c r="E1305" s="5" t="s">
        <v>1210</v>
      </c>
      <c r="F1305" s="5" t="s">
        <v>69</v>
      </c>
      <c r="G1305" s="5" t="s">
        <v>288</v>
      </c>
      <c r="H1305" s="5" t="s">
        <v>1260</v>
      </c>
    </row>
    <row r="1306" spans="5:8" x14ac:dyDescent="0.3">
      <c r="E1306" s="5" t="s">
        <v>1210</v>
      </c>
      <c r="F1306" s="5" t="s">
        <v>69</v>
      </c>
      <c r="G1306" s="5" t="s">
        <v>290</v>
      </c>
      <c r="H1306" s="5" t="s">
        <v>1261</v>
      </c>
    </row>
    <row r="1307" spans="5:8" x14ac:dyDescent="0.3">
      <c r="E1307" s="5" t="s">
        <v>1210</v>
      </c>
      <c r="F1307" s="5" t="s">
        <v>69</v>
      </c>
      <c r="G1307" s="5" t="s">
        <v>292</v>
      </c>
      <c r="H1307" s="5" t="s">
        <v>592</v>
      </c>
    </row>
    <row r="1308" spans="5:8" x14ac:dyDescent="0.3">
      <c r="E1308" s="5" t="s">
        <v>1210</v>
      </c>
      <c r="F1308" s="5" t="s">
        <v>69</v>
      </c>
      <c r="G1308" s="5" t="s">
        <v>416</v>
      </c>
      <c r="H1308" s="5" t="s">
        <v>1262</v>
      </c>
    </row>
    <row r="1309" spans="5:8" x14ac:dyDescent="0.3">
      <c r="E1309" s="5" t="s">
        <v>1210</v>
      </c>
      <c r="F1309" s="5" t="s">
        <v>69</v>
      </c>
      <c r="G1309" s="5" t="s">
        <v>418</v>
      </c>
      <c r="H1309" s="5" t="s">
        <v>1263</v>
      </c>
    </row>
    <row r="1310" spans="5:8" x14ac:dyDescent="0.3">
      <c r="E1310" s="5" t="s">
        <v>1210</v>
      </c>
      <c r="F1310" s="5" t="s">
        <v>69</v>
      </c>
      <c r="G1310" s="5" t="s">
        <v>420</v>
      </c>
      <c r="H1310" s="5" t="s">
        <v>1023</v>
      </c>
    </row>
    <row r="1311" spans="5:8" x14ac:dyDescent="0.3">
      <c r="E1311" s="5" t="s">
        <v>1210</v>
      </c>
      <c r="F1311" s="5" t="s">
        <v>69</v>
      </c>
      <c r="G1311" s="5" t="s">
        <v>422</v>
      </c>
      <c r="H1311" s="5" t="s">
        <v>1264</v>
      </c>
    </row>
    <row r="1312" spans="5:8" x14ac:dyDescent="0.3">
      <c r="E1312" s="5" t="s">
        <v>1210</v>
      </c>
      <c r="F1312" s="5" t="s">
        <v>69</v>
      </c>
      <c r="G1312" s="5" t="s">
        <v>424</v>
      </c>
      <c r="H1312" s="5" t="s">
        <v>1265</v>
      </c>
    </row>
    <row r="1313" spans="5:8" x14ac:dyDescent="0.3">
      <c r="E1313" s="5" t="s">
        <v>1210</v>
      </c>
      <c r="F1313" s="5" t="s">
        <v>69</v>
      </c>
      <c r="G1313" s="5" t="s">
        <v>425</v>
      </c>
      <c r="H1313" s="5" t="s">
        <v>1266</v>
      </c>
    </row>
    <row r="1314" spans="5:8" x14ac:dyDescent="0.3">
      <c r="E1314" s="5" t="s">
        <v>1210</v>
      </c>
      <c r="F1314" s="5" t="s">
        <v>69</v>
      </c>
      <c r="G1314" s="5" t="s">
        <v>664</v>
      </c>
      <c r="H1314" s="5" t="s">
        <v>1267</v>
      </c>
    </row>
    <row r="1315" spans="5:8" x14ac:dyDescent="0.3">
      <c r="E1315" s="5" t="s">
        <v>1210</v>
      </c>
      <c r="F1315" s="5" t="s">
        <v>69</v>
      </c>
      <c r="G1315" s="5" t="s">
        <v>665</v>
      </c>
      <c r="H1315" s="5" t="s">
        <v>1268</v>
      </c>
    </row>
    <row r="1316" spans="5:8" x14ac:dyDescent="0.3">
      <c r="E1316" s="5" t="s">
        <v>1210</v>
      </c>
      <c r="F1316" s="5" t="s">
        <v>69</v>
      </c>
      <c r="G1316" s="5" t="s">
        <v>666</v>
      </c>
      <c r="H1316" s="5" t="s">
        <v>1269</v>
      </c>
    </row>
    <row r="1317" spans="5:8" x14ac:dyDescent="0.3">
      <c r="E1317" s="5" t="s">
        <v>1210</v>
      </c>
      <c r="F1317" s="5" t="s">
        <v>69</v>
      </c>
      <c r="G1317" s="5" t="s">
        <v>427</v>
      </c>
      <c r="H1317" s="5" t="s">
        <v>275</v>
      </c>
    </row>
    <row r="1318" spans="5:8" x14ac:dyDescent="0.3">
      <c r="E1318" s="5" t="s">
        <v>1210</v>
      </c>
      <c r="F1318" s="5" t="s">
        <v>69</v>
      </c>
      <c r="G1318" s="5" t="s">
        <v>429</v>
      </c>
      <c r="H1318" s="5" t="s">
        <v>921</v>
      </c>
    </row>
    <row r="1319" spans="5:8" x14ac:dyDescent="0.3">
      <c r="E1319" s="5" t="s">
        <v>1210</v>
      </c>
      <c r="F1319" s="5" t="s">
        <v>69</v>
      </c>
      <c r="G1319" s="5" t="s">
        <v>668</v>
      </c>
      <c r="H1319" s="5" t="s">
        <v>1270</v>
      </c>
    </row>
    <row r="1320" spans="5:8" x14ac:dyDescent="0.3">
      <c r="E1320" s="5" t="s">
        <v>1210</v>
      </c>
      <c r="F1320" s="5" t="s">
        <v>69</v>
      </c>
      <c r="G1320" s="5" t="s">
        <v>669</v>
      </c>
      <c r="H1320" s="5" t="s">
        <v>423</v>
      </c>
    </row>
    <row r="1321" spans="5:8" x14ac:dyDescent="0.3">
      <c r="E1321" s="5" t="s">
        <v>1210</v>
      </c>
      <c r="F1321" s="5" t="s">
        <v>69</v>
      </c>
      <c r="G1321" s="5" t="s">
        <v>671</v>
      </c>
      <c r="H1321" s="5" t="s">
        <v>1271</v>
      </c>
    </row>
    <row r="1322" spans="5:8" x14ac:dyDescent="0.3">
      <c r="E1322" s="5" t="s">
        <v>1210</v>
      </c>
      <c r="F1322" s="5" t="s">
        <v>69</v>
      </c>
      <c r="G1322" s="5" t="s">
        <v>673</v>
      </c>
      <c r="H1322" s="5" t="s">
        <v>782</v>
      </c>
    </row>
    <row r="1323" spans="5:8" x14ac:dyDescent="0.3">
      <c r="E1323" s="5" t="s">
        <v>1210</v>
      </c>
      <c r="F1323" s="5" t="s">
        <v>69</v>
      </c>
      <c r="G1323" s="5" t="s">
        <v>674</v>
      </c>
      <c r="H1323" s="5" t="s">
        <v>1272</v>
      </c>
    </row>
    <row r="1324" spans="5:8" x14ac:dyDescent="0.3">
      <c r="E1324" s="5" t="s">
        <v>1273</v>
      </c>
      <c r="F1324" s="5" t="s">
        <v>71</v>
      </c>
      <c r="G1324" s="5" t="s">
        <v>160</v>
      </c>
      <c r="H1324" s="5" t="s">
        <v>1274</v>
      </c>
    </row>
    <row r="1325" spans="5:8" x14ac:dyDescent="0.3">
      <c r="E1325" s="5" t="s">
        <v>1273</v>
      </c>
      <c r="F1325" s="5" t="s">
        <v>71</v>
      </c>
      <c r="G1325" s="5" t="s">
        <v>162</v>
      </c>
      <c r="H1325" s="5" t="s">
        <v>1275</v>
      </c>
    </row>
    <row r="1326" spans="5:8" x14ac:dyDescent="0.3">
      <c r="E1326" s="5" t="s">
        <v>1273</v>
      </c>
      <c r="F1326" s="5" t="s">
        <v>71</v>
      </c>
      <c r="G1326" s="5" t="s">
        <v>164</v>
      </c>
      <c r="H1326" s="5" t="s">
        <v>1276</v>
      </c>
    </row>
    <row r="1327" spans="5:8" x14ac:dyDescent="0.3">
      <c r="E1327" s="5" t="s">
        <v>1273</v>
      </c>
      <c r="F1327" s="5" t="s">
        <v>71</v>
      </c>
      <c r="G1327" s="5" t="s">
        <v>166</v>
      </c>
      <c r="H1327" s="5" t="s">
        <v>1277</v>
      </c>
    </row>
    <row r="1328" spans="5:8" x14ac:dyDescent="0.3">
      <c r="E1328" s="5" t="s">
        <v>1273</v>
      </c>
      <c r="F1328" s="5" t="s">
        <v>71</v>
      </c>
      <c r="G1328" s="5" t="s">
        <v>168</v>
      </c>
      <c r="H1328" s="5" t="s">
        <v>369</v>
      </c>
    </row>
    <row r="1329" spans="5:8" x14ac:dyDescent="0.3">
      <c r="E1329" s="5" t="s">
        <v>1273</v>
      </c>
      <c r="F1329" s="5" t="s">
        <v>71</v>
      </c>
      <c r="G1329" s="5" t="s">
        <v>170</v>
      </c>
      <c r="H1329" s="5" t="s">
        <v>1278</v>
      </c>
    </row>
    <row r="1330" spans="5:8" x14ac:dyDescent="0.3">
      <c r="E1330" s="5" t="s">
        <v>1273</v>
      </c>
      <c r="F1330" s="5" t="s">
        <v>71</v>
      </c>
      <c r="G1330" s="5" t="s">
        <v>172</v>
      </c>
      <c r="H1330" s="5" t="s">
        <v>1279</v>
      </c>
    </row>
    <row r="1331" spans="5:8" x14ac:dyDescent="0.3">
      <c r="E1331" s="5" t="s">
        <v>1273</v>
      </c>
      <c r="F1331" s="5" t="s">
        <v>71</v>
      </c>
      <c r="G1331" s="5" t="s">
        <v>174</v>
      </c>
      <c r="H1331" s="5" t="s">
        <v>840</v>
      </c>
    </row>
    <row r="1332" spans="5:8" x14ac:dyDescent="0.3">
      <c r="E1332" s="5" t="s">
        <v>1273</v>
      </c>
      <c r="F1332" s="5" t="s">
        <v>71</v>
      </c>
      <c r="G1332" s="5" t="s">
        <v>176</v>
      </c>
      <c r="H1332" s="5" t="s">
        <v>1280</v>
      </c>
    </row>
    <row r="1333" spans="5:8" x14ac:dyDescent="0.3">
      <c r="E1333" s="5" t="s">
        <v>1273</v>
      </c>
      <c r="F1333" s="5" t="s">
        <v>71</v>
      </c>
      <c r="G1333" s="5" t="s">
        <v>178</v>
      </c>
      <c r="H1333" s="5" t="s">
        <v>1281</v>
      </c>
    </row>
    <row r="1334" spans="5:8" x14ac:dyDescent="0.3">
      <c r="E1334" s="5" t="s">
        <v>1273</v>
      </c>
      <c r="F1334" s="5" t="s">
        <v>71</v>
      </c>
      <c r="G1334" s="5" t="s">
        <v>180</v>
      </c>
      <c r="H1334" s="5" t="s">
        <v>842</v>
      </c>
    </row>
    <row r="1335" spans="5:8" x14ac:dyDescent="0.3">
      <c r="E1335" s="5" t="s">
        <v>1273</v>
      </c>
      <c r="F1335" s="5" t="s">
        <v>71</v>
      </c>
      <c r="G1335" s="5" t="s">
        <v>182</v>
      </c>
      <c r="H1335" s="5" t="s">
        <v>1223</v>
      </c>
    </row>
    <row r="1336" spans="5:8" x14ac:dyDescent="0.3">
      <c r="E1336" s="5" t="s">
        <v>1273</v>
      </c>
      <c r="F1336" s="5" t="s">
        <v>71</v>
      </c>
      <c r="G1336" s="5" t="s">
        <v>184</v>
      </c>
      <c r="H1336" s="5" t="s">
        <v>1282</v>
      </c>
    </row>
    <row r="1337" spans="5:8" x14ac:dyDescent="0.3">
      <c r="E1337" s="5" t="s">
        <v>1273</v>
      </c>
      <c r="F1337" s="5" t="s">
        <v>71</v>
      </c>
      <c r="G1337" s="5" t="s">
        <v>186</v>
      </c>
      <c r="H1337" s="5" t="s">
        <v>187</v>
      </c>
    </row>
    <row r="1338" spans="5:8" x14ac:dyDescent="0.3">
      <c r="E1338" s="5" t="s">
        <v>1273</v>
      </c>
      <c r="F1338" s="5" t="s">
        <v>71</v>
      </c>
      <c r="G1338" s="5" t="s">
        <v>188</v>
      </c>
      <c r="H1338" s="5" t="s">
        <v>818</v>
      </c>
    </row>
    <row r="1339" spans="5:8" x14ac:dyDescent="0.3">
      <c r="E1339" s="5" t="s">
        <v>1273</v>
      </c>
      <c r="F1339" s="5" t="s">
        <v>71</v>
      </c>
      <c r="G1339" s="5" t="s">
        <v>190</v>
      </c>
      <c r="H1339" s="5" t="s">
        <v>634</v>
      </c>
    </row>
    <row r="1340" spans="5:8" x14ac:dyDescent="0.3">
      <c r="E1340" s="5" t="s">
        <v>1273</v>
      </c>
      <c r="F1340" s="5" t="s">
        <v>71</v>
      </c>
      <c r="G1340" s="5" t="s">
        <v>192</v>
      </c>
      <c r="H1340" s="5" t="s">
        <v>1283</v>
      </c>
    </row>
    <row r="1341" spans="5:8" x14ac:dyDescent="0.3">
      <c r="E1341" s="5" t="s">
        <v>1273</v>
      </c>
      <c r="F1341" s="5" t="s">
        <v>71</v>
      </c>
      <c r="G1341" s="5" t="s">
        <v>194</v>
      </c>
      <c r="H1341" s="5" t="s">
        <v>1284</v>
      </c>
    </row>
    <row r="1342" spans="5:8" x14ac:dyDescent="0.3">
      <c r="E1342" s="5" t="s">
        <v>1273</v>
      </c>
      <c r="F1342" s="5" t="s">
        <v>71</v>
      </c>
      <c r="G1342" s="5" t="s">
        <v>196</v>
      </c>
      <c r="H1342" s="5" t="s">
        <v>1285</v>
      </c>
    </row>
    <row r="1343" spans="5:8" x14ac:dyDescent="0.3">
      <c r="E1343" s="5" t="s">
        <v>1273</v>
      </c>
      <c r="F1343" s="5" t="s">
        <v>71</v>
      </c>
      <c r="G1343" s="5" t="s">
        <v>198</v>
      </c>
      <c r="H1343" s="5" t="s">
        <v>640</v>
      </c>
    </row>
    <row r="1344" spans="5:8" x14ac:dyDescent="0.3">
      <c r="E1344" s="5" t="s">
        <v>1273</v>
      </c>
      <c r="F1344" s="5" t="s">
        <v>71</v>
      </c>
      <c r="G1344" s="5" t="s">
        <v>200</v>
      </c>
      <c r="H1344" s="5" t="s">
        <v>506</v>
      </c>
    </row>
    <row r="1345" spans="5:8" x14ac:dyDescent="0.3">
      <c r="E1345" s="5" t="s">
        <v>1273</v>
      </c>
      <c r="F1345" s="5" t="s">
        <v>71</v>
      </c>
      <c r="G1345" s="5" t="s">
        <v>202</v>
      </c>
      <c r="H1345" s="5" t="s">
        <v>1286</v>
      </c>
    </row>
    <row r="1346" spans="5:8" x14ac:dyDescent="0.3">
      <c r="E1346" s="5" t="s">
        <v>1273</v>
      </c>
      <c r="F1346" s="5" t="s">
        <v>71</v>
      </c>
      <c r="G1346" s="5" t="s">
        <v>204</v>
      </c>
      <c r="H1346" s="5" t="s">
        <v>1287</v>
      </c>
    </row>
    <row r="1347" spans="5:8" x14ac:dyDescent="0.3">
      <c r="E1347" s="5" t="s">
        <v>1273</v>
      </c>
      <c r="F1347" s="5" t="s">
        <v>71</v>
      </c>
      <c r="G1347" s="5" t="s">
        <v>206</v>
      </c>
      <c r="H1347" s="5" t="s">
        <v>1288</v>
      </c>
    </row>
    <row r="1348" spans="5:8" x14ac:dyDescent="0.3">
      <c r="E1348" s="5" t="s">
        <v>1273</v>
      </c>
      <c r="F1348" s="5" t="s">
        <v>71</v>
      </c>
      <c r="G1348" s="5" t="s">
        <v>208</v>
      </c>
      <c r="H1348" s="5" t="s">
        <v>1289</v>
      </c>
    </row>
    <row r="1349" spans="5:8" x14ac:dyDescent="0.3">
      <c r="E1349" s="5" t="s">
        <v>1273</v>
      </c>
      <c r="F1349" s="5" t="s">
        <v>71</v>
      </c>
      <c r="G1349" s="5" t="s">
        <v>210</v>
      </c>
      <c r="H1349" s="5" t="s">
        <v>387</v>
      </c>
    </row>
    <row r="1350" spans="5:8" x14ac:dyDescent="0.3">
      <c r="E1350" s="5" t="s">
        <v>1273</v>
      </c>
      <c r="F1350" s="5" t="s">
        <v>71</v>
      </c>
      <c r="G1350" s="5" t="s">
        <v>212</v>
      </c>
      <c r="H1350" s="5" t="s">
        <v>1290</v>
      </c>
    </row>
    <row r="1351" spans="5:8" x14ac:dyDescent="0.3">
      <c r="E1351" s="5" t="s">
        <v>1273</v>
      </c>
      <c r="F1351" s="5" t="s">
        <v>71</v>
      </c>
      <c r="G1351" s="5" t="s">
        <v>214</v>
      </c>
      <c r="H1351" s="5" t="s">
        <v>229</v>
      </c>
    </row>
    <row r="1352" spans="5:8" x14ac:dyDescent="0.3">
      <c r="E1352" s="5" t="s">
        <v>1273</v>
      </c>
      <c r="F1352" s="5" t="s">
        <v>71</v>
      </c>
      <c r="G1352" s="5" t="s">
        <v>216</v>
      </c>
      <c r="H1352" s="5" t="s">
        <v>1291</v>
      </c>
    </row>
    <row r="1353" spans="5:8" x14ac:dyDescent="0.3">
      <c r="E1353" s="5" t="s">
        <v>1273</v>
      </c>
      <c r="F1353" s="5" t="s">
        <v>71</v>
      </c>
      <c r="G1353" s="5" t="s">
        <v>218</v>
      </c>
      <c r="H1353" s="5" t="s">
        <v>1292</v>
      </c>
    </row>
    <row r="1354" spans="5:8" x14ac:dyDescent="0.3">
      <c r="E1354" s="5" t="s">
        <v>1273</v>
      </c>
      <c r="F1354" s="5" t="s">
        <v>71</v>
      </c>
      <c r="G1354" s="5" t="s">
        <v>220</v>
      </c>
      <c r="H1354" s="5" t="s">
        <v>1293</v>
      </c>
    </row>
    <row r="1355" spans="5:8" x14ac:dyDescent="0.3">
      <c r="E1355" s="5" t="s">
        <v>1273</v>
      </c>
      <c r="F1355" s="5" t="s">
        <v>71</v>
      </c>
      <c r="G1355" s="5" t="s">
        <v>222</v>
      </c>
      <c r="H1355" s="5" t="s">
        <v>231</v>
      </c>
    </row>
    <row r="1356" spans="5:8" x14ac:dyDescent="0.3">
      <c r="E1356" s="5" t="s">
        <v>1273</v>
      </c>
      <c r="F1356" s="5" t="s">
        <v>71</v>
      </c>
      <c r="G1356" s="5" t="s">
        <v>224</v>
      </c>
      <c r="H1356" s="5" t="s">
        <v>1294</v>
      </c>
    </row>
    <row r="1357" spans="5:8" x14ac:dyDescent="0.3">
      <c r="E1357" s="5" t="s">
        <v>1273</v>
      </c>
      <c r="F1357" s="5" t="s">
        <v>71</v>
      </c>
      <c r="G1357" s="5" t="s">
        <v>226</v>
      </c>
      <c r="H1357" s="5" t="s">
        <v>1295</v>
      </c>
    </row>
    <row r="1358" spans="5:8" x14ac:dyDescent="0.3">
      <c r="E1358" s="5" t="s">
        <v>1273</v>
      </c>
      <c r="F1358" s="5" t="s">
        <v>71</v>
      </c>
      <c r="G1358" s="5" t="s">
        <v>228</v>
      </c>
      <c r="H1358" s="5" t="s">
        <v>1296</v>
      </c>
    </row>
    <row r="1359" spans="5:8" x14ac:dyDescent="0.3">
      <c r="E1359" s="5" t="s">
        <v>1273</v>
      </c>
      <c r="F1359" s="5" t="s">
        <v>71</v>
      </c>
      <c r="G1359" s="5" t="s">
        <v>230</v>
      </c>
      <c r="H1359" s="5" t="s">
        <v>1297</v>
      </c>
    </row>
    <row r="1360" spans="5:8" x14ac:dyDescent="0.3">
      <c r="E1360" s="5" t="s">
        <v>1273</v>
      </c>
      <c r="F1360" s="5" t="s">
        <v>71</v>
      </c>
      <c r="G1360" s="5" t="s">
        <v>232</v>
      </c>
      <c r="H1360" s="5" t="s">
        <v>1298</v>
      </c>
    </row>
    <row r="1361" spans="5:8" x14ac:dyDescent="0.3">
      <c r="E1361" s="5" t="s">
        <v>1273</v>
      </c>
      <c r="F1361" s="5" t="s">
        <v>71</v>
      </c>
      <c r="G1361" s="5" t="s">
        <v>234</v>
      </c>
      <c r="H1361" s="5" t="s">
        <v>447</v>
      </c>
    </row>
    <row r="1362" spans="5:8" x14ac:dyDescent="0.3">
      <c r="E1362" s="5" t="s">
        <v>1273</v>
      </c>
      <c r="F1362" s="5" t="s">
        <v>71</v>
      </c>
      <c r="G1362" s="5" t="s">
        <v>236</v>
      </c>
      <c r="H1362" s="5" t="s">
        <v>1299</v>
      </c>
    </row>
    <row r="1363" spans="5:8" x14ac:dyDescent="0.3">
      <c r="E1363" s="5" t="s">
        <v>1273</v>
      </c>
      <c r="F1363" s="5" t="s">
        <v>71</v>
      </c>
      <c r="G1363" s="5" t="s">
        <v>238</v>
      </c>
      <c r="H1363" s="5" t="s">
        <v>1300</v>
      </c>
    </row>
    <row r="1364" spans="5:8" x14ac:dyDescent="0.3">
      <c r="E1364" s="5" t="s">
        <v>1273</v>
      </c>
      <c r="F1364" s="5" t="s">
        <v>71</v>
      </c>
      <c r="G1364" s="5" t="s">
        <v>240</v>
      </c>
      <c r="H1364" s="5" t="s">
        <v>395</v>
      </c>
    </row>
    <row r="1365" spans="5:8" x14ac:dyDescent="0.3">
      <c r="E1365" s="5" t="s">
        <v>1273</v>
      </c>
      <c r="F1365" s="5" t="s">
        <v>71</v>
      </c>
      <c r="G1365" s="5" t="s">
        <v>242</v>
      </c>
      <c r="H1365" s="5" t="s">
        <v>960</v>
      </c>
    </row>
    <row r="1366" spans="5:8" x14ac:dyDescent="0.3">
      <c r="E1366" s="5" t="s">
        <v>1273</v>
      </c>
      <c r="F1366" s="5" t="s">
        <v>71</v>
      </c>
      <c r="G1366" s="5" t="s">
        <v>246</v>
      </c>
      <c r="H1366" s="5" t="s">
        <v>1302</v>
      </c>
    </row>
    <row r="1367" spans="5:8" x14ac:dyDescent="0.3">
      <c r="E1367" s="5" t="s">
        <v>1273</v>
      </c>
      <c r="F1367" s="5" t="s">
        <v>71</v>
      </c>
      <c r="G1367" s="5" t="s">
        <v>248</v>
      </c>
      <c r="H1367" s="5" t="s">
        <v>255</v>
      </c>
    </row>
    <row r="1368" spans="5:8" x14ac:dyDescent="0.3">
      <c r="E1368" s="5" t="s">
        <v>1273</v>
      </c>
      <c r="F1368" s="5" t="s">
        <v>71</v>
      </c>
      <c r="G1368" s="5" t="s">
        <v>250</v>
      </c>
      <c r="H1368" s="5" t="s">
        <v>586</v>
      </c>
    </row>
    <row r="1369" spans="5:8" x14ac:dyDescent="0.3">
      <c r="E1369" s="5" t="s">
        <v>1273</v>
      </c>
      <c r="F1369" s="5" t="s">
        <v>71</v>
      </c>
      <c r="G1369" s="5" t="s">
        <v>244</v>
      </c>
      <c r="H1369" s="5" t="s">
        <v>1301</v>
      </c>
    </row>
    <row r="1370" spans="5:8" x14ac:dyDescent="0.3">
      <c r="E1370" s="5" t="s">
        <v>1273</v>
      </c>
      <c r="F1370" s="5" t="s">
        <v>71</v>
      </c>
      <c r="G1370" s="5" t="s">
        <v>252</v>
      </c>
      <c r="H1370" s="5" t="s">
        <v>1303</v>
      </c>
    </row>
    <row r="1371" spans="5:8" x14ac:dyDescent="0.3">
      <c r="E1371" s="5" t="s">
        <v>1273</v>
      </c>
      <c r="F1371" s="5" t="s">
        <v>71</v>
      </c>
      <c r="G1371" s="5" t="s">
        <v>254</v>
      </c>
      <c r="H1371" s="5" t="s">
        <v>1304</v>
      </c>
    </row>
    <row r="1372" spans="5:8" x14ac:dyDescent="0.3">
      <c r="E1372" s="5" t="s">
        <v>1273</v>
      </c>
      <c r="F1372" s="5" t="s">
        <v>71</v>
      </c>
      <c r="G1372" s="5" t="s">
        <v>256</v>
      </c>
      <c r="H1372" s="5" t="s">
        <v>1305</v>
      </c>
    </row>
    <row r="1373" spans="5:8" x14ac:dyDescent="0.3">
      <c r="E1373" s="5" t="s">
        <v>1273</v>
      </c>
      <c r="F1373" s="5" t="s">
        <v>71</v>
      </c>
      <c r="G1373" s="5" t="s">
        <v>258</v>
      </c>
      <c r="H1373" s="5" t="s">
        <v>1306</v>
      </c>
    </row>
    <row r="1374" spans="5:8" x14ac:dyDescent="0.3">
      <c r="E1374" s="5" t="s">
        <v>1273</v>
      </c>
      <c r="F1374" s="5" t="s">
        <v>71</v>
      </c>
      <c r="G1374" s="5" t="s">
        <v>260</v>
      </c>
      <c r="H1374" s="5" t="s">
        <v>706</v>
      </c>
    </row>
    <row r="1375" spans="5:8" x14ac:dyDescent="0.3">
      <c r="E1375" s="5" t="s">
        <v>1273</v>
      </c>
      <c r="F1375" s="5" t="s">
        <v>71</v>
      </c>
      <c r="G1375" s="5" t="s">
        <v>262</v>
      </c>
      <c r="H1375" s="5" t="s">
        <v>1307</v>
      </c>
    </row>
    <row r="1376" spans="5:8" x14ac:dyDescent="0.3">
      <c r="E1376" s="5" t="s">
        <v>1273</v>
      </c>
      <c r="F1376" s="5" t="s">
        <v>71</v>
      </c>
      <c r="G1376" s="5" t="s">
        <v>264</v>
      </c>
      <c r="H1376" s="5" t="s">
        <v>1308</v>
      </c>
    </row>
    <row r="1377" spans="5:8" x14ac:dyDescent="0.3">
      <c r="E1377" s="5" t="s">
        <v>1273</v>
      </c>
      <c r="F1377" s="5" t="s">
        <v>71</v>
      </c>
      <c r="G1377" s="5" t="s">
        <v>266</v>
      </c>
      <c r="H1377" s="5" t="s">
        <v>1309</v>
      </c>
    </row>
    <row r="1378" spans="5:8" x14ac:dyDescent="0.3">
      <c r="E1378" s="5" t="s">
        <v>1273</v>
      </c>
      <c r="F1378" s="5" t="s">
        <v>71</v>
      </c>
      <c r="G1378" s="5" t="s">
        <v>268</v>
      </c>
      <c r="H1378" s="5" t="s">
        <v>1310</v>
      </c>
    </row>
    <row r="1379" spans="5:8" x14ac:dyDescent="0.3">
      <c r="E1379" s="5" t="s">
        <v>1273</v>
      </c>
      <c r="F1379" s="5" t="s">
        <v>71</v>
      </c>
      <c r="G1379" s="5" t="s">
        <v>270</v>
      </c>
      <c r="H1379" s="5" t="s">
        <v>1311</v>
      </c>
    </row>
    <row r="1380" spans="5:8" x14ac:dyDescent="0.3">
      <c r="E1380" s="5" t="s">
        <v>1273</v>
      </c>
      <c r="F1380" s="5" t="s">
        <v>71</v>
      </c>
      <c r="G1380" s="5" t="s">
        <v>272</v>
      </c>
      <c r="H1380" s="5" t="s">
        <v>1312</v>
      </c>
    </row>
    <row r="1381" spans="5:8" x14ac:dyDescent="0.3">
      <c r="E1381" s="5" t="s">
        <v>1273</v>
      </c>
      <c r="F1381" s="5" t="s">
        <v>71</v>
      </c>
      <c r="G1381" s="5" t="s">
        <v>274</v>
      </c>
      <c r="H1381" s="5" t="s">
        <v>1313</v>
      </c>
    </row>
    <row r="1382" spans="5:8" x14ac:dyDescent="0.3">
      <c r="E1382" s="5" t="s">
        <v>1273</v>
      </c>
      <c r="F1382" s="5" t="s">
        <v>71</v>
      </c>
      <c r="G1382" s="5" t="s">
        <v>276</v>
      </c>
      <c r="H1382" s="5" t="s">
        <v>1314</v>
      </c>
    </row>
    <row r="1383" spans="5:8" x14ac:dyDescent="0.3">
      <c r="E1383" s="5" t="s">
        <v>1273</v>
      </c>
      <c r="F1383" s="5" t="s">
        <v>71</v>
      </c>
      <c r="G1383" s="5" t="s">
        <v>278</v>
      </c>
      <c r="H1383" s="5" t="s">
        <v>406</v>
      </c>
    </row>
    <row r="1384" spans="5:8" x14ac:dyDescent="0.3">
      <c r="E1384" s="5" t="s">
        <v>1273</v>
      </c>
      <c r="F1384" s="5" t="s">
        <v>71</v>
      </c>
      <c r="G1384" s="5" t="s">
        <v>280</v>
      </c>
      <c r="H1384" s="5" t="s">
        <v>407</v>
      </c>
    </row>
    <row r="1385" spans="5:8" x14ac:dyDescent="0.3">
      <c r="E1385" s="5" t="s">
        <v>1273</v>
      </c>
      <c r="F1385" s="5" t="s">
        <v>71</v>
      </c>
      <c r="G1385" s="5" t="s">
        <v>282</v>
      </c>
      <c r="H1385" s="5" t="s">
        <v>1315</v>
      </c>
    </row>
    <row r="1386" spans="5:8" x14ac:dyDescent="0.3">
      <c r="E1386" s="5" t="s">
        <v>1273</v>
      </c>
      <c r="F1386" s="5" t="s">
        <v>71</v>
      </c>
      <c r="G1386" s="5" t="s">
        <v>284</v>
      </c>
      <c r="H1386" s="5" t="s">
        <v>1316</v>
      </c>
    </row>
    <row r="1387" spans="5:8" x14ac:dyDescent="0.3">
      <c r="E1387" s="5" t="s">
        <v>1273</v>
      </c>
      <c r="F1387" s="5" t="s">
        <v>71</v>
      </c>
      <c r="G1387" s="5" t="s">
        <v>286</v>
      </c>
      <c r="H1387" s="5" t="s">
        <v>1317</v>
      </c>
    </row>
    <row r="1388" spans="5:8" x14ac:dyDescent="0.3">
      <c r="E1388" s="5" t="s">
        <v>1273</v>
      </c>
      <c r="F1388" s="5" t="s">
        <v>71</v>
      </c>
      <c r="G1388" s="5" t="s">
        <v>288</v>
      </c>
      <c r="H1388" s="5" t="s">
        <v>1318</v>
      </c>
    </row>
    <row r="1389" spans="5:8" x14ac:dyDescent="0.3">
      <c r="E1389" s="5" t="s">
        <v>1273</v>
      </c>
      <c r="F1389" s="5" t="s">
        <v>71</v>
      </c>
      <c r="G1389" s="5" t="s">
        <v>290</v>
      </c>
      <c r="H1389" s="5" t="s">
        <v>1030</v>
      </c>
    </row>
    <row r="1390" spans="5:8" x14ac:dyDescent="0.3">
      <c r="E1390" s="5" t="s">
        <v>1273</v>
      </c>
      <c r="F1390" s="5" t="s">
        <v>71</v>
      </c>
      <c r="G1390" s="5" t="s">
        <v>292</v>
      </c>
      <c r="H1390" s="5" t="s">
        <v>1319</v>
      </c>
    </row>
    <row r="1391" spans="5:8" x14ac:dyDescent="0.3">
      <c r="E1391" s="5" t="s">
        <v>1273</v>
      </c>
      <c r="F1391" s="5" t="s">
        <v>71</v>
      </c>
      <c r="G1391" s="5" t="s">
        <v>416</v>
      </c>
      <c r="H1391" s="5" t="s">
        <v>1320</v>
      </c>
    </row>
    <row r="1392" spans="5:8" x14ac:dyDescent="0.3">
      <c r="E1392" s="5" t="s">
        <v>1273</v>
      </c>
      <c r="F1392" s="5" t="s">
        <v>71</v>
      </c>
      <c r="G1392" s="5" t="s">
        <v>420</v>
      </c>
      <c r="H1392" s="5" t="s">
        <v>412</v>
      </c>
    </row>
    <row r="1393" spans="5:8" x14ac:dyDescent="0.3">
      <c r="E1393" s="5" t="s">
        <v>1273</v>
      </c>
      <c r="F1393" s="5" t="s">
        <v>71</v>
      </c>
      <c r="G1393" s="5" t="s">
        <v>422</v>
      </c>
      <c r="H1393" s="5" t="s">
        <v>1322</v>
      </c>
    </row>
    <row r="1394" spans="5:8" x14ac:dyDescent="0.3">
      <c r="E1394" s="5" t="s">
        <v>1273</v>
      </c>
      <c r="F1394" s="5" t="s">
        <v>71</v>
      </c>
      <c r="G1394" s="5" t="s">
        <v>424</v>
      </c>
      <c r="H1394" s="5" t="s">
        <v>1323</v>
      </c>
    </row>
    <row r="1395" spans="5:8" x14ac:dyDescent="0.3">
      <c r="E1395" s="5" t="s">
        <v>1273</v>
      </c>
      <c r="F1395" s="5" t="s">
        <v>71</v>
      </c>
      <c r="G1395" s="5" t="s">
        <v>418</v>
      </c>
      <c r="H1395" s="5" t="s">
        <v>1321</v>
      </c>
    </row>
    <row r="1396" spans="5:8" x14ac:dyDescent="0.3">
      <c r="E1396" s="5" t="s">
        <v>1273</v>
      </c>
      <c r="F1396" s="5" t="s">
        <v>71</v>
      </c>
      <c r="G1396" s="5" t="s">
        <v>425</v>
      </c>
      <c r="H1396" s="5" t="s">
        <v>1324</v>
      </c>
    </row>
    <row r="1397" spans="5:8" x14ac:dyDescent="0.3">
      <c r="E1397" s="5" t="s">
        <v>1273</v>
      </c>
      <c r="F1397" s="5" t="s">
        <v>71</v>
      </c>
      <c r="G1397" s="5" t="s">
        <v>427</v>
      </c>
      <c r="H1397" s="5" t="s">
        <v>1325</v>
      </c>
    </row>
    <row r="1398" spans="5:8" x14ac:dyDescent="0.3">
      <c r="E1398" s="5" t="s">
        <v>1273</v>
      </c>
      <c r="F1398" s="5" t="s">
        <v>71</v>
      </c>
      <c r="G1398" s="5" t="s">
        <v>429</v>
      </c>
      <c r="H1398" s="5" t="s">
        <v>1040</v>
      </c>
    </row>
    <row r="1399" spans="5:8" x14ac:dyDescent="0.3">
      <c r="E1399" s="5" t="s">
        <v>1273</v>
      </c>
      <c r="F1399" s="5" t="s">
        <v>71</v>
      </c>
      <c r="G1399" s="5" t="s">
        <v>664</v>
      </c>
      <c r="H1399" s="5" t="s">
        <v>1326</v>
      </c>
    </row>
    <row r="1400" spans="5:8" x14ac:dyDescent="0.3">
      <c r="E1400" s="5" t="s">
        <v>1273</v>
      </c>
      <c r="F1400" s="5" t="s">
        <v>71</v>
      </c>
      <c r="G1400" s="5" t="s">
        <v>665</v>
      </c>
      <c r="H1400" s="5" t="s">
        <v>1101</v>
      </c>
    </row>
    <row r="1401" spans="5:8" x14ac:dyDescent="0.3">
      <c r="E1401" s="5" t="s">
        <v>1273</v>
      </c>
      <c r="F1401" s="5" t="s">
        <v>71</v>
      </c>
      <c r="G1401" s="5" t="s">
        <v>666</v>
      </c>
      <c r="H1401" s="5" t="s">
        <v>1327</v>
      </c>
    </row>
    <row r="1402" spans="5:8" x14ac:dyDescent="0.3">
      <c r="E1402" s="5" t="s">
        <v>1273</v>
      </c>
      <c r="F1402" s="5" t="s">
        <v>71</v>
      </c>
      <c r="G1402" s="5" t="s">
        <v>668</v>
      </c>
      <c r="H1402" s="5" t="s">
        <v>1328</v>
      </c>
    </row>
    <row r="1403" spans="5:8" x14ac:dyDescent="0.3">
      <c r="E1403" s="5" t="s">
        <v>1273</v>
      </c>
      <c r="F1403" s="5" t="s">
        <v>71</v>
      </c>
      <c r="G1403" s="5" t="s">
        <v>669</v>
      </c>
      <c r="H1403" s="5" t="s">
        <v>1329</v>
      </c>
    </row>
    <row r="1404" spans="5:8" x14ac:dyDescent="0.3">
      <c r="E1404" s="5" t="s">
        <v>1273</v>
      </c>
      <c r="F1404" s="5" t="s">
        <v>71</v>
      </c>
      <c r="G1404" s="5" t="s">
        <v>671</v>
      </c>
      <c r="H1404" s="5" t="s">
        <v>1330</v>
      </c>
    </row>
    <row r="1405" spans="5:8" x14ac:dyDescent="0.3">
      <c r="E1405" s="5" t="s">
        <v>1273</v>
      </c>
      <c r="F1405" s="5" t="s">
        <v>71</v>
      </c>
      <c r="G1405" s="5" t="s">
        <v>673</v>
      </c>
      <c r="H1405" s="5" t="s">
        <v>289</v>
      </c>
    </row>
    <row r="1406" spans="5:8" x14ac:dyDescent="0.3">
      <c r="E1406" s="5" t="s">
        <v>1273</v>
      </c>
      <c r="F1406" s="5" t="s">
        <v>71</v>
      </c>
      <c r="G1406" s="5" t="s">
        <v>674</v>
      </c>
      <c r="H1406" s="5" t="s">
        <v>1331</v>
      </c>
    </row>
    <row r="1407" spans="5:8" x14ac:dyDescent="0.3">
      <c r="E1407" s="5" t="s">
        <v>1273</v>
      </c>
      <c r="F1407" s="5" t="s">
        <v>71</v>
      </c>
      <c r="G1407" s="5" t="s">
        <v>676</v>
      </c>
      <c r="H1407" s="5" t="s">
        <v>1332</v>
      </c>
    </row>
    <row r="1408" spans="5:8" x14ac:dyDescent="0.3">
      <c r="E1408" s="5" t="s">
        <v>1273</v>
      </c>
      <c r="F1408" s="5" t="s">
        <v>71</v>
      </c>
      <c r="G1408" s="5" t="s">
        <v>677</v>
      </c>
      <c r="H1408" s="5" t="s">
        <v>1333</v>
      </c>
    </row>
    <row r="1409" spans="5:8" x14ac:dyDescent="0.3">
      <c r="E1409" s="5" t="s">
        <v>1273</v>
      </c>
      <c r="F1409" s="5" t="s">
        <v>71</v>
      </c>
      <c r="G1409" s="5" t="s">
        <v>679</v>
      </c>
      <c r="H1409" s="5" t="s">
        <v>980</v>
      </c>
    </row>
    <row r="1410" spans="5:8" x14ac:dyDescent="0.3">
      <c r="E1410" s="5" t="s">
        <v>1273</v>
      </c>
      <c r="F1410" s="5" t="s">
        <v>71</v>
      </c>
      <c r="G1410" s="5" t="s">
        <v>680</v>
      </c>
      <c r="H1410" s="5" t="s">
        <v>1334</v>
      </c>
    </row>
    <row r="1411" spans="5:8" x14ac:dyDescent="0.3">
      <c r="E1411" s="5" t="s">
        <v>1372</v>
      </c>
      <c r="F1411" s="5" t="s">
        <v>75</v>
      </c>
      <c r="G1411" s="5" t="s">
        <v>160</v>
      </c>
      <c r="H1411" s="5" t="s">
        <v>936</v>
      </c>
    </row>
    <row r="1412" spans="5:8" x14ac:dyDescent="0.3">
      <c r="E1412" s="5" t="s">
        <v>1372</v>
      </c>
      <c r="F1412" s="5" t="s">
        <v>75</v>
      </c>
      <c r="G1412" s="5" t="s">
        <v>162</v>
      </c>
      <c r="H1412" s="5" t="s">
        <v>1373</v>
      </c>
    </row>
    <row r="1413" spans="5:8" x14ac:dyDescent="0.3">
      <c r="E1413" s="5" t="s">
        <v>1372</v>
      </c>
      <c r="F1413" s="5" t="s">
        <v>75</v>
      </c>
      <c r="G1413" s="5" t="s">
        <v>164</v>
      </c>
      <c r="H1413" s="5" t="s">
        <v>983</v>
      </c>
    </row>
    <row r="1414" spans="5:8" x14ac:dyDescent="0.3">
      <c r="E1414" s="5" t="s">
        <v>1372</v>
      </c>
      <c r="F1414" s="5" t="s">
        <v>75</v>
      </c>
      <c r="G1414" s="5" t="s">
        <v>166</v>
      </c>
      <c r="H1414" s="5" t="s">
        <v>1374</v>
      </c>
    </row>
    <row r="1415" spans="5:8" x14ac:dyDescent="0.3">
      <c r="E1415" s="5" t="s">
        <v>1372</v>
      </c>
      <c r="F1415" s="5" t="s">
        <v>75</v>
      </c>
      <c r="G1415" s="5" t="s">
        <v>168</v>
      </c>
      <c r="H1415" s="5" t="s">
        <v>1218</v>
      </c>
    </row>
    <row r="1416" spans="5:8" x14ac:dyDescent="0.3">
      <c r="E1416" s="5" t="s">
        <v>1372</v>
      </c>
      <c r="F1416" s="5" t="s">
        <v>75</v>
      </c>
      <c r="G1416" s="5" t="s">
        <v>170</v>
      </c>
      <c r="H1416" s="5" t="s">
        <v>985</v>
      </c>
    </row>
    <row r="1417" spans="5:8" x14ac:dyDescent="0.3">
      <c r="E1417" s="5" t="s">
        <v>1372</v>
      </c>
      <c r="F1417" s="5" t="s">
        <v>75</v>
      </c>
      <c r="G1417" s="5" t="s">
        <v>172</v>
      </c>
      <c r="H1417" s="5" t="s">
        <v>1375</v>
      </c>
    </row>
    <row r="1418" spans="5:8" x14ac:dyDescent="0.3">
      <c r="E1418" s="5" t="s">
        <v>1372</v>
      </c>
      <c r="F1418" s="5" t="s">
        <v>75</v>
      </c>
      <c r="G1418" s="5" t="s">
        <v>174</v>
      </c>
      <c r="H1418" s="5" t="s">
        <v>369</v>
      </c>
    </row>
    <row r="1419" spans="5:8" x14ac:dyDescent="0.3">
      <c r="E1419" s="5" t="s">
        <v>1372</v>
      </c>
      <c r="F1419" s="5" t="s">
        <v>75</v>
      </c>
      <c r="G1419" s="5" t="s">
        <v>176</v>
      </c>
      <c r="H1419" s="5" t="s">
        <v>1376</v>
      </c>
    </row>
    <row r="1420" spans="5:8" x14ac:dyDescent="0.3">
      <c r="E1420" s="5" t="s">
        <v>1372</v>
      </c>
      <c r="F1420" s="5" t="s">
        <v>75</v>
      </c>
      <c r="G1420" s="5" t="s">
        <v>178</v>
      </c>
      <c r="H1420" s="5" t="s">
        <v>370</v>
      </c>
    </row>
    <row r="1421" spans="5:8" x14ac:dyDescent="0.3">
      <c r="E1421" s="5" t="s">
        <v>1372</v>
      </c>
      <c r="F1421" s="5" t="s">
        <v>75</v>
      </c>
      <c r="G1421" s="5" t="s">
        <v>180</v>
      </c>
      <c r="H1421" s="5" t="s">
        <v>942</v>
      </c>
    </row>
    <row r="1422" spans="5:8" x14ac:dyDescent="0.3">
      <c r="E1422" s="5" t="s">
        <v>1372</v>
      </c>
      <c r="F1422" s="5" t="s">
        <v>75</v>
      </c>
      <c r="G1422" s="5" t="s">
        <v>182</v>
      </c>
      <c r="H1422" s="5" t="s">
        <v>173</v>
      </c>
    </row>
    <row r="1423" spans="5:8" x14ac:dyDescent="0.3">
      <c r="E1423" s="5" t="s">
        <v>1372</v>
      </c>
      <c r="F1423" s="5" t="s">
        <v>75</v>
      </c>
      <c r="G1423" s="5" t="s">
        <v>184</v>
      </c>
      <c r="H1423" s="5" t="s">
        <v>1060</v>
      </c>
    </row>
    <row r="1424" spans="5:8" x14ac:dyDescent="0.3">
      <c r="E1424" s="5" t="s">
        <v>1372</v>
      </c>
      <c r="F1424" s="5" t="s">
        <v>75</v>
      </c>
      <c r="G1424" s="5" t="s">
        <v>186</v>
      </c>
      <c r="H1424" s="5" t="s">
        <v>1377</v>
      </c>
    </row>
    <row r="1425" spans="5:8" x14ac:dyDescent="0.3">
      <c r="E1425" s="5" t="s">
        <v>1372</v>
      </c>
      <c r="F1425" s="5" t="s">
        <v>75</v>
      </c>
      <c r="G1425" s="5" t="s">
        <v>188</v>
      </c>
      <c r="H1425" s="5" t="s">
        <v>623</v>
      </c>
    </row>
    <row r="1426" spans="5:8" x14ac:dyDescent="0.3">
      <c r="E1426" s="5" t="s">
        <v>1372</v>
      </c>
      <c r="F1426" s="5" t="s">
        <v>75</v>
      </c>
      <c r="G1426" s="5" t="s">
        <v>190</v>
      </c>
      <c r="H1426" s="5" t="s">
        <v>1378</v>
      </c>
    </row>
    <row r="1427" spans="5:8" x14ac:dyDescent="0.3">
      <c r="E1427" s="5" t="s">
        <v>1372</v>
      </c>
      <c r="F1427" s="5" t="s">
        <v>75</v>
      </c>
      <c r="G1427" s="5" t="s">
        <v>192</v>
      </c>
      <c r="H1427" s="5" t="s">
        <v>372</v>
      </c>
    </row>
    <row r="1428" spans="5:8" x14ac:dyDescent="0.3">
      <c r="E1428" s="5" t="s">
        <v>1372</v>
      </c>
      <c r="F1428" s="5" t="s">
        <v>75</v>
      </c>
      <c r="G1428" s="5" t="s">
        <v>194</v>
      </c>
      <c r="H1428" s="5" t="s">
        <v>1064</v>
      </c>
    </row>
    <row r="1429" spans="5:8" x14ac:dyDescent="0.3">
      <c r="E1429" s="5" t="s">
        <v>1372</v>
      </c>
      <c r="F1429" s="5" t="s">
        <v>75</v>
      </c>
      <c r="G1429" s="5" t="s">
        <v>196</v>
      </c>
      <c r="H1429" s="5" t="s">
        <v>842</v>
      </c>
    </row>
    <row r="1430" spans="5:8" x14ac:dyDescent="0.3">
      <c r="E1430" s="5" t="s">
        <v>1372</v>
      </c>
      <c r="F1430" s="5" t="s">
        <v>75</v>
      </c>
      <c r="G1430" s="5" t="s">
        <v>198</v>
      </c>
      <c r="H1430" s="5" t="s">
        <v>944</v>
      </c>
    </row>
    <row r="1431" spans="5:8" x14ac:dyDescent="0.3">
      <c r="E1431" s="5" t="s">
        <v>1372</v>
      </c>
      <c r="F1431" s="5" t="s">
        <v>75</v>
      </c>
      <c r="G1431" s="5" t="s">
        <v>200</v>
      </c>
      <c r="H1431" s="5" t="s">
        <v>1379</v>
      </c>
    </row>
    <row r="1432" spans="5:8" x14ac:dyDescent="0.3">
      <c r="E1432" s="5" t="s">
        <v>1372</v>
      </c>
      <c r="F1432" s="5" t="s">
        <v>75</v>
      </c>
      <c r="G1432" s="5" t="s">
        <v>202</v>
      </c>
      <c r="H1432" s="5" t="s">
        <v>844</v>
      </c>
    </row>
    <row r="1433" spans="5:8" x14ac:dyDescent="0.3">
      <c r="E1433" s="5" t="s">
        <v>1372</v>
      </c>
      <c r="F1433" s="5" t="s">
        <v>75</v>
      </c>
      <c r="G1433" s="5" t="s">
        <v>204</v>
      </c>
      <c r="H1433" s="5" t="s">
        <v>374</v>
      </c>
    </row>
    <row r="1434" spans="5:8" x14ac:dyDescent="0.3">
      <c r="E1434" s="5" t="s">
        <v>1372</v>
      </c>
      <c r="F1434" s="5" t="s">
        <v>75</v>
      </c>
      <c r="G1434" s="5" t="s">
        <v>206</v>
      </c>
      <c r="H1434" s="5" t="s">
        <v>187</v>
      </c>
    </row>
    <row r="1435" spans="5:8" x14ac:dyDescent="0.3">
      <c r="E1435" s="5" t="s">
        <v>1372</v>
      </c>
      <c r="F1435" s="5" t="s">
        <v>75</v>
      </c>
      <c r="G1435" s="5" t="s">
        <v>208</v>
      </c>
      <c r="H1435" s="5" t="s">
        <v>845</v>
      </c>
    </row>
    <row r="1436" spans="5:8" x14ac:dyDescent="0.3">
      <c r="E1436" s="5" t="s">
        <v>1372</v>
      </c>
      <c r="F1436" s="5" t="s">
        <v>75</v>
      </c>
      <c r="G1436" s="5" t="s">
        <v>210</v>
      </c>
      <c r="H1436" s="5" t="s">
        <v>1380</v>
      </c>
    </row>
    <row r="1437" spans="5:8" x14ac:dyDescent="0.3">
      <c r="E1437" s="5" t="s">
        <v>1372</v>
      </c>
      <c r="F1437" s="5" t="s">
        <v>75</v>
      </c>
      <c r="G1437" s="5" t="s">
        <v>212</v>
      </c>
      <c r="H1437" s="5" t="s">
        <v>1381</v>
      </c>
    </row>
    <row r="1438" spans="5:8" x14ac:dyDescent="0.3">
      <c r="E1438" s="5" t="s">
        <v>1372</v>
      </c>
      <c r="F1438" s="5" t="s">
        <v>75</v>
      </c>
      <c r="G1438" s="5" t="s">
        <v>214</v>
      </c>
      <c r="H1438" s="5" t="s">
        <v>379</v>
      </c>
    </row>
    <row r="1439" spans="5:8" x14ac:dyDescent="0.3">
      <c r="E1439" s="5" t="s">
        <v>1372</v>
      </c>
      <c r="F1439" s="5" t="s">
        <v>75</v>
      </c>
      <c r="G1439" s="5" t="s">
        <v>216</v>
      </c>
      <c r="H1439" s="5" t="s">
        <v>637</v>
      </c>
    </row>
    <row r="1440" spans="5:8" x14ac:dyDescent="0.3">
      <c r="E1440" s="5" t="s">
        <v>1372</v>
      </c>
      <c r="F1440" s="5" t="s">
        <v>75</v>
      </c>
      <c r="G1440" s="5" t="s">
        <v>218</v>
      </c>
      <c r="H1440" s="5" t="s">
        <v>207</v>
      </c>
    </row>
    <row r="1441" spans="5:8" x14ac:dyDescent="0.3">
      <c r="E1441" s="5" t="s">
        <v>1372</v>
      </c>
      <c r="F1441" s="5" t="s">
        <v>75</v>
      </c>
      <c r="G1441" s="5" t="s">
        <v>220</v>
      </c>
      <c r="H1441" s="5" t="s">
        <v>897</v>
      </c>
    </row>
    <row r="1442" spans="5:8" x14ac:dyDescent="0.3">
      <c r="E1442" s="5" t="s">
        <v>1372</v>
      </c>
      <c r="F1442" s="5" t="s">
        <v>75</v>
      </c>
      <c r="G1442" s="5" t="s">
        <v>222</v>
      </c>
      <c r="H1442" s="5" t="s">
        <v>209</v>
      </c>
    </row>
    <row r="1443" spans="5:8" x14ac:dyDescent="0.3">
      <c r="E1443" s="5" t="s">
        <v>1372</v>
      </c>
      <c r="F1443" s="5" t="s">
        <v>75</v>
      </c>
      <c r="G1443" s="5" t="s">
        <v>224</v>
      </c>
      <c r="H1443" s="5" t="s">
        <v>1382</v>
      </c>
    </row>
    <row r="1444" spans="5:8" x14ac:dyDescent="0.3">
      <c r="E1444" s="5" t="s">
        <v>1372</v>
      </c>
      <c r="F1444" s="5" t="s">
        <v>75</v>
      </c>
      <c r="G1444" s="5" t="s">
        <v>226</v>
      </c>
      <c r="H1444" s="5" t="s">
        <v>506</v>
      </c>
    </row>
    <row r="1445" spans="5:8" x14ac:dyDescent="0.3">
      <c r="E1445" s="5" t="s">
        <v>1372</v>
      </c>
      <c r="F1445" s="5" t="s">
        <v>75</v>
      </c>
      <c r="G1445" s="5" t="s">
        <v>228</v>
      </c>
      <c r="H1445" s="5" t="s">
        <v>1383</v>
      </c>
    </row>
    <row r="1446" spans="5:8" x14ac:dyDescent="0.3">
      <c r="E1446" s="5" t="s">
        <v>1372</v>
      </c>
      <c r="F1446" s="5" t="s">
        <v>75</v>
      </c>
      <c r="G1446" s="5" t="s">
        <v>230</v>
      </c>
      <c r="H1446" s="5" t="s">
        <v>219</v>
      </c>
    </row>
    <row r="1447" spans="5:8" x14ac:dyDescent="0.3">
      <c r="E1447" s="5" t="s">
        <v>1372</v>
      </c>
      <c r="F1447" s="5" t="s">
        <v>75</v>
      </c>
      <c r="G1447" s="5" t="s">
        <v>232</v>
      </c>
      <c r="H1447" s="5" t="s">
        <v>1384</v>
      </c>
    </row>
    <row r="1448" spans="5:8" x14ac:dyDescent="0.3">
      <c r="E1448" s="5" t="s">
        <v>1372</v>
      </c>
      <c r="F1448" s="5" t="s">
        <v>75</v>
      </c>
      <c r="G1448" s="5" t="s">
        <v>234</v>
      </c>
      <c r="H1448" s="5" t="s">
        <v>1385</v>
      </c>
    </row>
    <row r="1449" spans="5:8" x14ac:dyDescent="0.3">
      <c r="E1449" s="5" t="s">
        <v>1372</v>
      </c>
      <c r="F1449" s="5" t="s">
        <v>75</v>
      </c>
      <c r="G1449" s="5" t="s">
        <v>236</v>
      </c>
      <c r="H1449" s="5" t="s">
        <v>223</v>
      </c>
    </row>
    <row r="1450" spans="5:8" x14ac:dyDescent="0.3">
      <c r="E1450" s="5" t="s">
        <v>1372</v>
      </c>
      <c r="F1450" s="5" t="s">
        <v>75</v>
      </c>
      <c r="G1450" s="5" t="s">
        <v>238</v>
      </c>
      <c r="H1450" s="5" t="s">
        <v>854</v>
      </c>
    </row>
    <row r="1451" spans="5:8" x14ac:dyDescent="0.3">
      <c r="E1451" s="5" t="s">
        <v>1372</v>
      </c>
      <c r="F1451" s="5" t="s">
        <v>75</v>
      </c>
      <c r="G1451" s="5" t="s">
        <v>240</v>
      </c>
      <c r="H1451" s="5" t="s">
        <v>904</v>
      </c>
    </row>
    <row r="1452" spans="5:8" x14ac:dyDescent="0.3">
      <c r="E1452" s="5" t="s">
        <v>1372</v>
      </c>
      <c r="F1452" s="5" t="s">
        <v>75</v>
      </c>
      <c r="G1452" s="5" t="s">
        <v>242</v>
      </c>
      <c r="H1452" s="5" t="s">
        <v>227</v>
      </c>
    </row>
    <row r="1453" spans="5:8" x14ac:dyDescent="0.3">
      <c r="E1453" s="5" t="s">
        <v>1372</v>
      </c>
      <c r="F1453" s="5" t="s">
        <v>75</v>
      </c>
      <c r="G1453" s="5" t="s">
        <v>244</v>
      </c>
      <c r="H1453" s="5" t="s">
        <v>1386</v>
      </c>
    </row>
    <row r="1454" spans="5:8" x14ac:dyDescent="0.3">
      <c r="E1454" s="5" t="s">
        <v>1372</v>
      </c>
      <c r="F1454" s="5" t="s">
        <v>75</v>
      </c>
      <c r="G1454" s="5" t="s">
        <v>246</v>
      </c>
      <c r="H1454" s="5" t="s">
        <v>1387</v>
      </c>
    </row>
    <row r="1455" spans="5:8" x14ac:dyDescent="0.3">
      <c r="E1455" s="5" t="s">
        <v>1372</v>
      </c>
      <c r="F1455" s="5" t="s">
        <v>75</v>
      </c>
      <c r="G1455" s="5" t="s">
        <v>248</v>
      </c>
      <c r="H1455" s="5" t="s">
        <v>390</v>
      </c>
    </row>
    <row r="1456" spans="5:8" x14ac:dyDescent="0.3">
      <c r="E1456" s="5" t="s">
        <v>1372</v>
      </c>
      <c r="F1456" s="5" t="s">
        <v>75</v>
      </c>
      <c r="G1456" s="5" t="s">
        <v>250</v>
      </c>
      <c r="H1456" s="5" t="s">
        <v>1388</v>
      </c>
    </row>
    <row r="1457" spans="5:8" x14ac:dyDescent="0.3">
      <c r="E1457" s="5" t="s">
        <v>1372</v>
      </c>
      <c r="F1457" s="5" t="s">
        <v>75</v>
      </c>
      <c r="G1457" s="5" t="s">
        <v>252</v>
      </c>
      <c r="H1457" s="5" t="s">
        <v>1237</v>
      </c>
    </row>
    <row r="1458" spans="5:8" x14ac:dyDescent="0.3">
      <c r="E1458" s="5" t="s">
        <v>1372</v>
      </c>
      <c r="F1458" s="5" t="s">
        <v>75</v>
      </c>
      <c r="G1458" s="5" t="s">
        <v>254</v>
      </c>
      <c r="H1458" s="5" t="s">
        <v>231</v>
      </c>
    </row>
    <row r="1459" spans="5:8" x14ac:dyDescent="0.3">
      <c r="E1459" s="5" t="s">
        <v>1372</v>
      </c>
      <c r="F1459" s="5" t="s">
        <v>75</v>
      </c>
      <c r="G1459" s="5" t="s">
        <v>256</v>
      </c>
      <c r="H1459" s="5" t="s">
        <v>670</v>
      </c>
    </row>
    <row r="1460" spans="5:8" x14ac:dyDescent="0.3">
      <c r="E1460" s="5" t="s">
        <v>1372</v>
      </c>
      <c r="F1460" s="5" t="s">
        <v>75</v>
      </c>
      <c r="G1460" s="5" t="s">
        <v>258</v>
      </c>
      <c r="H1460" s="5" t="s">
        <v>233</v>
      </c>
    </row>
    <row r="1461" spans="5:8" x14ac:dyDescent="0.3">
      <c r="E1461" s="5" t="s">
        <v>1372</v>
      </c>
      <c r="F1461" s="5" t="s">
        <v>75</v>
      </c>
      <c r="G1461" s="5" t="s">
        <v>260</v>
      </c>
      <c r="H1461" s="5" t="s">
        <v>393</v>
      </c>
    </row>
    <row r="1462" spans="5:8" x14ac:dyDescent="0.3">
      <c r="E1462" s="5" t="s">
        <v>1372</v>
      </c>
      <c r="F1462" s="5" t="s">
        <v>75</v>
      </c>
      <c r="G1462" s="5" t="s">
        <v>262</v>
      </c>
      <c r="H1462" s="5" t="s">
        <v>863</v>
      </c>
    </row>
    <row r="1463" spans="5:8" x14ac:dyDescent="0.3">
      <c r="E1463" s="5" t="s">
        <v>1372</v>
      </c>
      <c r="F1463" s="5" t="s">
        <v>75</v>
      </c>
      <c r="G1463" s="5" t="s">
        <v>264</v>
      </c>
      <c r="H1463" s="5" t="s">
        <v>1389</v>
      </c>
    </row>
    <row r="1464" spans="5:8" x14ac:dyDescent="0.3">
      <c r="E1464" s="5" t="s">
        <v>1372</v>
      </c>
      <c r="F1464" s="5" t="s">
        <v>75</v>
      </c>
      <c r="G1464" s="5" t="s">
        <v>266</v>
      </c>
      <c r="H1464" s="5" t="s">
        <v>394</v>
      </c>
    </row>
    <row r="1465" spans="5:8" x14ac:dyDescent="0.3">
      <c r="E1465" s="5" t="s">
        <v>1372</v>
      </c>
      <c r="F1465" s="5" t="s">
        <v>75</v>
      </c>
      <c r="G1465" s="5" t="s">
        <v>268</v>
      </c>
      <c r="H1465" s="5" t="s">
        <v>239</v>
      </c>
    </row>
    <row r="1466" spans="5:8" x14ac:dyDescent="0.3">
      <c r="E1466" s="5" t="s">
        <v>1372</v>
      </c>
      <c r="F1466" s="5" t="s">
        <v>75</v>
      </c>
      <c r="G1466" s="5" t="s">
        <v>270</v>
      </c>
      <c r="H1466" s="5" t="s">
        <v>826</v>
      </c>
    </row>
    <row r="1467" spans="5:8" x14ac:dyDescent="0.3">
      <c r="E1467" s="5" t="s">
        <v>1372</v>
      </c>
      <c r="F1467" s="5" t="s">
        <v>75</v>
      </c>
      <c r="G1467" s="5" t="s">
        <v>272</v>
      </c>
      <c r="H1467" s="5" t="s">
        <v>395</v>
      </c>
    </row>
    <row r="1468" spans="5:8" x14ac:dyDescent="0.3">
      <c r="E1468" s="5" t="s">
        <v>1372</v>
      </c>
      <c r="F1468" s="5" t="s">
        <v>75</v>
      </c>
      <c r="G1468" s="5" t="s">
        <v>274</v>
      </c>
      <c r="H1468" s="5" t="s">
        <v>957</v>
      </c>
    </row>
    <row r="1469" spans="5:8" x14ac:dyDescent="0.3">
      <c r="E1469" s="5" t="s">
        <v>1372</v>
      </c>
      <c r="F1469" s="5" t="s">
        <v>75</v>
      </c>
      <c r="G1469" s="5" t="s">
        <v>276</v>
      </c>
      <c r="H1469" s="5" t="s">
        <v>865</v>
      </c>
    </row>
    <row r="1470" spans="5:8" x14ac:dyDescent="0.3">
      <c r="E1470" s="5" t="s">
        <v>1372</v>
      </c>
      <c r="F1470" s="5" t="s">
        <v>75</v>
      </c>
      <c r="G1470" s="5" t="s">
        <v>280</v>
      </c>
      <c r="H1470" s="5" t="s">
        <v>247</v>
      </c>
    </row>
    <row r="1471" spans="5:8" x14ac:dyDescent="0.3">
      <c r="E1471" s="5" t="s">
        <v>1372</v>
      </c>
      <c r="F1471" s="5" t="s">
        <v>75</v>
      </c>
      <c r="G1471" s="5" t="s">
        <v>282</v>
      </c>
      <c r="H1471" s="5" t="s">
        <v>249</v>
      </c>
    </row>
    <row r="1472" spans="5:8" x14ac:dyDescent="0.3">
      <c r="E1472" s="5" t="s">
        <v>1372</v>
      </c>
      <c r="F1472" s="5" t="s">
        <v>75</v>
      </c>
      <c r="G1472" s="5" t="s">
        <v>284</v>
      </c>
      <c r="H1472" s="5" t="s">
        <v>1391</v>
      </c>
    </row>
    <row r="1473" spans="5:8" x14ac:dyDescent="0.3">
      <c r="E1473" s="5" t="s">
        <v>1372</v>
      </c>
      <c r="F1473" s="5" t="s">
        <v>75</v>
      </c>
      <c r="G1473" s="5" t="s">
        <v>286</v>
      </c>
      <c r="H1473" s="5" t="s">
        <v>253</v>
      </c>
    </row>
    <row r="1474" spans="5:8" x14ac:dyDescent="0.3">
      <c r="E1474" s="5" t="s">
        <v>1372</v>
      </c>
      <c r="F1474" s="5" t="s">
        <v>75</v>
      </c>
      <c r="G1474" s="5" t="s">
        <v>278</v>
      </c>
      <c r="H1474" s="5" t="s">
        <v>1390</v>
      </c>
    </row>
    <row r="1475" spans="5:8" x14ac:dyDescent="0.3">
      <c r="E1475" s="5" t="s">
        <v>1372</v>
      </c>
      <c r="F1475" s="5" t="s">
        <v>75</v>
      </c>
      <c r="G1475" s="5" t="s">
        <v>288</v>
      </c>
      <c r="H1475" s="5" t="s">
        <v>873</v>
      </c>
    </row>
    <row r="1476" spans="5:8" x14ac:dyDescent="0.3">
      <c r="E1476" s="5" t="s">
        <v>1372</v>
      </c>
      <c r="F1476" s="5" t="s">
        <v>75</v>
      </c>
      <c r="G1476" s="5" t="s">
        <v>290</v>
      </c>
      <c r="H1476" s="5" t="s">
        <v>399</v>
      </c>
    </row>
    <row r="1477" spans="5:8" x14ac:dyDescent="0.3">
      <c r="E1477" s="5" t="s">
        <v>1372</v>
      </c>
      <c r="F1477" s="5" t="s">
        <v>75</v>
      </c>
      <c r="G1477" s="5" t="s">
        <v>292</v>
      </c>
      <c r="H1477" s="5" t="s">
        <v>400</v>
      </c>
    </row>
    <row r="1478" spans="5:8" x14ac:dyDescent="0.3">
      <c r="E1478" s="5" t="s">
        <v>1372</v>
      </c>
      <c r="F1478" s="5" t="s">
        <v>75</v>
      </c>
      <c r="G1478" s="5" t="s">
        <v>416</v>
      </c>
      <c r="H1478" s="5" t="s">
        <v>1392</v>
      </c>
    </row>
    <row r="1479" spans="5:8" x14ac:dyDescent="0.3">
      <c r="E1479" s="5" t="s">
        <v>1372</v>
      </c>
      <c r="F1479" s="5" t="s">
        <v>75</v>
      </c>
      <c r="G1479" s="5" t="s">
        <v>418</v>
      </c>
      <c r="H1479" s="5" t="s">
        <v>259</v>
      </c>
    </row>
    <row r="1480" spans="5:8" x14ac:dyDescent="0.3">
      <c r="E1480" s="5" t="s">
        <v>1372</v>
      </c>
      <c r="F1480" s="5" t="s">
        <v>75</v>
      </c>
      <c r="G1480" s="5" t="s">
        <v>420</v>
      </c>
      <c r="H1480" s="5" t="s">
        <v>261</v>
      </c>
    </row>
    <row r="1481" spans="5:8" x14ac:dyDescent="0.3">
      <c r="E1481" s="5" t="s">
        <v>1372</v>
      </c>
      <c r="F1481" s="5" t="s">
        <v>75</v>
      </c>
      <c r="G1481" s="5" t="s">
        <v>422</v>
      </c>
      <c r="H1481" s="5" t="s">
        <v>263</v>
      </c>
    </row>
    <row r="1482" spans="5:8" x14ac:dyDescent="0.3">
      <c r="E1482" s="5" t="s">
        <v>1372</v>
      </c>
      <c r="F1482" s="5" t="s">
        <v>75</v>
      </c>
      <c r="G1482" s="5" t="s">
        <v>424</v>
      </c>
      <c r="H1482" s="5" t="s">
        <v>1393</v>
      </c>
    </row>
    <row r="1483" spans="5:8" x14ac:dyDescent="0.3">
      <c r="E1483" s="5" t="s">
        <v>1372</v>
      </c>
      <c r="F1483" s="5" t="s">
        <v>75</v>
      </c>
      <c r="G1483" s="5" t="s">
        <v>425</v>
      </c>
      <c r="H1483" s="5" t="s">
        <v>402</v>
      </c>
    </row>
    <row r="1484" spans="5:8" x14ac:dyDescent="0.3">
      <c r="E1484" s="5" t="s">
        <v>1372</v>
      </c>
      <c r="F1484" s="5" t="s">
        <v>75</v>
      </c>
      <c r="G1484" s="5" t="s">
        <v>427</v>
      </c>
      <c r="H1484" s="5" t="s">
        <v>1394</v>
      </c>
    </row>
    <row r="1485" spans="5:8" x14ac:dyDescent="0.3">
      <c r="E1485" s="5" t="s">
        <v>1372</v>
      </c>
      <c r="F1485" s="5" t="s">
        <v>75</v>
      </c>
      <c r="G1485" s="5" t="s">
        <v>429</v>
      </c>
      <c r="H1485" s="5" t="s">
        <v>1395</v>
      </c>
    </row>
    <row r="1486" spans="5:8" x14ac:dyDescent="0.3">
      <c r="E1486" s="5" t="s">
        <v>1372</v>
      </c>
      <c r="F1486" s="5" t="s">
        <v>75</v>
      </c>
      <c r="G1486" s="5" t="s">
        <v>664</v>
      </c>
      <c r="H1486" s="5" t="s">
        <v>1021</v>
      </c>
    </row>
    <row r="1487" spans="5:8" x14ac:dyDescent="0.3">
      <c r="E1487" s="5" t="s">
        <v>1372</v>
      </c>
      <c r="F1487" s="5" t="s">
        <v>75</v>
      </c>
      <c r="G1487" s="5" t="s">
        <v>665</v>
      </c>
      <c r="H1487" s="5" t="s">
        <v>1396</v>
      </c>
    </row>
    <row r="1488" spans="5:8" x14ac:dyDescent="0.3">
      <c r="E1488" s="5" t="s">
        <v>1372</v>
      </c>
      <c r="F1488" s="5" t="s">
        <v>75</v>
      </c>
      <c r="G1488" s="5" t="s">
        <v>666</v>
      </c>
      <c r="H1488" s="5" t="s">
        <v>1397</v>
      </c>
    </row>
    <row r="1489" spans="5:8" x14ac:dyDescent="0.3">
      <c r="E1489" s="5" t="s">
        <v>1372</v>
      </c>
      <c r="F1489" s="5" t="s">
        <v>75</v>
      </c>
      <c r="G1489" s="5" t="s">
        <v>668</v>
      </c>
      <c r="H1489" s="5" t="s">
        <v>265</v>
      </c>
    </row>
    <row r="1490" spans="5:8" x14ac:dyDescent="0.3">
      <c r="E1490" s="5" t="s">
        <v>1372</v>
      </c>
      <c r="F1490" s="5" t="s">
        <v>75</v>
      </c>
      <c r="G1490" s="5" t="s">
        <v>669</v>
      </c>
      <c r="H1490" s="5" t="s">
        <v>1398</v>
      </c>
    </row>
    <row r="1491" spans="5:8" x14ac:dyDescent="0.3">
      <c r="E1491" s="5" t="s">
        <v>1372</v>
      </c>
      <c r="F1491" s="5" t="s">
        <v>75</v>
      </c>
      <c r="G1491" s="5" t="s">
        <v>671</v>
      </c>
      <c r="H1491" s="5" t="s">
        <v>1399</v>
      </c>
    </row>
    <row r="1492" spans="5:8" x14ac:dyDescent="0.3">
      <c r="E1492" s="5" t="s">
        <v>1372</v>
      </c>
      <c r="F1492" s="5" t="s">
        <v>75</v>
      </c>
      <c r="G1492" s="5" t="s">
        <v>673</v>
      </c>
      <c r="H1492" s="5" t="s">
        <v>269</v>
      </c>
    </row>
    <row r="1493" spans="5:8" x14ac:dyDescent="0.3">
      <c r="E1493" s="5" t="s">
        <v>1372</v>
      </c>
      <c r="F1493" s="5" t="s">
        <v>75</v>
      </c>
      <c r="G1493" s="5" t="s">
        <v>674</v>
      </c>
      <c r="H1493" s="5" t="s">
        <v>1400</v>
      </c>
    </row>
    <row r="1494" spans="5:8" x14ac:dyDescent="0.3">
      <c r="E1494" s="5" t="s">
        <v>1372</v>
      </c>
      <c r="F1494" s="5" t="s">
        <v>75</v>
      </c>
      <c r="G1494" s="5" t="s">
        <v>676</v>
      </c>
      <c r="H1494" s="5" t="s">
        <v>406</v>
      </c>
    </row>
    <row r="1495" spans="5:8" x14ac:dyDescent="0.3">
      <c r="E1495" s="5" t="s">
        <v>1372</v>
      </c>
      <c r="F1495" s="5" t="s">
        <v>75</v>
      </c>
      <c r="G1495" s="5" t="s">
        <v>677</v>
      </c>
      <c r="H1495" s="5" t="s">
        <v>409</v>
      </c>
    </row>
    <row r="1496" spans="5:8" x14ac:dyDescent="0.3">
      <c r="E1496" s="5" t="s">
        <v>1372</v>
      </c>
      <c r="F1496" s="5" t="s">
        <v>75</v>
      </c>
      <c r="G1496" s="5" t="s">
        <v>679</v>
      </c>
      <c r="H1496" s="5" t="s">
        <v>596</v>
      </c>
    </row>
    <row r="1497" spans="5:8" x14ac:dyDescent="0.3">
      <c r="E1497" s="5" t="s">
        <v>1372</v>
      </c>
      <c r="F1497" s="5" t="s">
        <v>75</v>
      </c>
      <c r="G1497" s="5" t="s">
        <v>680</v>
      </c>
      <c r="H1497" s="5" t="s">
        <v>1401</v>
      </c>
    </row>
    <row r="1498" spans="5:8" x14ac:dyDescent="0.3">
      <c r="E1498" s="5" t="s">
        <v>1372</v>
      </c>
      <c r="F1498" s="5" t="s">
        <v>75</v>
      </c>
      <c r="G1498" s="5" t="s">
        <v>682</v>
      </c>
      <c r="H1498" s="5" t="s">
        <v>271</v>
      </c>
    </row>
    <row r="1499" spans="5:8" x14ac:dyDescent="0.3">
      <c r="E1499" s="5" t="s">
        <v>1372</v>
      </c>
      <c r="F1499" s="5" t="s">
        <v>75</v>
      </c>
      <c r="G1499" s="5" t="s">
        <v>684</v>
      </c>
      <c r="H1499" s="5" t="s">
        <v>1402</v>
      </c>
    </row>
    <row r="1500" spans="5:8" x14ac:dyDescent="0.3">
      <c r="E1500" s="5" t="s">
        <v>1372</v>
      </c>
      <c r="F1500" s="5" t="s">
        <v>75</v>
      </c>
      <c r="G1500" s="5" t="s">
        <v>685</v>
      </c>
      <c r="H1500" s="5" t="s">
        <v>1403</v>
      </c>
    </row>
    <row r="1501" spans="5:8" x14ac:dyDescent="0.3">
      <c r="E1501" s="5" t="s">
        <v>1372</v>
      </c>
      <c r="F1501" s="5" t="s">
        <v>75</v>
      </c>
      <c r="G1501" s="5" t="s">
        <v>686</v>
      </c>
      <c r="H1501" s="5" t="s">
        <v>919</v>
      </c>
    </row>
    <row r="1502" spans="5:8" x14ac:dyDescent="0.3">
      <c r="E1502" s="5" t="s">
        <v>1372</v>
      </c>
      <c r="F1502" s="5" t="s">
        <v>75</v>
      </c>
      <c r="G1502" s="5" t="s">
        <v>330</v>
      </c>
      <c r="H1502" s="5" t="s">
        <v>411</v>
      </c>
    </row>
    <row r="1503" spans="5:8" x14ac:dyDescent="0.3">
      <c r="E1503" s="5" t="s">
        <v>1372</v>
      </c>
      <c r="F1503" s="5" t="s">
        <v>75</v>
      </c>
      <c r="G1503" s="5" t="s">
        <v>696</v>
      </c>
      <c r="H1503" s="5" t="s">
        <v>881</v>
      </c>
    </row>
    <row r="1504" spans="5:8" x14ac:dyDescent="0.3">
      <c r="E1504" s="5" t="s">
        <v>1372</v>
      </c>
      <c r="F1504" s="5" t="s">
        <v>75</v>
      </c>
      <c r="G1504" s="5" t="s">
        <v>697</v>
      </c>
      <c r="H1504" s="5" t="s">
        <v>1408</v>
      </c>
    </row>
    <row r="1505" spans="5:8" x14ac:dyDescent="0.3">
      <c r="E1505" s="5" t="s">
        <v>1372</v>
      </c>
      <c r="F1505" s="5" t="s">
        <v>75</v>
      </c>
      <c r="G1505" s="5" t="s">
        <v>699</v>
      </c>
      <c r="H1505" s="5" t="s">
        <v>412</v>
      </c>
    </row>
    <row r="1506" spans="5:8" x14ac:dyDescent="0.3">
      <c r="E1506" s="5" t="s">
        <v>1372</v>
      </c>
      <c r="F1506" s="5" t="s">
        <v>75</v>
      </c>
      <c r="G1506" s="5" t="s">
        <v>891</v>
      </c>
      <c r="H1506" s="5" t="s">
        <v>1409</v>
      </c>
    </row>
    <row r="1507" spans="5:8" x14ac:dyDescent="0.3">
      <c r="E1507" s="5" t="s">
        <v>1372</v>
      </c>
      <c r="F1507" s="5" t="s">
        <v>75</v>
      </c>
      <c r="G1507" s="5" t="s">
        <v>700</v>
      </c>
      <c r="H1507" s="5" t="s">
        <v>277</v>
      </c>
    </row>
    <row r="1508" spans="5:8" x14ac:dyDescent="0.3">
      <c r="E1508" s="5" t="s">
        <v>1372</v>
      </c>
      <c r="F1508" s="5" t="s">
        <v>75</v>
      </c>
      <c r="G1508" s="5" t="s">
        <v>687</v>
      </c>
      <c r="H1508" s="5" t="s">
        <v>1404</v>
      </c>
    </row>
    <row r="1509" spans="5:8" x14ac:dyDescent="0.3">
      <c r="E1509" s="5" t="s">
        <v>1372</v>
      </c>
      <c r="F1509" s="5" t="s">
        <v>75</v>
      </c>
      <c r="G1509" s="5" t="s">
        <v>326</v>
      </c>
      <c r="H1509" s="5" t="s">
        <v>275</v>
      </c>
    </row>
    <row r="1510" spans="5:8" x14ac:dyDescent="0.3">
      <c r="E1510" s="5" t="s">
        <v>1372</v>
      </c>
      <c r="F1510" s="5" t="s">
        <v>75</v>
      </c>
      <c r="G1510" s="5" t="s">
        <v>689</v>
      </c>
      <c r="H1510" s="5" t="s">
        <v>1407</v>
      </c>
    </row>
    <row r="1511" spans="5:8" x14ac:dyDescent="0.3">
      <c r="E1511" s="5" t="s">
        <v>1372</v>
      </c>
      <c r="F1511" s="5" t="s">
        <v>75</v>
      </c>
      <c r="G1511" s="5" t="s">
        <v>1198</v>
      </c>
      <c r="H1511" s="5" t="s">
        <v>1414</v>
      </c>
    </row>
    <row r="1512" spans="5:8" x14ac:dyDescent="0.3">
      <c r="E1512" s="5" t="s">
        <v>1372</v>
      </c>
      <c r="F1512" s="5" t="s">
        <v>75</v>
      </c>
      <c r="G1512" s="5" t="s">
        <v>691</v>
      </c>
      <c r="H1512" s="5" t="s">
        <v>1321</v>
      </c>
    </row>
    <row r="1513" spans="5:8" x14ac:dyDescent="0.3">
      <c r="E1513" s="5" t="s">
        <v>1372</v>
      </c>
      <c r="F1513" s="5" t="s">
        <v>75</v>
      </c>
      <c r="G1513" s="5" t="s">
        <v>1405</v>
      </c>
      <c r="H1513" s="5" t="s">
        <v>1406</v>
      </c>
    </row>
    <row r="1514" spans="5:8" x14ac:dyDescent="0.3">
      <c r="E1514" s="5" t="s">
        <v>1372</v>
      </c>
      <c r="F1514" s="5" t="s">
        <v>75</v>
      </c>
      <c r="G1514" s="5" t="s">
        <v>702</v>
      </c>
      <c r="H1514" s="5" t="s">
        <v>1410</v>
      </c>
    </row>
    <row r="1515" spans="5:8" x14ac:dyDescent="0.3">
      <c r="E1515" s="5" t="s">
        <v>1372</v>
      </c>
      <c r="F1515" s="5" t="s">
        <v>75</v>
      </c>
      <c r="G1515" s="5" t="s">
        <v>703</v>
      </c>
      <c r="H1515" s="5" t="s">
        <v>419</v>
      </c>
    </row>
    <row r="1516" spans="5:8" x14ac:dyDescent="0.3">
      <c r="E1516" s="5" t="s">
        <v>1372</v>
      </c>
      <c r="F1516" s="5" t="s">
        <v>75</v>
      </c>
      <c r="G1516" s="5" t="s">
        <v>704</v>
      </c>
      <c r="H1516" s="5" t="s">
        <v>925</v>
      </c>
    </row>
    <row r="1517" spans="5:8" x14ac:dyDescent="0.3">
      <c r="E1517" s="5" t="s">
        <v>1372</v>
      </c>
      <c r="F1517" s="5" t="s">
        <v>75</v>
      </c>
      <c r="G1517" s="5" t="s">
        <v>705</v>
      </c>
      <c r="H1517" s="5" t="s">
        <v>1411</v>
      </c>
    </row>
    <row r="1518" spans="5:8" x14ac:dyDescent="0.3">
      <c r="E1518" s="5" t="s">
        <v>1372</v>
      </c>
      <c r="F1518" s="5" t="s">
        <v>75</v>
      </c>
      <c r="G1518" s="5" t="s">
        <v>707</v>
      </c>
      <c r="H1518" s="5" t="s">
        <v>1412</v>
      </c>
    </row>
    <row r="1519" spans="5:8" x14ac:dyDescent="0.3">
      <c r="E1519" s="5" t="s">
        <v>1372</v>
      </c>
      <c r="F1519" s="5" t="s">
        <v>75</v>
      </c>
      <c r="G1519" s="5" t="s">
        <v>709</v>
      </c>
      <c r="H1519" s="5" t="s">
        <v>1413</v>
      </c>
    </row>
    <row r="1520" spans="5:8" x14ac:dyDescent="0.3">
      <c r="E1520" s="5" t="s">
        <v>1372</v>
      </c>
      <c r="F1520" s="5" t="s">
        <v>75</v>
      </c>
      <c r="G1520" s="5" t="s">
        <v>710</v>
      </c>
      <c r="H1520" s="5" t="s">
        <v>779</v>
      </c>
    </row>
    <row r="1521" spans="5:8" x14ac:dyDescent="0.3">
      <c r="E1521" s="5" t="s">
        <v>1372</v>
      </c>
      <c r="F1521" s="5" t="s">
        <v>75</v>
      </c>
      <c r="G1521" s="5" t="s">
        <v>712</v>
      </c>
      <c r="H1521" s="5" t="s">
        <v>289</v>
      </c>
    </row>
    <row r="1522" spans="5:8" x14ac:dyDescent="0.3">
      <c r="E1522" s="5" t="s">
        <v>1372</v>
      </c>
      <c r="F1522" s="5" t="s">
        <v>75</v>
      </c>
      <c r="G1522" s="5" t="s">
        <v>714</v>
      </c>
      <c r="H1522" s="5" t="s">
        <v>782</v>
      </c>
    </row>
    <row r="1523" spans="5:8" x14ac:dyDescent="0.3">
      <c r="E1523" s="5" t="s">
        <v>1372</v>
      </c>
      <c r="F1523" s="5" t="s">
        <v>75</v>
      </c>
      <c r="G1523" s="5" t="s">
        <v>716</v>
      </c>
      <c r="H1523" s="5" t="s">
        <v>784</v>
      </c>
    </row>
    <row r="1524" spans="5:8" x14ac:dyDescent="0.3">
      <c r="E1524" s="5" t="s">
        <v>1372</v>
      </c>
      <c r="F1524" s="5" t="s">
        <v>75</v>
      </c>
      <c r="G1524" s="5" t="s">
        <v>718</v>
      </c>
      <c r="H1524" s="5" t="s">
        <v>796</v>
      </c>
    </row>
    <row r="1525" spans="5:8" x14ac:dyDescent="0.3">
      <c r="E1525" s="5" t="s">
        <v>1372</v>
      </c>
      <c r="F1525" s="5" t="s">
        <v>75</v>
      </c>
      <c r="G1525" s="5" t="s">
        <v>719</v>
      </c>
      <c r="H1525" s="5" t="s">
        <v>980</v>
      </c>
    </row>
    <row r="1526" spans="5:8" x14ac:dyDescent="0.3">
      <c r="E1526" s="5" t="s">
        <v>146</v>
      </c>
      <c r="F1526" s="5" t="s">
        <v>147</v>
      </c>
      <c r="G1526" s="5" t="s">
        <v>244</v>
      </c>
      <c r="H1526" s="5" t="s">
        <v>2411</v>
      </c>
    </row>
    <row r="1527" spans="5:8" x14ac:dyDescent="0.3">
      <c r="E1527" s="5" t="s">
        <v>146</v>
      </c>
      <c r="F1527" s="5" t="s">
        <v>147</v>
      </c>
      <c r="G1527" s="5" t="s">
        <v>309</v>
      </c>
      <c r="H1527" s="5" t="s">
        <v>2412</v>
      </c>
    </row>
    <row r="1528" spans="5:8" x14ac:dyDescent="0.3">
      <c r="E1528" s="5" t="s">
        <v>146</v>
      </c>
      <c r="F1528" s="5" t="s">
        <v>147</v>
      </c>
      <c r="G1528" s="5" t="s">
        <v>312</v>
      </c>
      <c r="H1528" s="5" t="s">
        <v>2413</v>
      </c>
    </row>
    <row r="1529" spans="5:8" x14ac:dyDescent="0.3">
      <c r="E1529" s="5" t="s">
        <v>146</v>
      </c>
      <c r="F1529" s="5" t="s">
        <v>147</v>
      </c>
      <c r="G1529" s="5" t="s">
        <v>2414</v>
      </c>
      <c r="H1529" s="5" t="s">
        <v>2415</v>
      </c>
    </row>
    <row r="1530" spans="5:8" x14ac:dyDescent="0.3">
      <c r="E1530" s="5" t="s">
        <v>1335</v>
      </c>
      <c r="F1530" s="5" t="s">
        <v>73</v>
      </c>
      <c r="G1530" s="5" t="s">
        <v>160</v>
      </c>
      <c r="H1530" s="5" t="s">
        <v>487</v>
      </c>
    </row>
    <row r="1531" spans="5:8" x14ac:dyDescent="0.3">
      <c r="E1531" s="5" t="s">
        <v>1335</v>
      </c>
      <c r="F1531" s="5" t="s">
        <v>73</v>
      </c>
      <c r="G1531" s="5" t="s">
        <v>162</v>
      </c>
      <c r="H1531" s="5" t="s">
        <v>1336</v>
      </c>
    </row>
    <row r="1532" spans="5:8" x14ac:dyDescent="0.3">
      <c r="E1532" s="5" t="s">
        <v>1335</v>
      </c>
      <c r="F1532" s="5" t="s">
        <v>73</v>
      </c>
      <c r="G1532" s="5" t="s">
        <v>164</v>
      </c>
      <c r="H1532" s="5" t="s">
        <v>1337</v>
      </c>
    </row>
    <row r="1533" spans="5:8" x14ac:dyDescent="0.3">
      <c r="E1533" s="5" t="s">
        <v>1335</v>
      </c>
      <c r="F1533" s="5" t="s">
        <v>73</v>
      </c>
      <c r="G1533" s="5" t="s">
        <v>166</v>
      </c>
      <c r="H1533" s="5" t="s">
        <v>1338</v>
      </c>
    </row>
    <row r="1534" spans="5:8" x14ac:dyDescent="0.3">
      <c r="E1534" s="5" t="s">
        <v>1335</v>
      </c>
      <c r="F1534" s="5" t="s">
        <v>73</v>
      </c>
      <c r="G1534" s="5" t="s">
        <v>168</v>
      </c>
      <c r="H1534" s="5" t="s">
        <v>369</v>
      </c>
    </row>
    <row r="1535" spans="5:8" x14ac:dyDescent="0.3">
      <c r="E1535" s="5" t="s">
        <v>1335</v>
      </c>
      <c r="F1535" s="5" t="s">
        <v>73</v>
      </c>
      <c r="G1535" s="5" t="s">
        <v>170</v>
      </c>
      <c r="H1535" s="5" t="s">
        <v>1339</v>
      </c>
    </row>
    <row r="1536" spans="5:8" x14ac:dyDescent="0.3">
      <c r="E1536" s="5" t="s">
        <v>1335</v>
      </c>
      <c r="F1536" s="5" t="s">
        <v>73</v>
      </c>
      <c r="G1536" s="5" t="s">
        <v>172</v>
      </c>
      <c r="H1536" s="5" t="s">
        <v>175</v>
      </c>
    </row>
    <row r="1537" spans="5:8" x14ac:dyDescent="0.3">
      <c r="E1537" s="5" t="s">
        <v>1335</v>
      </c>
      <c r="F1537" s="5" t="s">
        <v>73</v>
      </c>
      <c r="G1537" s="5" t="s">
        <v>174</v>
      </c>
      <c r="H1537" s="5" t="s">
        <v>372</v>
      </c>
    </row>
    <row r="1538" spans="5:8" x14ac:dyDescent="0.3">
      <c r="E1538" s="5" t="s">
        <v>1335</v>
      </c>
      <c r="F1538" s="5" t="s">
        <v>73</v>
      </c>
      <c r="G1538" s="5" t="s">
        <v>176</v>
      </c>
      <c r="H1538" s="5" t="s">
        <v>946</v>
      </c>
    </row>
    <row r="1539" spans="5:8" x14ac:dyDescent="0.3">
      <c r="E1539" s="5" t="s">
        <v>1335</v>
      </c>
      <c r="F1539" s="5" t="s">
        <v>73</v>
      </c>
      <c r="G1539" s="5" t="s">
        <v>178</v>
      </c>
      <c r="H1539" s="5" t="s">
        <v>183</v>
      </c>
    </row>
    <row r="1540" spans="5:8" x14ac:dyDescent="0.3">
      <c r="E1540" s="5" t="s">
        <v>1335</v>
      </c>
      <c r="F1540" s="5" t="s">
        <v>73</v>
      </c>
      <c r="G1540" s="5" t="s">
        <v>180</v>
      </c>
      <c r="H1540" s="5" t="s">
        <v>1340</v>
      </c>
    </row>
    <row r="1541" spans="5:8" x14ac:dyDescent="0.3">
      <c r="E1541" s="5" t="s">
        <v>1335</v>
      </c>
      <c r="F1541" s="5" t="s">
        <v>73</v>
      </c>
      <c r="G1541" s="5" t="s">
        <v>182</v>
      </c>
      <c r="H1541" s="5" t="s">
        <v>185</v>
      </c>
    </row>
    <row r="1542" spans="5:8" x14ac:dyDescent="0.3">
      <c r="E1542" s="5" t="s">
        <v>1335</v>
      </c>
      <c r="F1542" s="5" t="s">
        <v>73</v>
      </c>
      <c r="G1542" s="5" t="s">
        <v>184</v>
      </c>
      <c r="H1542" s="5" t="s">
        <v>187</v>
      </c>
    </row>
    <row r="1543" spans="5:8" x14ac:dyDescent="0.3">
      <c r="E1543" s="5" t="s">
        <v>1335</v>
      </c>
      <c r="F1543" s="5" t="s">
        <v>73</v>
      </c>
      <c r="G1543" s="5" t="s">
        <v>186</v>
      </c>
      <c r="H1543" s="5" t="s">
        <v>1341</v>
      </c>
    </row>
    <row r="1544" spans="5:8" x14ac:dyDescent="0.3">
      <c r="E1544" s="5" t="s">
        <v>1335</v>
      </c>
      <c r="F1544" s="5" t="s">
        <v>73</v>
      </c>
      <c r="G1544" s="5" t="s">
        <v>188</v>
      </c>
      <c r="H1544" s="5" t="s">
        <v>1342</v>
      </c>
    </row>
    <row r="1545" spans="5:8" x14ac:dyDescent="0.3">
      <c r="E1545" s="5" t="s">
        <v>1335</v>
      </c>
      <c r="F1545" s="5" t="s">
        <v>73</v>
      </c>
      <c r="G1545" s="5" t="s">
        <v>190</v>
      </c>
      <c r="H1545" s="5" t="s">
        <v>199</v>
      </c>
    </row>
    <row r="1546" spans="5:8" x14ac:dyDescent="0.3">
      <c r="E1546" s="5" t="s">
        <v>1335</v>
      </c>
      <c r="F1546" s="5" t="s">
        <v>73</v>
      </c>
      <c r="G1546" s="5" t="s">
        <v>192</v>
      </c>
      <c r="H1546" s="5" t="s">
        <v>566</v>
      </c>
    </row>
    <row r="1547" spans="5:8" x14ac:dyDescent="0.3">
      <c r="E1547" s="5" t="s">
        <v>1335</v>
      </c>
      <c r="F1547" s="5" t="s">
        <v>73</v>
      </c>
      <c r="G1547" s="5" t="s">
        <v>194</v>
      </c>
      <c r="H1547" s="5" t="s">
        <v>1343</v>
      </c>
    </row>
    <row r="1548" spans="5:8" x14ac:dyDescent="0.3">
      <c r="E1548" s="5" t="s">
        <v>1335</v>
      </c>
      <c r="F1548" s="5" t="s">
        <v>73</v>
      </c>
      <c r="G1548" s="5" t="s">
        <v>196</v>
      </c>
      <c r="H1548" s="5" t="s">
        <v>219</v>
      </c>
    </row>
    <row r="1549" spans="5:8" x14ac:dyDescent="0.3">
      <c r="E1549" s="5" t="s">
        <v>1335</v>
      </c>
      <c r="F1549" s="5" t="s">
        <v>73</v>
      </c>
      <c r="G1549" s="5" t="s">
        <v>198</v>
      </c>
      <c r="H1549" s="5" t="s">
        <v>1344</v>
      </c>
    </row>
    <row r="1550" spans="5:8" x14ac:dyDescent="0.3">
      <c r="E1550" s="5" t="s">
        <v>1335</v>
      </c>
      <c r="F1550" s="5" t="s">
        <v>73</v>
      </c>
      <c r="G1550" s="5" t="s">
        <v>200</v>
      </c>
      <c r="H1550" s="5" t="s">
        <v>223</v>
      </c>
    </row>
    <row r="1551" spans="5:8" x14ac:dyDescent="0.3">
      <c r="E1551" s="5" t="s">
        <v>1335</v>
      </c>
      <c r="F1551" s="5" t="s">
        <v>73</v>
      </c>
      <c r="G1551" s="5" t="s">
        <v>202</v>
      </c>
      <c r="H1551" s="5" t="s">
        <v>1345</v>
      </c>
    </row>
    <row r="1552" spans="5:8" x14ac:dyDescent="0.3">
      <c r="E1552" s="5" t="s">
        <v>1335</v>
      </c>
      <c r="F1552" s="5" t="s">
        <v>73</v>
      </c>
      <c r="G1552" s="5" t="s">
        <v>204</v>
      </c>
      <c r="H1552" s="5" t="s">
        <v>659</v>
      </c>
    </row>
    <row r="1553" spans="5:8" x14ac:dyDescent="0.3">
      <c r="E1553" s="5" t="s">
        <v>1335</v>
      </c>
      <c r="F1553" s="5" t="s">
        <v>73</v>
      </c>
      <c r="G1553" s="5" t="s">
        <v>206</v>
      </c>
      <c r="H1553" s="5" t="s">
        <v>904</v>
      </c>
    </row>
    <row r="1554" spans="5:8" x14ac:dyDescent="0.3">
      <c r="E1554" s="5" t="s">
        <v>1335</v>
      </c>
      <c r="F1554" s="5" t="s">
        <v>73</v>
      </c>
      <c r="G1554" s="5" t="s">
        <v>208</v>
      </c>
      <c r="H1554" s="5" t="s">
        <v>1346</v>
      </c>
    </row>
    <row r="1555" spans="5:8" x14ac:dyDescent="0.3">
      <c r="E1555" s="5" t="s">
        <v>1335</v>
      </c>
      <c r="F1555" s="5" t="s">
        <v>73</v>
      </c>
      <c r="G1555" s="5" t="s">
        <v>210</v>
      </c>
      <c r="H1555" s="5" t="s">
        <v>580</v>
      </c>
    </row>
    <row r="1556" spans="5:8" x14ac:dyDescent="0.3">
      <c r="E1556" s="5" t="s">
        <v>1335</v>
      </c>
      <c r="F1556" s="5" t="s">
        <v>73</v>
      </c>
      <c r="G1556" s="5" t="s">
        <v>212</v>
      </c>
      <c r="H1556" s="5" t="s">
        <v>1347</v>
      </c>
    </row>
    <row r="1557" spans="5:8" x14ac:dyDescent="0.3">
      <c r="E1557" s="5" t="s">
        <v>1335</v>
      </c>
      <c r="F1557" s="5" t="s">
        <v>73</v>
      </c>
      <c r="G1557" s="5" t="s">
        <v>214</v>
      </c>
      <c r="H1557" s="5" t="s">
        <v>1348</v>
      </c>
    </row>
    <row r="1558" spans="5:8" x14ac:dyDescent="0.3">
      <c r="E1558" s="5" t="s">
        <v>1335</v>
      </c>
      <c r="F1558" s="5" t="s">
        <v>73</v>
      </c>
      <c r="G1558" s="5" t="s">
        <v>216</v>
      </c>
      <c r="H1558" s="5" t="s">
        <v>1349</v>
      </c>
    </row>
    <row r="1559" spans="5:8" x14ac:dyDescent="0.3">
      <c r="E1559" s="5" t="s">
        <v>1335</v>
      </c>
      <c r="F1559" s="5" t="s">
        <v>73</v>
      </c>
      <c r="G1559" s="5" t="s">
        <v>218</v>
      </c>
      <c r="H1559" s="5" t="s">
        <v>231</v>
      </c>
    </row>
    <row r="1560" spans="5:8" x14ac:dyDescent="0.3">
      <c r="E1560" s="5" t="s">
        <v>1335</v>
      </c>
      <c r="F1560" s="5" t="s">
        <v>73</v>
      </c>
      <c r="G1560" s="5" t="s">
        <v>220</v>
      </c>
      <c r="H1560" s="5" t="s">
        <v>670</v>
      </c>
    </row>
    <row r="1561" spans="5:8" x14ac:dyDescent="0.3">
      <c r="E1561" s="5" t="s">
        <v>1335</v>
      </c>
      <c r="F1561" s="5" t="s">
        <v>73</v>
      </c>
      <c r="G1561" s="5" t="s">
        <v>222</v>
      </c>
      <c r="H1561" s="5" t="s">
        <v>233</v>
      </c>
    </row>
    <row r="1562" spans="5:8" x14ac:dyDescent="0.3">
      <c r="E1562" s="5" t="s">
        <v>1335</v>
      </c>
      <c r="F1562" s="5" t="s">
        <v>73</v>
      </c>
      <c r="G1562" s="5" t="s">
        <v>224</v>
      </c>
      <c r="H1562" s="5" t="s">
        <v>1350</v>
      </c>
    </row>
    <row r="1563" spans="5:8" x14ac:dyDescent="0.3">
      <c r="E1563" s="5" t="s">
        <v>1335</v>
      </c>
      <c r="F1563" s="5" t="s">
        <v>73</v>
      </c>
      <c r="G1563" s="5" t="s">
        <v>226</v>
      </c>
      <c r="H1563" s="5" t="s">
        <v>678</v>
      </c>
    </row>
    <row r="1564" spans="5:8" x14ac:dyDescent="0.3">
      <c r="E1564" s="5" t="s">
        <v>1335</v>
      </c>
      <c r="F1564" s="5" t="s">
        <v>73</v>
      </c>
      <c r="G1564" s="5" t="s">
        <v>228</v>
      </c>
      <c r="H1564" s="5" t="s">
        <v>1351</v>
      </c>
    </row>
    <row r="1565" spans="5:8" x14ac:dyDescent="0.3">
      <c r="E1565" s="5" t="s">
        <v>1335</v>
      </c>
      <c r="F1565" s="5" t="s">
        <v>73</v>
      </c>
      <c r="G1565" s="5" t="s">
        <v>230</v>
      </c>
      <c r="H1565" s="5" t="s">
        <v>394</v>
      </c>
    </row>
    <row r="1566" spans="5:8" x14ac:dyDescent="0.3">
      <c r="E1566" s="5" t="s">
        <v>1335</v>
      </c>
      <c r="F1566" s="5" t="s">
        <v>73</v>
      </c>
      <c r="G1566" s="5" t="s">
        <v>232</v>
      </c>
      <c r="H1566" s="5" t="s">
        <v>235</v>
      </c>
    </row>
    <row r="1567" spans="5:8" x14ac:dyDescent="0.3">
      <c r="E1567" s="5" t="s">
        <v>1335</v>
      </c>
      <c r="F1567" s="5" t="s">
        <v>73</v>
      </c>
      <c r="G1567" s="5" t="s">
        <v>234</v>
      </c>
      <c r="H1567" s="5" t="s">
        <v>237</v>
      </c>
    </row>
    <row r="1568" spans="5:8" x14ac:dyDescent="0.3">
      <c r="E1568" s="5" t="s">
        <v>1335</v>
      </c>
      <c r="F1568" s="5" t="s">
        <v>73</v>
      </c>
      <c r="G1568" s="5" t="s">
        <v>236</v>
      </c>
      <c r="H1568" s="5" t="s">
        <v>239</v>
      </c>
    </row>
    <row r="1569" spans="5:8" x14ac:dyDescent="0.3">
      <c r="E1569" s="5" t="s">
        <v>1335</v>
      </c>
      <c r="F1569" s="5" t="s">
        <v>73</v>
      </c>
      <c r="G1569" s="5" t="s">
        <v>238</v>
      </c>
      <c r="H1569" s="5" t="s">
        <v>1352</v>
      </c>
    </row>
    <row r="1570" spans="5:8" x14ac:dyDescent="0.3">
      <c r="E1570" s="5" t="s">
        <v>1335</v>
      </c>
      <c r="F1570" s="5" t="s">
        <v>73</v>
      </c>
      <c r="G1570" s="5" t="s">
        <v>240</v>
      </c>
      <c r="H1570" s="5" t="s">
        <v>241</v>
      </c>
    </row>
    <row r="1571" spans="5:8" x14ac:dyDescent="0.3">
      <c r="E1571" s="5" t="s">
        <v>1335</v>
      </c>
      <c r="F1571" s="5" t="s">
        <v>73</v>
      </c>
      <c r="G1571" s="5" t="s">
        <v>242</v>
      </c>
      <c r="H1571" s="5" t="s">
        <v>1353</v>
      </c>
    </row>
    <row r="1572" spans="5:8" x14ac:dyDescent="0.3">
      <c r="E1572" s="5" t="s">
        <v>1335</v>
      </c>
      <c r="F1572" s="5" t="s">
        <v>73</v>
      </c>
      <c r="G1572" s="5" t="s">
        <v>244</v>
      </c>
      <c r="H1572" s="5" t="s">
        <v>395</v>
      </c>
    </row>
    <row r="1573" spans="5:8" x14ac:dyDescent="0.3">
      <c r="E1573" s="5" t="s">
        <v>1335</v>
      </c>
      <c r="F1573" s="5" t="s">
        <v>73</v>
      </c>
      <c r="G1573" s="5" t="s">
        <v>246</v>
      </c>
      <c r="H1573" s="5" t="s">
        <v>245</v>
      </c>
    </row>
    <row r="1574" spans="5:8" x14ac:dyDescent="0.3">
      <c r="E1574" s="5" t="s">
        <v>1335</v>
      </c>
      <c r="F1574" s="5" t="s">
        <v>73</v>
      </c>
      <c r="G1574" s="5" t="s">
        <v>248</v>
      </c>
      <c r="H1574" s="5" t="s">
        <v>249</v>
      </c>
    </row>
    <row r="1575" spans="5:8" x14ac:dyDescent="0.3">
      <c r="E1575" s="5" t="s">
        <v>1335</v>
      </c>
      <c r="F1575" s="5" t="s">
        <v>73</v>
      </c>
      <c r="G1575" s="5" t="s">
        <v>250</v>
      </c>
      <c r="H1575" s="5" t="s">
        <v>253</v>
      </c>
    </row>
    <row r="1576" spans="5:8" x14ac:dyDescent="0.3">
      <c r="E1576" s="5" t="s">
        <v>1335</v>
      </c>
      <c r="F1576" s="5" t="s">
        <v>73</v>
      </c>
      <c r="G1576" s="5" t="s">
        <v>252</v>
      </c>
      <c r="H1576" s="5" t="s">
        <v>255</v>
      </c>
    </row>
    <row r="1577" spans="5:8" x14ac:dyDescent="0.3">
      <c r="E1577" s="5" t="s">
        <v>1335</v>
      </c>
      <c r="F1577" s="5" t="s">
        <v>73</v>
      </c>
      <c r="G1577" s="5" t="s">
        <v>254</v>
      </c>
      <c r="H1577" s="5" t="s">
        <v>259</v>
      </c>
    </row>
    <row r="1578" spans="5:8" x14ac:dyDescent="0.3">
      <c r="E1578" s="5" t="s">
        <v>1335</v>
      </c>
      <c r="F1578" s="5" t="s">
        <v>73</v>
      </c>
      <c r="G1578" s="5" t="s">
        <v>256</v>
      </c>
      <c r="H1578" s="5" t="s">
        <v>261</v>
      </c>
    </row>
    <row r="1579" spans="5:8" x14ac:dyDescent="0.3">
      <c r="E1579" s="5" t="s">
        <v>1335</v>
      </c>
      <c r="F1579" s="5" t="s">
        <v>73</v>
      </c>
      <c r="G1579" s="5" t="s">
        <v>258</v>
      </c>
      <c r="H1579" s="5" t="s">
        <v>1354</v>
      </c>
    </row>
    <row r="1580" spans="5:8" x14ac:dyDescent="0.3">
      <c r="E1580" s="5" t="s">
        <v>1335</v>
      </c>
      <c r="F1580" s="5" t="s">
        <v>73</v>
      </c>
      <c r="G1580" s="5" t="s">
        <v>260</v>
      </c>
      <c r="H1580" s="5" t="s">
        <v>402</v>
      </c>
    </row>
    <row r="1581" spans="5:8" x14ac:dyDescent="0.3">
      <c r="E1581" s="5" t="s">
        <v>1335</v>
      </c>
      <c r="F1581" s="5" t="s">
        <v>73</v>
      </c>
      <c r="G1581" s="5" t="s">
        <v>262</v>
      </c>
      <c r="H1581" s="5" t="s">
        <v>1355</v>
      </c>
    </row>
    <row r="1582" spans="5:8" x14ac:dyDescent="0.3">
      <c r="E1582" s="5" t="s">
        <v>1335</v>
      </c>
      <c r="F1582" s="5" t="s">
        <v>73</v>
      </c>
      <c r="G1582" s="5" t="s">
        <v>264</v>
      </c>
      <c r="H1582" s="5" t="s">
        <v>1356</v>
      </c>
    </row>
    <row r="1583" spans="5:8" x14ac:dyDescent="0.3">
      <c r="E1583" s="5" t="s">
        <v>1335</v>
      </c>
      <c r="F1583" s="5" t="s">
        <v>73</v>
      </c>
      <c r="G1583" s="5" t="s">
        <v>266</v>
      </c>
      <c r="H1583" s="5" t="s">
        <v>1357</v>
      </c>
    </row>
    <row r="1584" spans="5:8" x14ac:dyDescent="0.3">
      <c r="E1584" s="5" t="s">
        <v>1335</v>
      </c>
      <c r="F1584" s="5" t="s">
        <v>73</v>
      </c>
      <c r="G1584" s="5" t="s">
        <v>268</v>
      </c>
      <c r="H1584" s="5" t="s">
        <v>1358</v>
      </c>
    </row>
    <row r="1585" spans="5:8" x14ac:dyDescent="0.3">
      <c r="E1585" s="5" t="s">
        <v>1335</v>
      </c>
      <c r="F1585" s="5" t="s">
        <v>73</v>
      </c>
      <c r="G1585" s="5" t="s">
        <v>270</v>
      </c>
      <c r="H1585" s="5" t="s">
        <v>265</v>
      </c>
    </row>
    <row r="1586" spans="5:8" x14ac:dyDescent="0.3">
      <c r="E1586" s="5" t="s">
        <v>1335</v>
      </c>
      <c r="F1586" s="5" t="s">
        <v>73</v>
      </c>
      <c r="G1586" s="5" t="s">
        <v>272</v>
      </c>
      <c r="H1586" s="5" t="s">
        <v>269</v>
      </c>
    </row>
    <row r="1587" spans="5:8" x14ac:dyDescent="0.3">
      <c r="E1587" s="5" t="s">
        <v>1335</v>
      </c>
      <c r="F1587" s="5" t="s">
        <v>73</v>
      </c>
      <c r="G1587" s="5" t="s">
        <v>274</v>
      </c>
      <c r="H1587" s="5" t="s">
        <v>1359</v>
      </c>
    </row>
    <row r="1588" spans="5:8" x14ac:dyDescent="0.3">
      <c r="E1588" s="5" t="s">
        <v>1335</v>
      </c>
      <c r="F1588" s="5" t="s">
        <v>73</v>
      </c>
      <c r="G1588" s="5" t="s">
        <v>276</v>
      </c>
      <c r="H1588" s="5" t="s">
        <v>1360</v>
      </c>
    </row>
    <row r="1589" spans="5:8" x14ac:dyDescent="0.3">
      <c r="E1589" s="5" t="s">
        <v>1335</v>
      </c>
      <c r="F1589" s="5" t="s">
        <v>73</v>
      </c>
      <c r="G1589" s="5" t="s">
        <v>278</v>
      </c>
      <c r="H1589" s="5" t="s">
        <v>726</v>
      </c>
    </row>
    <row r="1590" spans="5:8" x14ac:dyDescent="0.3">
      <c r="E1590" s="5" t="s">
        <v>1335</v>
      </c>
      <c r="F1590" s="5" t="s">
        <v>73</v>
      </c>
      <c r="G1590" s="5" t="s">
        <v>280</v>
      </c>
      <c r="H1590" s="5" t="s">
        <v>1361</v>
      </c>
    </row>
    <row r="1591" spans="5:8" x14ac:dyDescent="0.3">
      <c r="E1591" s="5" t="s">
        <v>1335</v>
      </c>
      <c r="F1591" s="5" t="s">
        <v>73</v>
      </c>
      <c r="G1591" s="5" t="s">
        <v>282</v>
      </c>
      <c r="H1591" s="5" t="s">
        <v>412</v>
      </c>
    </row>
    <row r="1592" spans="5:8" x14ac:dyDescent="0.3">
      <c r="E1592" s="5" t="s">
        <v>1335</v>
      </c>
      <c r="F1592" s="5" t="s">
        <v>73</v>
      </c>
      <c r="G1592" s="5" t="s">
        <v>284</v>
      </c>
      <c r="H1592" s="5" t="s">
        <v>1362</v>
      </c>
    </row>
    <row r="1593" spans="5:8" x14ac:dyDescent="0.3">
      <c r="E1593" s="5" t="s">
        <v>1335</v>
      </c>
      <c r="F1593" s="5" t="s">
        <v>73</v>
      </c>
      <c r="G1593" s="5" t="s">
        <v>286</v>
      </c>
      <c r="H1593" s="5" t="s">
        <v>1100</v>
      </c>
    </row>
    <row r="1594" spans="5:8" x14ac:dyDescent="0.3">
      <c r="E1594" s="5" t="s">
        <v>1335</v>
      </c>
      <c r="F1594" s="5" t="s">
        <v>73</v>
      </c>
      <c r="G1594" s="5" t="s">
        <v>288</v>
      </c>
      <c r="H1594" s="5" t="s">
        <v>1037</v>
      </c>
    </row>
    <row r="1595" spans="5:8" x14ac:dyDescent="0.3">
      <c r="E1595" s="5" t="s">
        <v>1335</v>
      </c>
      <c r="F1595" s="5" t="s">
        <v>73</v>
      </c>
      <c r="G1595" s="5" t="s">
        <v>290</v>
      </c>
      <c r="H1595" s="5" t="s">
        <v>419</v>
      </c>
    </row>
    <row r="1596" spans="5:8" x14ac:dyDescent="0.3">
      <c r="E1596" s="5" t="s">
        <v>1335</v>
      </c>
      <c r="F1596" s="5" t="s">
        <v>73</v>
      </c>
      <c r="G1596" s="5" t="s">
        <v>292</v>
      </c>
      <c r="H1596" s="5" t="s">
        <v>1363</v>
      </c>
    </row>
    <row r="1597" spans="5:8" x14ac:dyDescent="0.3">
      <c r="E1597" s="5" t="s">
        <v>1335</v>
      </c>
      <c r="F1597" s="5" t="s">
        <v>73</v>
      </c>
      <c r="G1597" s="5" t="s">
        <v>416</v>
      </c>
      <c r="H1597" s="5" t="s">
        <v>1364</v>
      </c>
    </row>
    <row r="1598" spans="5:8" x14ac:dyDescent="0.3">
      <c r="E1598" s="5" t="s">
        <v>1335</v>
      </c>
      <c r="F1598" s="5" t="s">
        <v>73</v>
      </c>
      <c r="G1598" s="5" t="s">
        <v>418</v>
      </c>
      <c r="H1598" s="5" t="s">
        <v>1365</v>
      </c>
    </row>
    <row r="1599" spans="5:8" x14ac:dyDescent="0.3">
      <c r="E1599" s="5" t="s">
        <v>1335</v>
      </c>
      <c r="F1599" s="5" t="s">
        <v>73</v>
      </c>
      <c r="G1599" s="5" t="s">
        <v>420</v>
      </c>
      <c r="H1599" s="5" t="s">
        <v>1366</v>
      </c>
    </row>
    <row r="1600" spans="5:8" x14ac:dyDescent="0.3">
      <c r="E1600" s="5" t="s">
        <v>1335</v>
      </c>
      <c r="F1600" s="5" t="s">
        <v>73</v>
      </c>
      <c r="G1600" s="5" t="s">
        <v>422</v>
      </c>
      <c r="H1600" s="5" t="s">
        <v>1367</v>
      </c>
    </row>
    <row r="1601" spans="5:8" x14ac:dyDescent="0.3">
      <c r="E1601" s="5" t="s">
        <v>1335</v>
      </c>
      <c r="F1601" s="5" t="s">
        <v>73</v>
      </c>
      <c r="G1601" s="5" t="s">
        <v>424</v>
      </c>
      <c r="H1601" s="5" t="s">
        <v>1368</v>
      </c>
    </row>
    <row r="1602" spans="5:8" x14ac:dyDescent="0.3">
      <c r="E1602" s="5" t="s">
        <v>1335</v>
      </c>
      <c r="F1602" s="5" t="s">
        <v>73</v>
      </c>
      <c r="G1602" s="5" t="s">
        <v>425</v>
      </c>
      <c r="H1602" s="5" t="s">
        <v>421</v>
      </c>
    </row>
    <row r="1603" spans="5:8" x14ac:dyDescent="0.3">
      <c r="E1603" s="5" t="s">
        <v>1335</v>
      </c>
      <c r="F1603" s="5" t="s">
        <v>73</v>
      </c>
      <c r="G1603" s="5" t="s">
        <v>427</v>
      </c>
      <c r="H1603" s="5" t="s">
        <v>1369</v>
      </c>
    </row>
    <row r="1604" spans="5:8" x14ac:dyDescent="0.3">
      <c r="E1604" s="5" t="s">
        <v>1335</v>
      </c>
      <c r="F1604" s="5" t="s">
        <v>73</v>
      </c>
      <c r="G1604" s="5" t="s">
        <v>429</v>
      </c>
      <c r="H1604" s="5" t="s">
        <v>779</v>
      </c>
    </row>
    <row r="1605" spans="5:8" x14ac:dyDescent="0.3">
      <c r="E1605" s="5" t="s">
        <v>1335</v>
      </c>
      <c r="F1605" s="5" t="s">
        <v>73</v>
      </c>
      <c r="G1605" s="5" t="s">
        <v>664</v>
      </c>
      <c r="H1605" s="5" t="s">
        <v>289</v>
      </c>
    </row>
    <row r="1606" spans="5:8" x14ac:dyDescent="0.3">
      <c r="E1606" s="5" t="s">
        <v>1335</v>
      </c>
      <c r="F1606" s="5" t="s">
        <v>73</v>
      </c>
      <c r="G1606" s="5" t="s">
        <v>665</v>
      </c>
      <c r="H1606" s="5" t="s">
        <v>782</v>
      </c>
    </row>
    <row r="1607" spans="5:8" x14ac:dyDescent="0.3">
      <c r="E1607" s="5" t="s">
        <v>1335</v>
      </c>
      <c r="F1607" s="5" t="s">
        <v>73</v>
      </c>
      <c r="G1607" s="5" t="s">
        <v>666</v>
      </c>
      <c r="H1607" s="5" t="s">
        <v>784</v>
      </c>
    </row>
    <row r="1608" spans="5:8" x14ac:dyDescent="0.3">
      <c r="E1608" s="5" t="s">
        <v>1335</v>
      </c>
      <c r="F1608" s="5" t="s">
        <v>73</v>
      </c>
      <c r="G1608" s="5" t="s">
        <v>668</v>
      </c>
      <c r="H1608" s="5" t="s">
        <v>794</v>
      </c>
    </row>
    <row r="1609" spans="5:8" x14ac:dyDescent="0.3">
      <c r="E1609" s="5" t="s">
        <v>1335</v>
      </c>
      <c r="F1609" s="5" t="s">
        <v>73</v>
      </c>
      <c r="G1609" s="5" t="s">
        <v>669</v>
      </c>
      <c r="H1609" s="5" t="s">
        <v>293</v>
      </c>
    </row>
    <row r="1610" spans="5:8" x14ac:dyDescent="0.3">
      <c r="E1610" s="5" t="s">
        <v>1335</v>
      </c>
      <c r="F1610" s="5" t="s">
        <v>73</v>
      </c>
      <c r="G1610" s="5" t="s">
        <v>671</v>
      </c>
      <c r="H1610" s="5" t="s">
        <v>1370</v>
      </c>
    </row>
    <row r="1611" spans="5:8" x14ac:dyDescent="0.3">
      <c r="E1611" s="5" t="s">
        <v>1335</v>
      </c>
      <c r="F1611" s="5" t="s">
        <v>73</v>
      </c>
      <c r="G1611" s="5" t="s">
        <v>673</v>
      </c>
      <c r="H1611" s="5" t="s">
        <v>1371</v>
      </c>
    </row>
    <row r="1612" spans="5:8" x14ac:dyDescent="0.3">
      <c r="E1612" s="5" t="s">
        <v>1415</v>
      </c>
      <c r="F1612" s="5" t="s">
        <v>77</v>
      </c>
      <c r="G1612" s="5" t="s">
        <v>160</v>
      </c>
      <c r="H1612" s="5" t="s">
        <v>1416</v>
      </c>
    </row>
    <row r="1613" spans="5:8" x14ac:dyDescent="0.3">
      <c r="E1613" s="5" t="s">
        <v>1415</v>
      </c>
      <c r="F1613" s="5" t="s">
        <v>77</v>
      </c>
      <c r="G1613" s="5" t="s">
        <v>162</v>
      </c>
      <c r="H1613" s="5" t="s">
        <v>1417</v>
      </c>
    </row>
    <row r="1614" spans="5:8" x14ac:dyDescent="0.3">
      <c r="E1614" s="5" t="s">
        <v>1415</v>
      </c>
      <c r="F1614" s="5" t="s">
        <v>77</v>
      </c>
      <c r="G1614" s="5" t="s">
        <v>164</v>
      </c>
      <c r="H1614" s="5" t="s">
        <v>809</v>
      </c>
    </row>
    <row r="1615" spans="5:8" x14ac:dyDescent="0.3">
      <c r="E1615" s="5" t="s">
        <v>1415</v>
      </c>
      <c r="F1615" s="5" t="s">
        <v>77</v>
      </c>
      <c r="G1615" s="5" t="s">
        <v>166</v>
      </c>
      <c r="H1615" s="5" t="s">
        <v>1418</v>
      </c>
    </row>
    <row r="1616" spans="5:8" x14ac:dyDescent="0.3">
      <c r="E1616" s="5" t="s">
        <v>1415</v>
      </c>
      <c r="F1616" s="5" t="s">
        <v>77</v>
      </c>
      <c r="G1616" s="5" t="s">
        <v>168</v>
      </c>
      <c r="H1616" s="5" t="s">
        <v>1419</v>
      </c>
    </row>
    <row r="1617" spans="5:8" x14ac:dyDescent="0.3">
      <c r="E1617" s="5" t="s">
        <v>1415</v>
      </c>
      <c r="F1617" s="5" t="s">
        <v>77</v>
      </c>
      <c r="G1617" s="5" t="s">
        <v>170</v>
      </c>
      <c r="H1617" s="5" t="s">
        <v>1064</v>
      </c>
    </row>
    <row r="1618" spans="5:8" x14ac:dyDescent="0.3">
      <c r="E1618" s="5" t="s">
        <v>1415</v>
      </c>
      <c r="F1618" s="5" t="s">
        <v>77</v>
      </c>
      <c r="G1618" s="5" t="s">
        <v>172</v>
      </c>
      <c r="H1618" s="5" t="s">
        <v>1420</v>
      </c>
    </row>
    <row r="1619" spans="5:8" x14ac:dyDescent="0.3">
      <c r="E1619" s="5" t="s">
        <v>1415</v>
      </c>
      <c r="F1619" s="5" t="s">
        <v>77</v>
      </c>
      <c r="G1619" s="5" t="s">
        <v>174</v>
      </c>
      <c r="H1619" s="5" t="s">
        <v>1421</v>
      </c>
    </row>
    <row r="1620" spans="5:8" x14ac:dyDescent="0.3">
      <c r="E1620" s="5" t="s">
        <v>1415</v>
      </c>
      <c r="F1620" s="5" t="s">
        <v>77</v>
      </c>
      <c r="G1620" s="5" t="s">
        <v>176</v>
      </c>
      <c r="H1620" s="5" t="s">
        <v>502</v>
      </c>
    </row>
    <row r="1621" spans="5:8" x14ac:dyDescent="0.3">
      <c r="E1621" s="5" t="s">
        <v>1415</v>
      </c>
      <c r="F1621" s="5" t="s">
        <v>77</v>
      </c>
      <c r="G1621" s="5" t="s">
        <v>178</v>
      </c>
      <c r="H1621" s="5" t="s">
        <v>1422</v>
      </c>
    </row>
    <row r="1622" spans="5:8" x14ac:dyDescent="0.3">
      <c r="E1622" s="5" t="s">
        <v>1415</v>
      </c>
      <c r="F1622" s="5" t="s">
        <v>77</v>
      </c>
      <c r="G1622" s="5" t="s">
        <v>180</v>
      </c>
      <c r="H1622" s="5" t="s">
        <v>638</v>
      </c>
    </row>
    <row r="1623" spans="5:8" x14ac:dyDescent="0.3">
      <c r="E1623" s="5" t="s">
        <v>1415</v>
      </c>
      <c r="F1623" s="5" t="s">
        <v>77</v>
      </c>
      <c r="G1623" s="5" t="s">
        <v>182</v>
      </c>
      <c r="H1623" s="5" t="s">
        <v>1423</v>
      </c>
    </row>
    <row r="1624" spans="5:8" x14ac:dyDescent="0.3">
      <c r="E1624" s="5" t="s">
        <v>1415</v>
      </c>
      <c r="F1624" s="5" t="s">
        <v>77</v>
      </c>
      <c r="G1624" s="5" t="s">
        <v>184</v>
      </c>
      <c r="H1624" s="5" t="s">
        <v>1424</v>
      </c>
    </row>
    <row r="1625" spans="5:8" x14ac:dyDescent="0.3">
      <c r="E1625" s="5" t="s">
        <v>1415</v>
      </c>
      <c r="F1625" s="5" t="s">
        <v>77</v>
      </c>
      <c r="G1625" s="5" t="s">
        <v>186</v>
      </c>
      <c r="H1625" s="5" t="s">
        <v>1425</v>
      </c>
    </row>
    <row r="1626" spans="5:8" x14ac:dyDescent="0.3">
      <c r="E1626" s="5" t="s">
        <v>1415</v>
      </c>
      <c r="F1626" s="5" t="s">
        <v>77</v>
      </c>
      <c r="G1626" s="5" t="s">
        <v>188</v>
      </c>
      <c r="H1626" s="5" t="s">
        <v>1426</v>
      </c>
    </row>
    <row r="1627" spans="5:8" x14ac:dyDescent="0.3">
      <c r="E1627" s="5" t="s">
        <v>1415</v>
      </c>
      <c r="F1627" s="5" t="s">
        <v>77</v>
      </c>
      <c r="G1627" s="5" t="s">
        <v>190</v>
      </c>
      <c r="H1627" s="5" t="s">
        <v>853</v>
      </c>
    </row>
    <row r="1628" spans="5:8" x14ac:dyDescent="0.3">
      <c r="E1628" s="5" t="s">
        <v>1415</v>
      </c>
      <c r="F1628" s="5" t="s">
        <v>77</v>
      </c>
      <c r="G1628" s="5" t="s">
        <v>192</v>
      </c>
      <c r="H1628" s="5" t="s">
        <v>511</v>
      </c>
    </row>
    <row r="1629" spans="5:8" x14ac:dyDescent="0.3">
      <c r="E1629" s="5" t="s">
        <v>1415</v>
      </c>
      <c r="F1629" s="5" t="s">
        <v>77</v>
      </c>
      <c r="G1629" s="5" t="s">
        <v>194</v>
      </c>
      <c r="H1629" s="5" t="s">
        <v>1427</v>
      </c>
    </row>
    <row r="1630" spans="5:8" x14ac:dyDescent="0.3">
      <c r="E1630" s="5" t="s">
        <v>1415</v>
      </c>
      <c r="F1630" s="5" t="s">
        <v>77</v>
      </c>
      <c r="G1630" s="5" t="s">
        <v>196</v>
      </c>
      <c r="H1630" s="5" t="s">
        <v>1428</v>
      </c>
    </row>
    <row r="1631" spans="5:8" x14ac:dyDescent="0.3">
      <c r="E1631" s="5" t="s">
        <v>1415</v>
      </c>
      <c r="F1631" s="5" t="s">
        <v>77</v>
      </c>
      <c r="G1631" s="5" t="s">
        <v>198</v>
      </c>
      <c r="H1631" s="5" t="s">
        <v>1429</v>
      </c>
    </row>
    <row r="1632" spans="5:8" x14ac:dyDescent="0.3">
      <c r="E1632" s="5" t="s">
        <v>1415</v>
      </c>
      <c r="F1632" s="5" t="s">
        <v>77</v>
      </c>
      <c r="G1632" s="5" t="s">
        <v>200</v>
      </c>
      <c r="H1632" s="5" t="s">
        <v>1430</v>
      </c>
    </row>
    <row r="1633" spans="5:8" x14ac:dyDescent="0.3">
      <c r="E1633" s="5" t="s">
        <v>1415</v>
      </c>
      <c r="F1633" s="5" t="s">
        <v>77</v>
      </c>
      <c r="G1633" s="5" t="s">
        <v>202</v>
      </c>
      <c r="H1633" s="5" t="s">
        <v>233</v>
      </c>
    </row>
    <row r="1634" spans="5:8" x14ac:dyDescent="0.3">
      <c r="E1634" s="5" t="s">
        <v>1415</v>
      </c>
      <c r="F1634" s="5" t="s">
        <v>77</v>
      </c>
      <c r="G1634" s="5" t="s">
        <v>204</v>
      </c>
      <c r="H1634" s="5" t="s">
        <v>1431</v>
      </c>
    </row>
    <row r="1635" spans="5:8" x14ac:dyDescent="0.3">
      <c r="E1635" s="5" t="s">
        <v>1415</v>
      </c>
      <c r="F1635" s="5" t="s">
        <v>77</v>
      </c>
      <c r="G1635" s="5" t="s">
        <v>206</v>
      </c>
      <c r="H1635" s="5" t="s">
        <v>447</v>
      </c>
    </row>
    <row r="1636" spans="5:8" x14ac:dyDescent="0.3">
      <c r="E1636" s="5" t="s">
        <v>1415</v>
      </c>
      <c r="F1636" s="5" t="s">
        <v>77</v>
      </c>
      <c r="G1636" s="5" t="s">
        <v>208</v>
      </c>
      <c r="H1636" s="5" t="s">
        <v>1432</v>
      </c>
    </row>
    <row r="1637" spans="5:8" x14ac:dyDescent="0.3">
      <c r="E1637" s="5" t="s">
        <v>1415</v>
      </c>
      <c r="F1637" s="5" t="s">
        <v>77</v>
      </c>
      <c r="G1637" s="5" t="s">
        <v>210</v>
      </c>
      <c r="H1637" s="5" t="s">
        <v>584</v>
      </c>
    </row>
    <row r="1638" spans="5:8" x14ac:dyDescent="0.3">
      <c r="E1638" s="5" t="s">
        <v>1415</v>
      </c>
      <c r="F1638" s="5" t="s">
        <v>77</v>
      </c>
      <c r="G1638" s="5" t="s">
        <v>212</v>
      </c>
      <c r="H1638" s="5" t="s">
        <v>395</v>
      </c>
    </row>
    <row r="1639" spans="5:8" x14ac:dyDescent="0.3">
      <c r="E1639" s="5" t="s">
        <v>1415</v>
      </c>
      <c r="F1639" s="5" t="s">
        <v>77</v>
      </c>
      <c r="G1639" s="5" t="s">
        <v>216</v>
      </c>
      <c r="H1639" s="5" t="s">
        <v>249</v>
      </c>
    </row>
    <row r="1640" spans="5:8" x14ac:dyDescent="0.3">
      <c r="E1640" s="5" t="s">
        <v>1415</v>
      </c>
      <c r="F1640" s="5" t="s">
        <v>77</v>
      </c>
      <c r="G1640" s="5" t="s">
        <v>214</v>
      </c>
      <c r="H1640" s="5" t="s">
        <v>1433</v>
      </c>
    </row>
    <row r="1641" spans="5:8" x14ac:dyDescent="0.3">
      <c r="E1641" s="5" t="s">
        <v>1415</v>
      </c>
      <c r="F1641" s="5" t="s">
        <v>77</v>
      </c>
      <c r="G1641" s="5" t="s">
        <v>218</v>
      </c>
      <c r="H1641" s="5" t="s">
        <v>1434</v>
      </c>
    </row>
    <row r="1642" spans="5:8" x14ac:dyDescent="0.3">
      <c r="E1642" s="5" t="s">
        <v>1415</v>
      </c>
      <c r="F1642" s="5" t="s">
        <v>77</v>
      </c>
      <c r="G1642" s="5" t="s">
        <v>220</v>
      </c>
      <c r="H1642" s="5" t="s">
        <v>523</v>
      </c>
    </row>
    <row r="1643" spans="5:8" x14ac:dyDescent="0.3">
      <c r="E1643" s="5" t="s">
        <v>1415</v>
      </c>
      <c r="F1643" s="5" t="s">
        <v>77</v>
      </c>
      <c r="G1643" s="5" t="s">
        <v>222</v>
      </c>
      <c r="H1643" s="5" t="s">
        <v>1435</v>
      </c>
    </row>
    <row r="1644" spans="5:8" x14ac:dyDescent="0.3">
      <c r="E1644" s="5" t="s">
        <v>1415</v>
      </c>
      <c r="F1644" s="5" t="s">
        <v>77</v>
      </c>
      <c r="G1644" s="5" t="s">
        <v>224</v>
      </c>
      <c r="H1644" s="5" t="s">
        <v>1436</v>
      </c>
    </row>
    <row r="1645" spans="5:8" x14ac:dyDescent="0.3">
      <c r="E1645" s="5" t="s">
        <v>1415</v>
      </c>
      <c r="F1645" s="5" t="s">
        <v>77</v>
      </c>
      <c r="G1645" s="5" t="s">
        <v>226</v>
      </c>
      <c r="H1645" s="5" t="s">
        <v>529</v>
      </c>
    </row>
    <row r="1646" spans="5:8" x14ac:dyDescent="0.3">
      <c r="E1646" s="5" t="s">
        <v>1415</v>
      </c>
      <c r="F1646" s="5" t="s">
        <v>77</v>
      </c>
      <c r="G1646" s="5" t="s">
        <v>228</v>
      </c>
      <c r="H1646" s="5" t="s">
        <v>1437</v>
      </c>
    </row>
    <row r="1647" spans="5:8" x14ac:dyDescent="0.3">
      <c r="E1647" s="5" t="s">
        <v>1415</v>
      </c>
      <c r="F1647" s="5" t="s">
        <v>77</v>
      </c>
      <c r="G1647" s="5" t="s">
        <v>230</v>
      </c>
      <c r="H1647" s="5" t="s">
        <v>404</v>
      </c>
    </row>
    <row r="1648" spans="5:8" x14ac:dyDescent="0.3">
      <c r="E1648" s="5" t="s">
        <v>1415</v>
      </c>
      <c r="F1648" s="5" t="s">
        <v>77</v>
      </c>
      <c r="G1648" s="5" t="s">
        <v>232</v>
      </c>
      <c r="H1648" s="5" t="s">
        <v>1438</v>
      </c>
    </row>
    <row r="1649" spans="5:8" x14ac:dyDescent="0.3">
      <c r="E1649" s="5" t="s">
        <v>1415</v>
      </c>
      <c r="F1649" s="5" t="s">
        <v>77</v>
      </c>
      <c r="G1649" s="5" t="s">
        <v>234</v>
      </c>
      <c r="H1649" s="5" t="s">
        <v>1439</v>
      </c>
    </row>
    <row r="1650" spans="5:8" x14ac:dyDescent="0.3">
      <c r="E1650" s="5" t="s">
        <v>1415</v>
      </c>
      <c r="F1650" s="5" t="s">
        <v>77</v>
      </c>
      <c r="G1650" s="5" t="s">
        <v>236</v>
      </c>
      <c r="H1650" s="5" t="s">
        <v>1096</v>
      </c>
    </row>
    <row r="1651" spans="5:8" x14ac:dyDescent="0.3">
      <c r="E1651" s="5" t="s">
        <v>1415</v>
      </c>
      <c r="F1651" s="5" t="s">
        <v>77</v>
      </c>
      <c r="G1651" s="5" t="s">
        <v>238</v>
      </c>
      <c r="H1651" s="5" t="s">
        <v>408</v>
      </c>
    </row>
    <row r="1652" spans="5:8" x14ac:dyDescent="0.3">
      <c r="E1652" s="5" t="s">
        <v>1415</v>
      </c>
      <c r="F1652" s="5" t="s">
        <v>77</v>
      </c>
      <c r="G1652" s="5" t="s">
        <v>240</v>
      </c>
      <c r="H1652" s="5" t="s">
        <v>1440</v>
      </c>
    </row>
    <row r="1653" spans="5:8" x14ac:dyDescent="0.3">
      <c r="E1653" s="5" t="s">
        <v>1415</v>
      </c>
      <c r="F1653" s="5" t="s">
        <v>77</v>
      </c>
      <c r="G1653" s="5" t="s">
        <v>242</v>
      </c>
      <c r="H1653" s="5" t="s">
        <v>878</v>
      </c>
    </row>
    <row r="1654" spans="5:8" x14ac:dyDescent="0.3">
      <c r="E1654" s="5" t="s">
        <v>1415</v>
      </c>
      <c r="F1654" s="5" t="s">
        <v>77</v>
      </c>
      <c r="G1654" s="5" t="s">
        <v>244</v>
      </c>
      <c r="H1654" s="5" t="s">
        <v>1441</v>
      </c>
    </row>
    <row r="1655" spans="5:8" x14ac:dyDescent="0.3">
      <c r="E1655" s="5" t="s">
        <v>1415</v>
      </c>
      <c r="F1655" s="5" t="s">
        <v>77</v>
      </c>
      <c r="G1655" s="5" t="s">
        <v>246</v>
      </c>
      <c r="H1655" s="5" t="s">
        <v>1442</v>
      </c>
    </row>
    <row r="1656" spans="5:8" x14ac:dyDescent="0.3">
      <c r="E1656" s="5" t="s">
        <v>1415</v>
      </c>
      <c r="F1656" s="5" t="s">
        <v>77</v>
      </c>
      <c r="G1656" s="5" t="s">
        <v>248</v>
      </c>
      <c r="H1656" s="5" t="s">
        <v>1443</v>
      </c>
    </row>
    <row r="1657" spans="5:8" x14ac:dyDescent="0.3">
      <c r="E1657" s="5" t="s">
        <v>1415</v>
      </c>
      <c r="F1657" s="5" t="s">
        <v>77</v>
      </c>
      <c r="G1657" s="5" t="s">
        <v>250</v>
      </c>
      <c r="H1657" s="5" t="s">
        <v>1035</v>
      </c>
    </row>
    <row r="1658" spans="5:8" x14ac:dyDescent="0.3">
      <c r="E1658" s="5" t="s">
        <v>1415</v>
      </c>
      <c r="F1658" s="5" t="s">
        <v>77</v>
      </c>
      <c r="G1658" s="5" t="s">
        <v>252</v>
      </c>
      <c r="H1658" s="5" t="s">
        <v>1444</v>
      </c>
    </row>
    <row r="1659" spans="5:8" x14ac:dyDescent="0.3">
      <c r="E1659" s="5" t="s">
        <v>1415</v>
      </c>
      <c r="F1659" s="5" t="s">
        <v>77</v>
      </c>
      <c r="G1659" s="5" t="s">
        <v>254</v>
      </c>
      <c r="H1659" s="5" t="s">
        <v>1445</v>
      </c>
    </row>
    <row r="1660" spans="5:8" x14ac:dyDescent="0.3">
      <c r="E1660" s="5" t="s">
        <v>1415</v>
      </c>
      <c r="F1660" s="5" t="s">
        <v>77</v>
      </c>
      <c r="G1660" s="5" t="s">
        <v>256</v>
      </c>
      <c r="H1660" s="5" t="s">
        <v>1446</v>
      </c>
    </row>
    <row r="1661" spans="5:8" x14ac:dyDescent="0.3">
      <c r="E1661" s="5" t="s">
        <v>1415</v>
      </c>
      <c r="F1661" s="5" t="s">
        <v>77</v>
      </c>
      <c r="G1661" s="5" t="s">
        <v>258</v>
      </c>
      <c r="H1661" s="5" t="s">
        <v>834</v>
      </c>
    </row>
    <row r="1662" spans="5:8" x14ac:dyDescent="0.3">
      <c r="E1662" s="5" t="s">
        <v>1415</v>
      </c>
      <c r="F1662" s="5" t="s">
        <v>77</v>
      </c>
      <c r="G1662" s="5" t="s">
        <v>260</v>
      </c>
      <c r="H1662" s="5" t="s">
        <v>1447</v>
      </c>
    </row>
    <row r="1663" spans="5:8" x14ac:dyDescent="0.3">
      <c r="E1663" s="5" t="s">
        <v>1415</v>
      </c>
      <c r="F1663" s="5" t="s">
        <v>77</v>
      </c>
      <c r="G1663" s="5" t="s">
        <v>262</v>
      </c>
      <c r="H1663" s="5" t="s">
        <v>1448</v>
      </c>
    </row>
    <row r="1664" spans="5:8" x14ac:dyDescent="0.3">
      <c r="E1664" s="5" t="s">
        <v>1415</v>
      </c>
      <c r="F1664" s="5" t="s">
        <v>77</v>
      </c>
      <c r="G1664" s="5" t="s">
        <v>264</v>
      </c>
      <c r="H1664" s="5" t="s">
        <v>836</v>
      </c>
    </row>
    <row r="1665" spans="5:8" x14ac:dyDescent="0.3">
      <c r="E1665" s="5" t="s">
        <v>1415</v>
      </c>
      <c r="F1665" s="5" t="s">
        <v>77</v>
      </c>
      <c r="G1665" s="5" t="s">
        <v>266</v>
      </c>
      <c r="H1665" s="5" t="s">
        <v>1449</v>
      </c>
    </row>
    <row r="1666" spans="5:8" x14ac:dyDescent="0.3">
      <c r="E1666" s="5" t="s">
        <v>1415</v>
      </c>
      <c r="F1666" s="5" t="s">
        <v>77</v>
      </c>
      <c r="G1666" s="5" t="s">
        <v>268</v>
      </c>
      <c r="H1666" s="5" t="s">
        <v>1450</v>
      </c>
    </row>
    <row r="1667" spans="5:8" x14ac:dyDescent="0.3">
      <c r="E1667" s="5" t="s">
        <v>1415</v>
      </c>
      <c r="F1667" s="5" t="s">
        <v>77</v>
      </c>
      <c r="G1667" s="5" t="s">
        <v>270</v>
      </c>
      <c r="H1667" s="5" t="s">
        <v>1451</v>
      </c>
    </row>
    <row r="1668" spans="5:8" x14ac:dyDescent="0.3">
      <c r="E1668" s="5" t="s">
        <v>1584</v>
      </c>
      <c r="F1668" s="5" t="s">
        <v>91</v>
      </c>
      <c r="G1668" s="5" t="s">
        <v>160</v>
      </c>
      <c r="H1668" s="5" t="s">
        <v>1585</v>
      </c>
    </row>
    <row r="1669" spans="5:8" x14ac:dyDescent="0.3">
      <c r="E1669" s="5" t="s">
        <v>1584</v>
      </c>
      <c r="F1669" s="5" t="s">
        <v>91</v>
      </c>
      <c r="G1669" s="5" t="s">
        <v>162</v>
      </c>
      <c r="H1669" s="5" t="s">
        <v>838</v>
      </c>
    </row>
    <row r="1670" spans="5:8" x14ac:dyDescent="0.3">
      <c r="E1670" s="5" t="s">
        <v>1584</v>
      </c>
      <c r="F1670" s="5" t="s">
        <v>91</v>
      </c>
      <c r="G1670" s="5" t="s">
        <v>164</v>
      </c>
      <c r="H1670" s="5" t="s">
        <v>1586</v>
      </c>
    </row>
    <row r="1671" spans="5:8" x14ac:dyDescent="0.3">
      <c r="E1671" s="5" t="s">
        <v>1584</v>
      </c>
      <c r="F1671" s="5" t="s">
        <v>91</v>
      </c>
      <c r="G1671" s="5" t="s">
        <v>166</v>
      </c>
      <c r="H1671" s="5" t="s">
        <v>1587</v>
      </c>
    </row>
    <row r="1672" spans="5:8" x14ac:dyDescent="0.3">
      <c r="E1672" s="5" t="s">
        <v>1584</v>
      </c>
      <c r="F1672" s="5" t="s">
        <v>91</v>
      </c>
      <c r="G1672" s="5" t="s">
        <v>168</v>
      </c>
      <c r="H1672" s="5" t="s">
        <v>1588</v>
      </c>
    </row>
    <row r="1673" spans="5:8" x14ac:dyDescent="0.3">
      <c r="E1673" s="5" t="s">
        <v>1584</v>
      </c>
      <c r="F1673" s="5" t="s">
        <v>91</v>
      </c>
      <c r="G1673" s="5" t="s">
        <v>170</v>
      </c>
      <c r="H1673" s="5" t="s">
        <v>1589</v>
      </c>
    </row>
    <row r="1674" spans="5:8" x14ac:dyDescent="0.3">
      <c r="E1674" s="5" t="s">
        <v>1584</v>
      </c>
      <c r="F1674" s="5" t="s">
        <v>91</v>
      </c>
      <c r="G1674" s="5" t="s">
        <v>172</v>
      </c>
      <c r="H1674" s="5" t="s">
        <v>1590</v>
      </c>
    </row>
    <row r="1675" spans="5:8" x14ac:dyDescent="0.3">
      <c r="E1675" s="5" t="s">
        <v>1584</v>
      </c>
      <c r="F1675" s="5" t="s">
        <v>91</v>
      </c>
      <c r="G1675" s="5" t="s">
        <v>174</v>
      </c>
      <c r="H1675" s="5" t="s">
        <v>1591</v>
      </c>
    </row>
    <row r="1676" spans="5:8" x14ac:dyDescent="0.3">
      <c r="E1676" s="5" t="s">
        <v>1584</v>
      </c>
      <c r="F1676" s="5" t="s">
        <v>91</v>
      </c>
      <c r="G1676" s="5" t="s">
        <v>176</v>
      </c>
      <c r="H1676" s="5" t="s">
        <v>1592</v>
      </c>
    </row>
    <row r="1677" spans="5:8" x14ac:dyDescent="0.3">
      <c r="E1677" s="5" t="s">
        <v>1584</v>
      </c>
      <c r="F1677" s="5" t="s">
        <v>91</v>
      </c>
      <c r="G1677" s="5" t="s">
        <v>178</v>
      </c>
      <c r="H1677" s="5" t="s">
        <v>1593</v>
      </c>
    </row>
    <row r="1678" spans="5:8" x14ac:dyDescent="0.3">
      <c r="E1678" s="5" t="s">
        <v>1584</v>
      </c>
      <c r="F1678" s="5" t="s">
        <v>91</v>
      </c>
      <c r="G1678" s="5" t="s">
        <v>180</v>
      </c>
      <c r="H1678" s="5" t="s">
        <v>1594</v>
      </c>
    </row>
    <row r="1679" spans="5:8" x14ac:dyDescent="0.3">
      <c r="E1679" s="5" t="s">
        <v>1584</v>
      </c>
      <c r="F1679" s="5" t="s">
        <v>91</v>
      </c>
      <c r="G1679" s="5" t="s">
        <v>182</v>
      </c>
      <c r="H1679" s="5" t="s">
        <v>621</v>
      </c>
    </row>
    <row r="1680" spans="5:8" x14ac:dyDescent="0.3">
      <c r="E1680" s="5" t="s">
        <v>1584</v>
      </c>
      <c r="F1680" s="5" t="s">
        <v>91</v>
      </c>
      <c r="G1680" s="5" t="s">
        <v>184</v>
      </c>
      <c r="H1680" s="5" t="s">
        <v>1595</v>
      </c>
    </row>
    <row r="1681" spans="5:8" x14ac:dyDescent="0.3">
      <c r="E1681" s="5" t="s">
        <v>1584</v>
      </c>
      <c r="F1681" s="5" t="s">
        <v>91</v>
      </c>
      <c r="G1681" s="5" t="s">
        <v>186</v>
      </c>
      <c r="H1681" s="5" t="s">
        <v>1060</v>
      </c>
    </row>
    <row r="1682" spans="5:8" x14ac:dyDescent="0.3">
      <c r="E1682" s="5" t="s">
        <v>1584</v>
      </c>
      <c r="F1682" s="5" t="s">
        <v>91</v>
      </c>
      <c r="G1682" s="5" t="s">
        <v>188</v>
      </c>
      <c r="H1682" s="5" t="s">
        <v>623</v>
      </c>
    </row>
    <row r="1683" spans="5:8" x14ac:dyDescent="0.3">
      <c r="E1683" s="5" t="s">
        <v>1584</v>
      </c>
      <c r="F1683" s="5" t="s">
        <v>91</v>
      </c>
      <c r="G1683" s="5" t="s">
        <v>190</v>
      </c>
      <c r="H1683" s="5" t="s">
        <v>1596</v>
      </c>
    </row>
    <row r="1684" spans="5:8" x14ac:dyDescent="0.3">
      <c r="E1684" s="5" t="s">
        <v>1584</v>
      </c>
      <c r="F1684" s="5" t="s">
        <v>91</v>
      </c>
      <c r="G1684" s="5" t="s">
        <v>192</v>
      </c>
      <c r="H1684" s="5" t="s">
        <v>1597</v>
      </c>
    </row>
    <row r="1685" spans="5:8" x14ac:dyDescent="0.3">
      <c r="E1685" s="5" t="s">
        <v>1584</v>
      </c>
      <c r="F1685" s="5" t="s">
        <v>91</v>
      </c>
      <c r="G1685" s="5" t="s">
        <v>194</v>
      </c>
      <c r="H1685" s="5" t="s">
        <v>1598</v>
      </c>
    </row>
    <row r="1686" spans="5:8" x14ac:dyDescent="0.3">
      <c r="E1686" s="5" t="s">
        <v>1584</v>
      </c>
      <c r="F1686" s="5" t="s">
        <v>91</v>
      </c>
      <c r="G1686" s="5" t="s">
        <v>196</v>
      </c>
      <c r="H1686" s="5" t="s">
        <v>627</v>
      </c>
    </row>
    <row r="1687" spans="5:8" x14ac:dyDescent="0.3">
      <c r="E1687" s="5" t="s">
        <v>1584</v>
      </c>
      <c r="F1687" s="5" t="s">
        <v>91</v>
      </c>
      <c r="G1687" s="5" t="s">
        <v>198</v>
      </c>
      <c r="H1687" s="5" t="s">
        <v>179</v>
      </c>
    </row>
    <row r="1688" spans="5:8" x14ac:dyDescent="0.3">
      <c r="E1688" s="5" t="s">
        <v>1584</v>
      </c>
      <c r="F1688" s="5" t="s">
        <v>91</v>
      </c>
      <c r="G1688" s="5" t="s">
        <v>200</v>
      </c>
      <c r="H1688" s="5" t="s">
        <v>1599</v>
      </c>
    </row>
    <row r="1689" spans="5:8" x14ac:dyDescent="0.3">
      <c r="E1689" s="5" t="s">
        <v>1584</v>
      </c>
      <c r="F1689" s="5" t="s">
        <v>91</v>
      </c>
      <c r="G1689" s="5" t="s">
        <v>202</v>
      </c>
      <c r="H1689" s="5" t="s">
        <v>187</v>
      </c>
    </row>
    <row r="1690" spans="5:8" x14ac:dyDescent="0.3">
      <c r="E1690" s="5" t="s">
        <v>1584</v>
      </c>
      <c r="F1690" s="5" t="s">
        <v>91</v>
      </c>
      <c r="G1690" s="5" t="s">
        <v>204</v>
      </c>
      <c r="H1690" s="5" t="s">
        <v>375</v>
      </c>
    </row>
    <row r="1691" spans="5:8" x14ac:dyDescent="0.3">
      <c r="E1691" s="5" t="s">
        <v>1584</v>
      </c>
      <c r="F1691" s="5" t="s">
        <v>91</v>
      </c>
      <c r="G1691" s="5" t="s">
        <v>206</v>
      </c>
      <c r="H1691" s="5" t="s">
        <v>1600</v>
      </c>
    </row>
    <row r="1692" spans="5:8" x14ac:dyDescent="0.3">
      <c r="E1692" s="5" t="s">
        <v>1584</v>
      </c>
      <c r="F1692" s="5" t="s">
        <v>91</v>
      </c>
      <c r="G1692" s="5" t="s">
        <v>208</v>
      </c>
      <c r="H1692" s="5" t="s">
        <v>1601</v>
      </c>
    </row>
    <row r="1693" spans="5:8" x14ac:dyDescent="0.3">
      <c r="E1693" s="5" t="s">
        <v>1584</v>
      </c>
      <c r="F1693" s="5" t="s">
        <v>91</v>
      </c>
      <c r="G1693" s="5" t="s">
        <v>210</v>
      </c>
      <c r="H1693" s="5" t="s">
        <v>847</v>
      </c>
    </row>
    <row r="1694" spans="5:8" x14ac:dyDescent="0.3">
      <c r="E1694" s="5" t="s">
        <v>1584</v>
      </c>
      <c r="F1694" s="5" t="s">
        <v>91</v>
      </c>
      <c r="G1694" s="5" t="s">
        <v>212</v>
      </c>
      <c r="H1694" s="5" t="s">
        <v>1602</v>
      </c>
    </row>
    <row r="1695" spans="5:8" x14ac:dyDescent="0.3">
      <c r="E1695" s="5" t="s">
        <v>1584</v>
      </c>
      <c r="F1695" s="5" t="s">
        <v>91</v>
      </c>
      <c r="G1695" s="5" t="s">
        <v>214</v>
      </c>
      <c r="H1695" s="5" t="s">
        <v>1603</v>
      </c>
    </row>
    <row r="1696" spans="5:8" x14ac:dyDescent="0.3">
      <c r="E1696" s="5" t="s">
        <v>1584</v>
      </c>
      <c r="F1696" s="5" t="s">
        <v>91</v>
      </c>
      <c r="G1696" s="5" t="s">
        <v>216</v>
      </c>
      <c r="H1696" s="5" t="s">
        <v>1604</v>
      </c>
    </row>
    <row r="1697" spans="5:8" x14ac:dyDescent="0.3">
      <c r="E1697" s="5" t="s">
        <v>1584</v>
      </c>
      <c r="F1697" s="5" t="s">
        <v>91</v>
      </c>
      <c r="G1697" s="5" t="s">
        <v>218</v>
      </c>
      <c r="H1697" s="5" t="s">
        <v>1605</v>
      </c>
    </row>
    <row r="1698" spans="5:8" x14ac:dyDescent="0.3">
      <c r="E1698" s="5" t="s">
        <v>1584</v>
      </c>
      <c r="F1698" s="5" t="s">
        <v>91</v>
      </c>
      <c r="G1698" s="5" t="s">
        <v>220</v>
      </c>
      <c r="H1698" s="5" t="s">
        <v>1606</v>
      </c>
    </row>
    <row r="1699" spans="5:8" x14ac:dyDescent="0.3">
      <c r="E1699" s="5" t="s">
        <v>1584</v>
      </c>
      <c r="F1699" s="5" t="s">
        <v>91</v>
      </c>
      <c r="G1699" s="5" t="s">
        <v>222</v>
      </c>
      <c r="H1699" s="5" t="s">
        <v>1607</v>
      </c>
    </row>
    <row r="1700" spans="5:8" x14ac:dyDescent="0.3">
      <c r="E1700" s="5" t="s">
        <v>1584</v>
      </c>
      <c r="F1700" s="5" t="s">
        <v>91</v>
      </c>
      <c r="G1700" s="5" t="s">
        <v>224</v>
      </c>
      <c r="H1700" s="5" t="s">
        <v>1608</v>
      </c>
    </row>
    <row r="1701" spans="5:8" x14ac:dyDescent="0.3">
      <c r="E1701" s="5" t="s">
        <v>1584</v>
      </c>
      <c r="F1701" s="5" t="s">
        <v>91</v>
      </c>
      <c r="G1701" s="5" t="s">
        <v>226</v>
      </c>
      <c r="H1701" s="5" t="s">
        <v>650</v>
      </c>
    </row>
    <row r="1702" spans="5:8" x14ac:dyDescent="0.3">
      <c r="E1702" s="5" t="s">
        <v>1584</v>
      </c>
      <c r="F1702" s="5" t="s">
        <v>91</v>
      </c>
      <c r="G1702" s="5" t="s">
        <v>228</v>
      </c>
      <c r="H1702" s="5" t="s">
        <v>219</v>
      </c>
    </row>
    <row r="1703" spans="5:8" x14ac:dyDescent="0.3">
      <c r="E1703" s="5" t="s">
        <v>1584</v>
      </c>
      <c r="F1703" s="5" t="s">
        <v>91</v>
      </c>
      <c r="G1703" s="5" t="s">
        <v>230</v>
      </c>
      <c r="H1703" s="5" t="s">
        <v>1609</v>
      </c>
    </row>
    <row r="1704" spans="5:8" x14ac:dyDescent="0.3">
      <c r="E1704" s="5" t="s">
        <v>1584</v>
      </c>
      <c r="F1704" s="5" t="s">
        <v>91</v>
      </c>
      <c r="G1704" s="5" t="s">
        <v>232</v>
      </c>
      <c r="H1704" s="5" t="s">
        <v>1610</v>
      </c>
    </row>
    <row r="1705" spans="5:8" x14ac:dyDescent="0.3">
      <c r="E1705" s="5" t="s">
        <v>1584</v>
      </c>
      <c r="F1705" s="5" t="s">
        <v>91</v>
      </c>
      <c r="G1705" s="5" t="s">
        <v>234</v>
      </c>
      <c r="H1705" s="5" t="s">
        <v>354</v>
      </c>
    </row>
    <row r="1706" spans="5:8" x14ac:dyDescent="0.3">
      <c r="E1706" s="5" t="s">
        <v>1584</v>
      </c>
      <c r="F1706" s="5" t="s">
        <v>91</v>
      </c>
      <c r="G1706" s="5" t="s">
        <v>236</v>
      </c>
      <c r="H1706" s="5" t="s">
        <v>1611</v>
      </c>
    </row>
    <row r="1707" spans="5:8" x14ac:dyDescent="0.3">
      <c r="E1707" s="5" t="s">
        <v>1584</v>
      </c>
      <c r="F1707" s="5" t="s">
        <v>91</v>
      </c>
      <c r="G1707" s="5" t="s">
        <v>238</v>
      </c>
      <c r="H1707" s="5" t="s">
        <v>223</v>
      </c>
    </row>
    <row r="1708" spans="5:8" x14ac:dyDescent="0.3">
      <c r="E1708" s="5" t="s">
        <v>1584</v>
      </c>
      <c r="F1708" s="5" t="s">
        <v>91</v>
      </c>
      <c r="G1708" s="5" t="s">
        <v>240</v>
      </c>
      <c r="H1708" s="5" t="s">
        <v>1612</v>
      </c>
    </row>
    <row r="1709" spans="5:8" x14ac:dyDescent="0.3">
      <c r="E1709" s="5" t="s">
        <v>1584</v>
      </c>
      <c r="F1709" s="5" t="s">
        <v>91</v>
      </c>
      <c r="G1709" s="5" t="s">
        <v>242</v>
      </c>
      <c r="H1709" s="5" t="s">
        <v>1613</v>
      </c>
    </row>
    <row r="1710" spans="5:8" x14ac:dyDescent="0.3">
      <c r="E1710" s="5" t="s">
        <v>1584</v>
      </c>
      <c r="F1710" s="5" t="s">
        <v>91</v>
      </c>
      <c r="G1710" s="5" t="s">
        <v>244</v>
      </c>
      <c r="H1710" s="5" t="s">
        <v>1614</v>
      </c>
    </row>
    <row r="1711" spans="5:8" x14ac:dyDescent="0.3">
      <c r="E1711" s="5" t="s">
        <v>1584</v>
      </c>
      <c r="F1711" s="5" t="s">
        <v>91</v>
      </c>
      <c r="G1711" s="5" t="s">
        <v>246</v>
      </c>
      <c r="H1711" s="5" t="s">
        <v>1615</v>
      </c>
    </row>
    <row r="1712" spans="5:8" x14ac:dyDescent="0.3">
      <c r="E1712" s="5" t="s">
        <v>1584</v>
      </c>
      <c r="F1712" s="5" t="s">
        <v>91</v>
      </c>
      <c r="G1712" s="5" t="s">
        <v>248</v>
      </c>
      <c r="H1712" s="5" t="s">
        <v>856</v>
      </c>
    </row>
    <row r="1713" spans="5:8" x14ac:dyDescent="0.3">
      <c r="E1713" s="5" t="s">
        <v>1584</v>
      </c>
      <c r="F1713" s="5" t="s">
        <v>91</v>
      </c>
      <c r="G1713" s="5" t="s">
        <v>250</v>
      </c>
      <c r="H1713" s="5" t="s">
        <v>1616</v>
      </c>
    </row>
    <row r="1714" spans="5:8" x14ac:dyDescent="0.3">
      <c r="E1714" s="5" t="s">
        <v>1584</v>
      </c>
      <c r="F1714" s="5" t="s">
        <v>91</v>
      </c>
      <c r="G1714" s="5" t="s">
        <v>252</v>
      </c>
      <c r="H1714" s="5" t="s">
        <v>1617</v>
      </c>
    </row>
    <row r="1715" spans="5:8" x14ac:dyDescent="0.3">
      <c r="E1715" s="5" t="s">
        <v>1584</v>
      </c>
      <c r="F1715" s="5" t="s">
        <v>91</v>
      </c>
      <c r="G1715" s="5" t="s">
        <v>254</v>
      </c>
      <c r="H1715" s="5" t="s">
        <v>1618</v>
      </c>
    </row>
    <row r="1716" spans="5:8" x14ac:dyDescent="0.3">
      <c r="E1716" s="5" t="s">
        <v>1584</v>
      </c>
      <c r="F1716" s="5" t="s">
        <v>91</v>
      </c>
      <c r="G1716" s="5" t="s">
        <v>256</v>
      </c>
      <c r="H1716" s="5" t="s">
        <v>1619</v>
      </c>
    </row>
    <row r="1717" spans="5:8" x14ac:dyDescent="0.3">
      <c r="E1717" s="5" t="s">
        <v>1584</v>
      </c>
      <c r="F1717" s="5" t="s">
        <v>91</v>
      </c>
      <c r="G1717" s="5" t="s">
        <v>258</v>
      </c>
      <c r="H1717" s="5" t="s">
        <v>231</v>
      </c>
    </row>
    <row r="1718" spans="5:8" x14ac:dyDescent="0.3">
      <c r="E1718" s="5" t="s">
        <v>1584</v>
      </c>
      <c r="F1718" s="5" t="s">
        <v>91</v>
      </c>
      <c r="G1718" s="5" t="s">
        <v>260</v>
      </c>
      <c r="H1718" s="5" t="s">
        <v>1620</v>
      </c>
    </row>
    <row r="1719" spans="5:8" x14ac:dyDescent="0.3">
      <c r="E1719" s="5" t="s">
        <v>1584</v>
      </c>
      <c r="F1719" s="5" t="s">
        <v>91</v>
      </c>
      <c r="G1719" s="5" t="s">
        <v>262</v>
      </c>
      <c r="H1719" s="5" t="s">
        <v>678</v>
      </c>
    </row>
    <row r="1720" spans="5:8" x14ac:dyDescent="0.3">
      <c r="E1720" s="5" t="s">
        <v>1584</v>
      </c>
      <c r="F1720" s="5" t="s">
        <v>91</v>
      </c>
      <c r="G1720" s="5" t="s">
        <v>264</v>
      </c>
      <c r="H1720" s="5" t="s">
        <v>241</v>
      </c>
    </row>
    <row r="1721" spans="5:8" x14ac:dyDescent="0.3">
      <c r="E1721" s="5" t="s">
        <v>1584</v>
      </c>
      <c r="F1721" s="5" t="s">
        <v>91</v>
      </c>
      <c r="G1721" s="5" t="s">
        <v>266</v>
      </c>
      <c r="H1721" s="5" t="s">
        <v>1621</v>
      </c>
    </row>
    <row r="1722" spans="5:8" x14ac:dyDescent="0.3">
      <c r="E1722" s="5" t="s">
        <v>1584</v>
      </c>
      <c r="F1722" s="5" t="s">
        <v>91</v>
      </c>
      <c r="G1722" s="5" t="s">
        <v>268</v>
      </c>
      <c r="H1722" s="5" t="s">
        <v>395</v>
      </c>
    </row>
    <row r="1723" spans="5:8" x14ac:dyDescent="0.3">
      <c r="E1723" s="5" t="s">
        <v>1584</v>
      </c>
      <c r="F1723" s="5" t="s">
        <v>91</v>
      </c>
      <c r="G1723" s="5" t="s">
        <v>272</v>
      </c>
      <c r="H1723" s="5" t="s">
        <v>247</v>
      </c>
    </row>
    <row r="1724" spans="5:8" x14ac:dyDescent="0.3">
      <c r="E1724" s="5" t="s">
        <v>1584</v>
      </c>
      <c r="F1724" s="5" t="s">
        <v>91</v>
      </c>
      <c r="G1724" s="5" t="s">
        <v>274</v>
      </c>
      <c r="H1724" s="5" t="s">
        <v>249</v>
      </c>
    </row>
    <row r="1725" spans="5:8" x14ac:dyDescent="0.3">
      <c r="E1725" s="5" t="s">
        <v>1584</v>
      </c>
      <c r="F1725" s="5" t="s">
        <v>91</v>
      </c>
      <c r="G1725" s="5" t="s">
        <v>276</v>
      </c>
      <c r="H1725" s="5" t="s">
        <v>586</v>
      </c>
    </row>
    <row r="1726" spans="5:8" x14ac:dyDescent="0.3">
      <c r="E1726" s="5" t="s">
        <v>1584</v>
      </c>
      <c r="F1726" s="5" t="s">
        <v>91</v>
      </c>
      <c r="G1726" s="5" t="s">
        <v>270</v>
      </c>
      <c r="H1726" s="5" t="s">
        <v>1622</v>
      </c>
    </row>
    <row r="1727" spans="5:8" x14ac:dyDescent="0.3">
      <c r="E1727" s="5" t="s">
        <v>1584</v>
      </c>
      <c r="F1727" s="5" t="s">
        <v>91</v>
      </c>
      <c r="G1727" s="5" t="s">
        <v>278</v>
      </c>
      <c r="H1727" s="5" t="s">
        <v>1623</v>
      </c>
    </row>
    <row r="1728" spans="5:8" x14ac:dyDescent="0.3">
      <c r="E1728" s="5" t="s">
        <v>1584</v>
      </c>
      <c r="F1728" s="5" t="s">
        <v>91</v>
      </c>
      <c r="G1728" s="5" t="s">
        <v>280</v>
      </c>
      <c r="H1728" s="5" t="s">
        <v>701</v>
      </c>
    </row>
    <row r="1729" spans="5:8" x14ac:dyDescent="0.3">
      <c r="E1729" s="5" t="s">
        <v>1584</v>
      </c>
      <c r="F1729" s="5" t="s">
        <v>91</v>
      </c>
      <c r="G1729" s="5" t="s">
        <v>282</v>
      </c>
      <c r="H1729" s="5" t="s">
        <v>261</v>
      </c>
    </row>
    <row r="1730" spans="5:8" x14ac:dyDescent="0.3">
      <c r="E1730" s="5" t="s">
        <v>1584</v>
      </c>
      <c r="F1730" s="5" t="s">
        <v>91</v>
      </c>
      <c r="G1730" s="5" t="s">
        <v>284</v>
      </c>
      <c r="H1730" s="5" t="s">
        <v>1624</v>
      </c>
    </row>
    <row r="1731" spans="5:8" x14ac:dyDescent="0.3">
      <c r="E1731" s="5" t="s">
        <v>1584</v>
      </c>
      <c r="F1731" s="5" t="s">
        <v>91</v>
      </c>
      <c r="G1731" s="5" t="s">
        <v>286</v>
      </c>
      <c r="H1731" s="5" t="s">
        <v>1625</v>
      </c>
    </row>
    <row r="1732" spans="5:8" x14ac:dyDescent="0.3">
      <c r="E1732" s="5" t="s">
        <v>1584</v>
      </c>
      <c r="F1732" s="5" t="s">
        <v>91</v>
      </c>
      <c r="G1732" s="5" t="s">
        <v>288</v>
      </c>
      <c r="H1732" s="5" t="s">
        <v>1626</v>
      </c>
    </row>
    <row r="1733" spans="5:8" x14ac:dyDescent="0.3">
      <c r="E1733" s="5" t="s">
        <v>1584</v>
      </c>
      <c r="F1733" s="5" t="s">
        <v>91</v>
      </c>
      <c r="G1733" s="5" t="s">
        <v>290</v>
      </c>
      <c r="H1733" s="5" t="s">
        <v>1627</v>
      </c>
    </row>
    <row r="1734" spans="5:8" x14ac:dyDescent="0.3">
      <c r="E1734" s="5" t="s">
        <v>1584</v>
      </c>
      <c r="F1734" s="5" t="s">
        <v>91</v>
      </c>
      <c r="G1734" s="5" t="s">
        <v>292</v>
      </c>
      <c r="H1734" s="5" t="s">
        <v>1628</v>
      </c>
    </row>
    <row r="1735" spans="5:8" x14ac:dyDescent="0.3">
      <c r="E1735" s="5" t="s">
        <v>1584</v>
      </c>
      <c r="F1735" s="5" t="s">
        <v>91</v>
      </c>
      <c r="G1735" s="5" t="s">
        <v>416</v>
      </c>
      <c r="H1735" s="5" t="s">
        <v>459</v>
      </c>
    </row>
    <row r="1736" spans="5:8" x14ac:dyDescent="0.3">
      <c r="E1736" s="5" t="s">
        <v>1584</v>
      </c>
      <c r="F1736" s="5" t="s">
        <v>91</v>
      </c>
      <c r="G1736" s="5" t="s">
        <v>418</v>
      </c>
      <c r="H1736" s="5" t="s">
        <v>1629</v>
      </c>
    </row>
    <row r="1737" spans="5:8" x14ac:dyDescent="0.3">
      <c r="E1737" s="5" t="s">
        <v>1584</v>
      </c>
      <c r="F1737" s="5" t="s">
        <v>91</v>
      </c>
      <c r="G1737" s="5" t="s">
        <v>420</v>
      </c>
      <c r="H1737" s="5" t="s">
        <v>1630</v>
      </c>
    </row>
    <row r="1738" spans="5:8" x14ac:dyDescent="0.3">
      <c r="E1738" s="5" t="s">
        <v>1584</v>
      </c>
      <c r="F1738" s="5" t="s">
        <v>91</v>
      </c>
      <c r="G1738" s="5" t="s">
        <v>422</v>
      </c>
      <c r="H1738" s="5" t="s">
        <v>1631</v>
      </c>
    </row>
    <row r="1739" spans="5:8" x14ac:dyDescent="0.3">
      <c r="E1739" s="5" t="s">
        <v>1584</v>
      </c>
      <c r="F1739" s="5" t="s">
        <v>91</v>
      </c>
      <c r="G1739" s="5" t="s">
        <v>424</v>
      </c>
      <c r="H1739" s="5" t="s">
        <v>1632</v>
      </c>
    </row>
    <row r="1740" spans="5:8" x14ac:dyDescent="0.3">
      <c r="E1740" s="5" t="s">
        <v>1584</v>
      </c>
      <c r="F1740" s="5" t="s">
        <v>91</v>
      </c>
      <c r="G1740" s="5" t="s">
        <v>425</v>
      </c>
      <c r="H1740" s="5" t="s">
        <v>1633</v>
      </c>
    </row>
    <row r="1741" spans="5:8" x14ac:dyDescent="0.3">
      <c r="E1741" s="5" t="s">
        <v>1584</v>
      </c>
      <c r="F1741" s="5" t="s">
        <v>91</v>
      </c>
      <c r="G1741" s="5" t="s">
        <v>427</v>
      </c>
      <c r="H1741" s="5" t="s">
        <v>1634</v>
      </c>
    </row>
    <row r="1742" spans="5:8" x14ac:dyDescent="0.3">
      <c r="E1742" s="5" t="s">
        <v>1584</v>
      </c>
      <c r="F1742" s="5" t="s">
        <v>91</v>
      </c>
      <c r="G1742" s="5" t="s">
        <v>429</v>
      </c>
      <c r="H1742" s="5" t="s">
        <v>406</v>
      </c>
    </row>
    <row r="1743" spans="5:8" x14ac:dyDescent="0.3">
      <c r="E1743" s="5" t="s">
        <v>1584</v>
      </c>
      <c r="F1743" s="5" t="s">
        <v>91</v>
      </c>
      <c r="G1743" s="5" t="s">
        <v>664</v>
      </c>
      <c r="H1743" s="5" t="s">
        <v>271</v>
      </c>
    </row>
    <row r="1744" spans="5:8" x14ac:dyDescent="0.3">
      <c r="E1744" s="5" t="s">
        <v>1584</v>
      </c>
      <c r="F1744" s="5" t="s">
        <v>91</v>
      </c>
      <c r="G1744" s="5" t="s">
        <v>665</v>
      </c>
      <c r="H1744" s="5" t="s">
        <v>731</v>
      </c>
    </row>
    <row r="1745" spans="5:8" x14ac:dyDescent="0.3">
      <c r="E1745" s="5" t="s">
        <v>1584</v>
      </c>
      <c r="F1745" s="5" t="s">
        <v>91</v>
      </c>
      <c r="G1745" s="5" t="s">
        <v>666</v>
      </c>
      <c r="H1745" s="5" t="s">
        <v>1635</v>
      </c>
    </row>
    <row r="1746" spans="5:8" x14ac:dyDescent="0.3">
      <c r="E1746" s="5" t="s">
        <v>1584</v>
      </c>
      <c r="F1746" s="5" t="s">
        <v>91</v>
      </c>
      <c r="G1746" s="5" t="s">
        <v>668</v>
      </c>
      <c r="H1746" s="5" t="s">
        <v>1511</v>
      </c>
    </row>
    <row r="1747" spans="5:8" x14ac:dyDescent="0.3">
      <c r="E1747" s="5" t="s">
        <v>1584</v>
      </c>
      <c r="F1747" s="5" t="s">
        <v>91</v>
      </c>
      <c r="G1747" s="5" t="s">
        <v>669</v>
      </c>
      <c r="H1747" s="5" t="s">
        <v>1099</v>
      </c>
    </row>
    <row r="1748" spans="5:8" x14ac:dyDescent="0.3">
      <c r="E1748" s="5" t="s">
        <v>1584</v>
      </c>
      <c r="F1748" s="5" t="s">
        <v>91</v>
      </c>
      <c r="G1748" s="5" t="s">
        <v>671</v>
      </c>
      <c r="H1748" s="5" t="s">
        <v>1636</v>
      </c>
    </row>
    <row r="1749" spans="5:8" x14ac:dyDescent="0.3">
      <c r="E1749" s="5" t="s">
        <v>1584</v>
      </c>
      <c r="F1749" s="5" t="s">
        <v>91</v>
      </c>
      <c r="G1749" s="5" t="s">
        <v>673</v>
      </c>
      <c r="H1749" s="5" t="s">
        <v>1637</v>
      </c>
    </row>
    <row r="1750" spans="5:8" x14ac:dyDescent="0.3">
      <c r="E1750" s="5" t="s">
        <v>1584</v>
      </c>
      <c r="F1750" s="5" t="s">
        <v>91</v>
      </c>
      <c r="G1750" s="5" t="s">
        <v>674</v>
      </c>
      <c r="H1750" s="5" t="s">
        <v>1408</v>
      </c>
    </row>
    <row r="1751" spans="5:8" x14ac:dyDescent="0.3">
      <c r="E1751" s="5" t="s">
        <v>1584</v>
      </c>
      <c r="F1751" s="5" t="s">
        <v>91</v>
      </c>
      <c r="G1751" s="5" t="s">
        <v>676</v>
      </c>
      <c r="H1751" s="5" t="s">
        <v>1638</v>
      </c>
    </row>
    <row r="1752" spans="5:8" x14ac:dyDescent="0.3">
      <c r="E1752" s="5" t="s">
        <v>1584</v>
      </c>
      <c r="F1752" s="5" t="s">
        <v>91</v>
      </c>
      <c r="G1752" s="5" t="s">
        <v>677</v>
      </c>
      <c r="H1752" s="5" t="s">
        <v>1639</v>
      </c>
    </row>
    <row r="1753" spans="5:8" x14ac:dyDescent="0.3">
      <c r="E1753" s="5" t="s">
        <v>1584</v>
      </c>
      <c r="F1753" s="5" t="s">
        <v>91</v>
      </c>
      <c r="G1753" s="5" t="s">
        <v>679</v>
      </c>
      <c r="H1753" s="5" t="s">
        <v>1640</v>
      </c>
    </row>
    <row r="1754" spans="5:8" x14ac:dyDescent="0.3">
      <c r="E1754" s="5" t="s">
        <v>1584</v>
      </c>
      <c r="F1754" s="5" t="s">
        <v>91</v>
      </c>
      <c r="G1754" s="5" t="s">
        <v>680</v>
      </c>
      <c r="H1754" s="5" t="s">
        <v>1641</v>
      </c>
    </row>
    <row r="1755" spans="5:8" x14ac:dyDescent="0.3">
      <c r="E1755" s="5" t="s">
        <v>1584</v>
      </c>
      <c r="F1755" s="5" t="s">
        <v>91</v>
      </c>
      <c r="G1755" s="5" t="s">
        <v>682</v>
      </c>
      <c r="H1755" s="5" t="s">
        <v>1642</v>
      </c>
    </row>
    <row r="1756" spans="5:8" x14ac:dyDescent="0.3">
      <c r="E1756" s="5" t="s">
        <v>1584</v>
      </c>
      <c r="F1756" s="5" t="s">
        <v>91</v>
      </c>
      <c r="G1756" s="5" t="s">
        <v>684</v>
      </c>
      <c r="H1756" s="5" t="s">
        <v>1643</v>
      </c>
    </row>
    <row r="1757" spans="5:8" x14ac:dyDescent="0.3">
      <c r="E1757" s="5" t="s">
        <v>1584</v>
      </c>
      <c r="F1757" s="5" t="s">
        <v>91</v>
      </c>
      <c r="G1757" s="5" t="s">
        <v>685</v>
      </c>
      <c r="H1757" s="5" t="s">
        <v>421</v>
      </c>
    </row>
    <row r="1758" spans="5:8" x14ac:dyDescent="0.3">
      <c r="E1758" s="5" t="s">
        <v>1584</v>
      </c>
      <c r="F1758" s="5" t="s">
        <v>91</v>
      </c>
      <c r="G1758" s="5" t="s">
        <v>686</v>
      </c>
      <c r="H1758" s="5" t="s">
        <v>1644</v>
      </c>
    </row>
    <row r="1759" spans="5:8" x14ac:dyDescent="0.3">
      <c r="E1759" s="5" t="s">
        <v>1584</v>
      </c>
      <c r="F1759" s="5" t="s">
        <v>91</v>
      </c>
      <c r="G1759" s="5" t="s">
        <v>687</v>
      </c>
      <c r="H1759" s="5" t="s">
        <v>1645</v>
      </c>
    </row>
    <row r="1760" spans="5:8" x14ac:dyDescent="0.3">
      <c r="E1760" s="5" t="s">
        <v>1584</v>
      </c>
      <c r="F1760" s="5" t="s">
        <v>91</v>
      </c>
      <c r="G1760" s="5" t="s">
        <v>326</v>
      </c>
      <c r="H1760" s="5" t="s">
        <v>779</v>
      </c>
    </row>
    <row r="1761" spans="5:8" x14ac:dyDescent="0.3">
      <c r="E1761" s="5" t="s">
        <v>1584</v>
      </c>
      <c r="F1761" s="5" t="s">
        <v>91</v>
      </c>
      <c r="G1761" s="5" t="s">
        <v>689</v>
      </c>
      <c r="H1761" s="5" t="s">
        <v>289</v>
      </c>
    </row>
    <row r="1762" spans="5:8" x14ac:dyDescent="0.3">
      <c r="E1762" s="5" t="s">
        <v>1584</v>
      </c>
      <c r="F1762" s="5" t="s">
        <v>91</v>
      </c>
      <c r="G1762" s="5" t="s">
        <v>691</v>
      </c>
      <c r="H1762" s="5" t="s">
        <v>1646</v>
      </c>
    </row>
    <row r="1763" spans="5:8" x14ac:dyDescent="0.3">
      <c r="E1763" s="5" t="s">
        <v>1584</v>
      </c>
      <c r="F1763" s="5" t="s">
        <v>91</v>
      </c>
      <c r="G1763" s="5" t="s">
        <v>693</v>
      </c>
      <c r="H1763" s="5" t="s">
        <v>782</v>
      </c>
    </row>
    <row r="1764" spans="5:8" x14ac:dyDescent="0.3">
      <c r="E1764" s="5" t="s">
        <v>1584</v>
      </c>
      <c r="F1764" s="5" t="s">
        <v>91</v>
      </c>
      <c r="G1764" s="5" t="s">
        <v>695</v>
      </c>
      <c r="H1764" s="5" t="s">
        <v>792</v>
      </c>
    </row>
    <row r="1765" spans="5:8" x14ac:dyDescent="0.3">
      <c r="E1765" s="5" t="s">
        <v>1584</v>
      </c>
      <c r="F1765" s="5" t="s">
        <v>91</v>
      </c>
      <c r="G1765" s="5" t="s">
        <v>330</v>
      </c>
      <c r="H1765" s="5" t="s">
        <v>1046</v>
      </c>
    </row>
    <row r="1766" spans="5:8" x14ac:dyDescent="0.3">
      <c r="E1766" s="5" t="s">
        <v>1584</v>
      </c>
      <c r="F1766" s="5" t="s">
        <v>91</v>
      </c>
      <c r="G1766" s="5" t="s">
        <v>696</v>
      </c>
      <c r="H1766" s="5" t="s">
        <v>1647</v>
      </c>
    </row>
    <row r="1767" spans="5:8" x14ac:dyDescent="0.3">
      <c r="E1767" s="5" t="s">
        <v>1584</v>
      </c>
      <c r="F1767" s="5" t="s">
        <v>91</v>
      </c>
      <c r="G1767" s="5" t="s">
        <v>697</v>
      </c>
      <c r="H1767" s="5" t="s">
        <v>1648</v>
      </c>
    </row>
    <row r="1768" spans="5:8" x14ac:dyDescent="0.3">
      <c r="E1768" s="5" t="s">
        <v>1649</v>
      </c>
      <c r="F1768" s="5" t="s">
        <v>93</v>
      </c>
      <c r="G1768" s="5" t="s">
        <v>160</v>
      </c>
      <c r="H1768" s="5" t="s">
        <v>487</v>
      </c>
    </row>
    <row r="1769" spans="5:8" x14ac:dyDescent="0.3">
      <c r="E1769" s="5" t="s">
        <v>1649</v>
      </c>
      <c r="F1769" s="5" t="s">
        <v>93</v>
      </c>
      <c r="G1769" s="5" t="s">
        <v>162</v>
      </c>
      <c r="H1769" s="5" t="s">
        <v>1650</v>
      </c>
    </row>
    <row r="1770" spans="5:8" x14ac:dyDescent="0.3">
      <c r="E1770" s="5" t="s">
        <v>1649</v>
      </c>
      <c r="F1770" s="5" t="s">
        <v>93</v>
      </c>
      <c r="G1770" s="5" t="s">
        <v>164</v>
      </c>
      <c r="H1770" s="5" t="s">
        <v>1651</v>
      </c>
    </row>
    <row r="1771" spans="5:8" x14ac:dyDescent="0.3">
      <c r="E1771" s="5" t="s">
        <v>1649</v>
      </c>
      <c r="F1771" s="5" t="s">
        <v>93</v>
      </c>
      <c r="G1771" s="5" t="s">
        <v>166</v>
      </c>
      <c r="H1771" s="5" t="s">
        <v>1652</v>
      </c>
    </row>
    <row r="1772" spans="5:8" x14ac:dyDescent="0.3">
      <c r="E1772" s="5" t="s">
        <v>1649</v>
      </c>
      <c r="F1772" s="5" t="s">
        <v>93</v>
      </c>
      <c r="G1772" s="5" t="s">
        <v>168</v>
      </c>
      <c r="H1772" s="5" t="s">
        <v>1653</v>
      </c>
    </row>
    <row r="1773" spans="5:8" x14ac:dyDescent="0.3">
      <c r="E1773" s="5" t="s">
        <v>1649</v>
      </c>
      <c r="F1773" s="5" t="s">
        <v>93</v>
      </c>
      <c r="G1773" s="5" t="s">
        <v>170</v>
      </c>
      <c r="H1773" s="5" t="s">
        <v>1654</v>
      </c>
    </row>
    <row r="1774" spans="5:8" x14ac:dyDescent="0.3">
      <c r="E1774" s="5" t="s">
        <v>1649</v>
      </c>
      <c r="F1774" s="5" t="s">
        <v>93</v>
      </c>
      <c r="G1774" s="5" t="s">
        <v>172</v>
      </c>
      <c r="H1774" s="5" t="s">
        <v>621</v>
      </c>
    </row>
    <row r="1775" spans="5:8" x14ac:dyDescent="0.3">
      <c r="E1775" s="5" t="s">
        <v>1649</v>
      </c>
      <c r="F1775" s="5" t="s">
        <v>93</v>
      </c>
      <c r="G1775" s="5" t="s">
        <v>174</v>
      </c>
      <c r="H1775" s="5" t="s">
        <v>1655</v>
      </c>
    </row>
    <row r="1776" spans="5:8" x14ac:dyDescent="0.3">
      <c r="E1776" s="5" t="s">
        <v>1649</v>
      </c>
      <c r="F1776" s="5" t="s">
        <v>93</v>
      </c>
      <c r="G1776" s="5" t="s">
        <v>176</v>
      </c>
      <c r="H1776" s="5" t="s">
        <v>842</v>
      </c>
    </row>
    <row r="1777" spans="5:8" x14ac:dyDescent="0.3">
      <c r="E1777" s="5" t="s">
        <v>1649</v>
      </c>
      <c r="F1777" s="5" t="s">
        <v>93</v>
      </c>
      <c r="G1777" s="5" t="s">
        <v>178</v>
      </c>
      <c r="H1777" s="5" t="s">
        <v>1656</v>
      </c>
    </row>
    <row r="1778" spans="5:8" x14ac:dyDescent="0.3">
      <c r="E1778" s="5" t="s">
        <v>1649</v>
      </c>
      <c r="F1778" s="5" t="s">
        <v>93</v>
      </c>
      <c r="G1778" s="5" t="s">
        <v>180</v>
      </c>
      <c r="H1778" s="5" t="s">
        <v>1657</v>
      </c>
    </row>
    <row r="1779" spans="5:8" x14ac:dyDescent="0.3">
      <c r="E1779" s="5" t="s">
        <v>1649</v>
      </c>
      <c r="F1779" s="5" t="s">
        <v>93</v>
      </c>
      <c r="G1779" s="5" t="s">
        <v>182</v>
      </c>
      <c r="H1779" s="5" t="s">
        <v>1658</v>
      </c>
    </row>
    <row r="1780" spans="5:8" x14ac:dyDescent="0.3">
      <c r="E1780" s="5" t="s">
        <v>1649</v>
      </c>
      <c r="F1780" s="5" t="s">
        <v>93</v>
      </c>
      <c r="G1780" s="5" t="s">
        <v>184</v>
      </c>
      <c r="H1780" s="5" t="s">
        <v>1659</v>
      </c>
    </row>
    <row r="1781" spans="5:8" x14ac:dyDescent="0.3">
      <c r="E1781" s="5" t="s">
        <v>1649</v>
      </c>
      <c r="F1781" s="5" t="s">
        <v>93</v>
      </c>
      <c r="G1781" s="5" t="s">
        <v>186</v>
      </c>
      <c r="H1781" s="5" t="s">
        <v>1534</v>
      </c>
    </row>
    <row r="1782" spans="5:8" x14ac:dyDescent="0.3">
      <c r="E1782" s="5" t="s">
        <v>1649</v>
      </c>
      <c r="F1782" s="5" t="s">
        <v>93</v>
      </c>
      <c r="G1782" s="5" t="s">
        <v>188</v>
      </c>
      <c r="H1782" s="5" t="s">
        <v>1660</v>
      </c>
    </row>
    <row r="1783" spans="5:8" x14ac:dyDescent="0.3">
      <c r="E1783" s="5" t="s">
        <v>1649</v>
      </c>
      <c r="F1783" s="5" t="s">
        <v>93</v>
      </c>
      <c r="G1783" s="5" t="s">
        <v>190</v>
      </c>
      <c r="H1783" s="5" t="s">
        <v>1661</v>
      </c>
    </row>
    <row r="1784" spans="5:8" x14ac:dyDescent="0.3">
      <c r="E1784" s="5" t="s">
        <v>1649</v>
      </c>
      <c r="F1784" s="5" t="s">
        <v>93</v>
      </c>
      <c r="G1784" s="5" t="s">
        <v>192</v>
      </c>
      <c r="H1784" s="5" t="s">
        <v>1428</v>
      </c>
    </row>
    <row r="1785" spans="5:8" x14ac:dyDescent="0.3">
      <c r="E1785" s="5" t="s">
        <v>1649</v>
      </c>
      <c r="F1785" s="5" t="s">
        <v>93</v>
      </c>
      <c r="G1785" s="5" t="s">
        <v>194</v>
      </c>
      <c r="H1785" s="5" t="s">
        <v>1662</v>
      </c>
    </row>
    <row r="1786" spans="5:8" x14ac:dyDescent="0.3">
      <c r="E1786" s="5" t="s">
        <v>1649</v>
      </c>
      <c r="F1786" s="5" t="s">
        <v>93</v>
      </c>
      <c r="G1786" s="5" t="s">
        <v>196</v>
      </c>
      <c r="H1786" s="5" t="s">
        <v>387</v>
      </c>
    </row>
    <row r="1787" spans="5:8" x14ac:dyDescent="0.3">
      <c r="E1787" s="5" t="s">
        <v>1649</v>
      </c>
      <c r="F1787" s="5" t="s">
        <v>93</v>
      </c>
      <c r="G1787" s="5" t="s">
        <v>198</v>
      </c>
      <c r="H1787" s="5" t="s">
        <v>1663</v>
      </c>
    </row>
    <row r="1788" spans="5:8" x14ac:dyDescent="0.3">
      <c r="E1788" s="5" t="s">
        <v>1649</v>
      </c>
      <c r="F1788" s="5" t="s">
        <v>93</v>
      </c>
      <c r="G1788" s="5" t="s">
        <v>200</v>
      </c>
      <c r="H1788" s="5" t="s">
        <v>1664</v>
      </c>
    </row>
    <row r="1789" spans="5:8" x14ac:dyDescent="0.3">
      <c r="E1789" s="5" t="s">
        <v>1649</v>
      </c>
      <c r="F1789" s="5" t="s">
        <v>93</v>
      </c>
      <c r="G1789" s="5" t="s">
        <v>202</v>
      </c>
      <c r="H1789" s="5" t="s">
        <v>1665</v>
      </c>
    </row>
    <row r="1790" spans="5:8" x14ac:dyDescent="0.3">
      <c r="E1790" s="5" t="s">
        <v>1649</v>
      </c>
      <c r="F1790" s="5" t="s">
        <v>93</v>
      </c>
      <c r="G1790" s="5" t="s">
        <v>204</v>
      </c>
      <c r="H1790" s="5" t="s">
        <v>1666</v>
      </c>
    </row>
    <row r="1791" spans="5:8" x14ac:dyDescent="0.3">
      <c r="E1791" s="5" t="s">
        <v>1649</v>
      </c>
      <c r="F1791" s="5" t="s">
        <v>93</v>
      </c>
      <c r="G1791" s="5" t="s">
        <v>206</v>
      </c>
      <c r="H1791" s="5" t="s">
        <v>397</v>
      </c>
    </row>
    <row r="1792" spans="5:8" x14ac:dyDescent="0.3">
      <c r="E1792" s="5" t="s">
        <v>1649</v>
      </c>
      <c r="F1792" s="5" t="s">
        <v>93</v>
      </c>
      <c r="G1792" s="5" t="s">
        <v>208</v>
      </c>
      <c r="H1792" s="5" t="s">
        <v>867</v>
      </c>
    </row>
    <row r="1793" spans="5:8" x14ac:dyDescent="0.3">
      <c r="E1793" s="5" t="s">
        <v>1649</v>
      </c>
      <c r="F1793" s="5" t="s">
        <v>93</v>
      </c>
      <c r="G1793" s="5" t="s">
        <v>210</v>
      </c>
      <c r="H1793" s="5" t="s">
        <v>694</v>
      </c>
    </row>
    <row r="1794" spans="5:8" x14ac:dyDescent="0.3">
      <c r="E1794" s="5" t="s">
        <v>1649</v>
      </c>
      <c r="F1794" s="5" t="s">
        <v>93</v>
      </c>
      <c r="G1794" s="5" t="s">
        <v>212</v>
      </c>
      <c r="H1794" s="5" t="s">
        <v>1667</v>
      </c>
    </row>
    <row r="1795" spans="5:8" x14ac:dyDescent="0.3">
      <c r="E1795" s="5" t="s">
        <v>1649</v>
      </c>
      <c r="F1795" s="5" t="s">
        <v>93</v>
      </c>
      <c r="G1795" s="5" t="s">
        <v>214</v>
      </c>
      <c r="H1795" s="5" t="s">
        <v>868</v>
      </c>
    </row>
    <row r="1796" spans="5:8" x14ac:dyDescent="0.3">
      <c r="E1796" s="5" t="s">
        <v>1649</v>
      </c>
      <c r="F1796" s="5" t="s">
        <v>93</v>
      </c>
      <c r="G1796" s="5" t="s">
        <v>216</v>
      </c>
      <c r="H1796" s="5" t="s">
        <v>873</v>
      </c>
    </row>
    <row r="1797" spans="5:8" x14ac:dyDescent="0.3">
      <c r="E1797" s="5" t="s">
        <v>1649</v>
      </c>
      <c r="F1797" s="5" t="s">
        <v>93</v>
      </c>
      <c r="G1797" s="5" t="s">
        <v>218</v>
      </c>
      <c r="H1797" s="5" t="s">
        <v>1016</v>
      </c>
    </row>
    <row r="1798" spans="5:8" x14ac:dyDescent="0.3">
      <c r="E1798" s="5" t="s">
        <v>1649</v>
      </c>
      <c r="F1798" s="5" t="s">
        <v>93</v>
      </c>
      <c r="G1798" s="5" t="s">
        <v>220</v>
      </c>
      <c r="H1798" s="5" t="s">
        <v>1668</v>
      </c>
    </row>
    <row r="1799" spans="5:8" x14ac:dyDescent="0.3">
      <c r="E1799" s="5" t="s">
        <v>1649</v>
      </c>
      <c r="F1799" s="5" t="s">
        <v>93</v>
      </c>
      <c r="G1799" s="5" t="s">
        <v>222</v>
      </c>
      <c r="H1799" s="5" t="s">
        <v>1091</v>
      </c>
    </row>
    <row r="1800" spans="5:8" x14ac:dyDescent="0.3">
      <c r="E1800" s="5" t="s">
        <v>1649</v>
      </c>
      <c r="F1800" s="5" t="s">
        <v>93</v>
      </c>
      <c r="G1800" s="5" t="s">
        <v>224</v>
      </c>
      <c r="H1800" s="5" t="s">
        <v>1669</v>
      </c>
    </row>
    <row r="1801" spans="5:8" x14ac:dyDescent="0.3">
      <c r="E1801" s="5" t="s">
        <v>1649</v>
      </c>
      <c r="F1801" s="5" t="s">
        <v>93</v>
      </c>
      <c r="G1801" s="5" t="s">
        <v>226</v>
      </c>
      <c r="H1801" s="5" t="s">
        <v>1670</v>
      </c>
    </row>
    <row r="1802" spans="5:8" x14ac:dyDescent="0.3">
      <c r="E1802" s="5" t="s">
        <v>1649</v>
      </c>
      <c r="F1802" s="5" t="s">
        <v>93</v>
      </c>
      <c r="G1802" s="5" t="s">
        <v>228</v>
      </c>
      <c r="H1802" s="5" t="s">
        <v>720</v>
      </c>
    </row>
    <row r="1803" spans="5:8" x14ac:dyDescent="0.3">
      <c r="E1803" s="5" t="s">
        <v>1649</v>
      </c>
      <c r="F1803" s="5" t="s">
        <v>93</v>
      </c>
      <c r="G1803" s="5" t="s">
        <v>230</v>
      </c>
      <c r="H1803" s="5" t="s">
        <v>1315</v>
      </c>
    </row>
    <row r="1804" spans="5:8" x14ac:dyDescent="0.3">
      <c r="E1804" s="5" t="s">
        <v>1649</v>
      </c>
      <c r="F1804" s="5" t="s">
        <v>93</v>
      </c>
      <c r="G1804" s="5" t="s">
        <v>232</v>
      </c>
      <c r="H1804" s="5" t="s">
        <v>1671</v>
      </c>
    </row>
    <row r="1805" spans="5:8" x14ac:dyDescent="0.3">
      <c r="E1805" s="5" t="s">
        <v>1649</v>
      </c>
      <c r="F1805" s="5" t="s">
        <v>93</v>
      </c>
      <c r="G1805" s="5" t="s">
        <v>234</v>
      </c>
      <c r="H1805" s="5" t="s">
        <v>1318</v>
      </c>
    </row>
    <row r="1806" spans="5:8" x14ac:dyDescent="0.3">
      <c r="E1806" s="5" t="s">
        <v>1649</v>
      </c>
      <c r="F1806" s="5" t="s">
        <v>93</v>
      </c>
      <c r="G1806" s="5" t="s">
        <v>236</v>
      </c>
      <c r="H1806" s="5" t="s">
        <v>878</v>
      </c>
    </row>
    <row r="1807" spans="5:8" x14ac:dyDescent="0.3">
      <c r="E1807" s="5" t="s">
        <v>1649</v>
      </c>
      <c r="F1807" s="5" t="s">
        <v>93</v>
      </c>
      <c r="G1807" s="5" t="s">
        <v>238</v>
      </c>
      <c r="H1807" s="5" t="s">
        <v>1672</v>
      </c>
    </row>
    <row r="1808" spans="5:8" x14ac:dyDescent="0.3">
      <c r="E1808" s="5" t="s">
        <v>1649</v>
      </c>
      <c r="F1808" s="5" t="s">
        <v>93</v>
      </c>
      <c r="G1808" s="5" t="s">
        <v>240</v>
      </c>
      <c r="H1808" s="5" t="s">
        <v>1673</v>
      </c>
    </row>
    <row r="1809" spans="5:8" x14ac:dyDescent="0.3">
      <c r="E1809" s="5" t="s">
        <v>1649</v>
      </c>
      <c r="F1809" s="5" t="s">
        <v>93</v>
      </c>
      <c r="G1809" s="5" t="s">
        <v>242</v>
      </c>
      <c r="H1809" s="5" t="s">
        <v>1035</v>
      </c>
    </row>
    <row r="1810" spans="5:8" x14ac:dyDescent="0.3">
      <c r="E1810" s="5" t="s">
        <v>1649</v>
      </c>
      <c r="F1810" s="5" t="s">
        <v>93</v>
      </c>
      <c r="G1810" s="5" t="s">
        <v>244</v>
      </c>
      <c r="H1810" s="5" t="s">
        <v>974</v>
      </c>
    </row>
    <row r="1811" spans="5:8" x14ac:dyDescent="0.3">
      <c r="E1811" s="5" t="s">
        <v>1649</v>
      </c>
      <c r="F1811" s="5" t="s">
        <v>93</v>
      </c>
      <c r="G1811" s="5" t="s">
        <v>246</v>
      </c>
      <c r="H1811" s="5" t="s">
        <v>1674</v>
      </c>
    </row>
    <row r="1812" spans="5:8" x14ac:dyDescent="0.3">
      <c r="E1812" s="5" t="s">
        <v>1649</v>
      </c>
      <c r="F1812" s="5" t="s">
        <v>93</v>
      </c>
      <c r="G1812" s="5" t="s">
        <v>248</v>
      </c>
      <c r="H1812" s="5" t="s">
        <v>882</v>
      </c>
    </row>
    <row r="1813" spans="5:8" x14ac:dyDescent="0.3">
      <c r="E1813" s="5" t="s">
        <v>1649</v>
      </c>
      <c r="F1813" s="5" t="s">
        <v>93</v>
      </c>
      <c r="G1813" s="5" t="s">
        <v>250</v>
      </c>
      <c r="H1813" s="5" t="s">
        <v>1325</v>
      </c>
    </row>
    <row r="1814" spans="5:8" x14ac:dyDescent="0.3">
      <c r="E1814" s="5" t="s">
        <v>1649</v>
      </c>
      <c r="F1814" s="5" t="s">
        <v>93</v>
      </c>
      <c r="G1814" s="5" t="s">
        <v>252</v>
      </c>
      <c r="H1814" s="5" t="s">
        <v>1675</v>
      </c>
    </row>
    <row r="1815" spans="5:8" x14ac:dyDescent="0.3">
      <c r="E1815" s="5" t="s">
        <v>1649</v>
      </c>
      <c r="F1815" s="5" t="s">
        <v>93</v>
      </c>
      <c r="G1815" s="5" t="s">
        <v>254</v>
      </c>
      <c r="H1815" s="5" t="s">
        <v>1676</v>
      </c>
    </row>
    <row r="1816" spans="5:8" x14ac:dyDescent="0.3">
      <c r="E1816" s="5" t="s">
        <v>1649</v>
      </c>
      <c r="F1816" s="5" t="s">
        <v>93</v>
      </c>
      <c r="G1816" s="5" t="s">
        <v>256</v>
      </c>
      <c r="H1816" s="5" t="s">
        <v>1677</v>
      </c>
    </row>
    <row r="1817" spans="5:8" x14ac:dyDescent="0.3">
      <c r="E1817" s="5" t="s">
        <v>1649</v>
      </c>
      <c r="F1817" s="5" t="s">
        <v>93</v>
      </c>
      <c r="G1817" s="5" t="s">
        <v>258</v>
      </c>
      <c r="H1817" s="5" t="s">
        <v>1678</v>
      </c>
    </row>
    <row r="1818" spans="5:8" x14ac:dyDescent="0.3">
      <c r="E1818" s="5" t="s">
        <v>1649</v>
      </c>
      <c r="F1818" s="5" t="s">
        <v>93</v>
      </c>
      <c r="G1818" s="5" t="s">
        <v>260</v>
      </c>
      <c r="H1818" s="5" t="s">
        <v>1679</v>
      </c>
    </row>
    <row r="1819" spans="5:8" x14ac:dyDescent="0.3">
      <c r="E1819" s="5" t="s">
        <v>1649</v>
      </c>
      <c r="F1819" s="5" t="s">
        <v>93</v>
      </c>
      <c r="G1819" s="5" t="s">
        <v>262</v>
      </c>
      <c r="H1819" s="5" t="s">
        <v>933</v>
      </c>
    </row>
    <row r="1820" spans="5:8" x14ac:dyDescent="0.3">
      <c r="E1820" s="5" t="s">
        <v>1649</v>
      </c>
      <c r="F1820" s="5" t="s">
        <v>93</v>
      </c>
      <c r="G1820" s="5" t="s">
        <v>264</v>
      </c>
      <c r="H1820" s="5" t="s">
        <v>1680</v>
      </c>
    </row>
    <row r="1821" spans="5:8" x14ac:dyDescent="0.3">
      <c r="E1821" s="5" t="s">
        <v>1452</v>
      </c>
      <c r="F1821" s="5" t="s">
        <v>79</v>
      </c>
      <c r="G1821" s="5" t="s">
        <v>160</v>
      </c>
      <c r="H1821" s="5" t="s">
        <v>487</v>
      </c>
    </row>
    <row r="1822" spans="5:8" x14ac:dyDescent="0.3">
      <c r="E1822" s="5" t="s">
        <v>1452</v>
      </c>
      <c r="F1822" s="5" t="s">
        <v>79</v>
      </c>
      <c r="G1822" s="5" t="s">
        <v>162</v>
      </c>
      <c r="H1822" s="5" t="s">
        <v>1453</v>
      </c>
    </row>
    <row r="1823" spans="5:8" x14ac:dyDescent="0.3">
      <c r="E1823" s="5" t="s">
        <v>1452</v>
      </c>
      <c r="F1823" s="5" t="s">
        <v>79</v>
      </c>
      <c r="G1823" s="5" t="s">
        <v>164</v>
      </c>
      <c r="H1823" s="5" t="s">
        <v>1454</v>
      </c>
    </row>
    <row r="1824" spans="5:8" x14ac:dyDescent="0.3">
      <c r="E1824" s="5" t="s">
        <v>1452</v>
      </c>
      <c r="F1824" s="5" t="s">
        <v>79</v>
      </c>
      <c r="G1824" s="5" t="s">
        <v>166</v>
      </c>
      <c r="H1824" s="5" t="s">
        <v>1455</v>
      </c>
    </row>
    <row r="1825" spans="5:8" x14ac:dyDescent="0.3">
      <c r="E1825" s="5" t="s">
        <v>1452</v>
      </c>
      <c r="F1825" s="5" t="s">
        <v>79</v>
      </c>
      <c r="G1825" s="5" t="s">
        <v>168</v>
      </c>
      <c r="H1825" s="5" t="s">
        <v>809</v>
      </c>
    </row>
    <row r="1826" spans="5:8" x14ac:dyDescent="0.3">
      <c r="E1826" s="5" t="s">
        <v>1452</v>
      </c>
      <c r="F1826" s="5" t="s">
        <v>79</v>
      </c>
      <c r="G1826" s="5" t="s">
        <v>170</v>
      </c>
      <c r="H1826" s="5" t="s">
        <v>370</v>
      </c>
    </row>
    <row r="1827" spans="5:8" x14ac:dyDescent="0.3">
      <c r="E1827" s="5" t="s">
        <v>1452</v>
      </c>
      <c r="F1827" s="5" t="s">
        <v>79</v>
      </c>
      <c r="G1827" s="5" t="s">
        <v>172</v>
      </c>
      <c r="H1827" s="5" t="s">
        <v>1456</v>
      </c>
    </row>
    <row r="1828" spans="5:8" x14ac:dyDescent="0.3">
      <c r="E1828" s="5" t="s">
        <v>1452</v>
      </c>
      <c r="F1828" s="5" t="s">
        <v>79</v>
      </c>
      <c r="G1828" s="5" t="s">
        <v>174</v>
      </c>
      <c r="H1828" s="5" t="s">
        <v>1054</v>
      </c>
    </row>
    <row r="1829" spans="5:8" x14ac:dyDescent="0.3">
      <c r="E1829" s="5" t="s">
        <v>1452</v>
      </c>
      <c r="F1829" s="5" t="s">
        <v>79</v>
      </c>
      <c r="G1829" s="5" t="s">
        <v>176</v>
      </c>
      <c r="H1829" s="5" t="s">
        <v>840</v>
      </c>
    </row>
    <row r="1830" spans="5:8" x14ac:dyDescent="0.3">
      <c r="E1830" s="5" t="s">
        <v>1452</v>
      </c>
      <c r="F1830" s="5" t="s">
        <v>79</v>
      </c>
      <c r="G1830" s="5" t="s">
        <v>178</v>
      </c>
      <c r="H1830" s="5" t="s">
        <v>1457</v>
      </c>
    </row>
    <row r="1831" spans="5:8" x14ac:dyDescent="0.3">
      <c r="E1831" s="5" t="s">
        <v>1452</v>
      </c>
      <c r="F1831" s="5" t="s">
        <v>79</v>
      </c>
      <c r="G1831" s="5" t="s">
        <v>180</v>
      </c>
      <c r="H1831" s="5" t="s">
        <v>1458</v>
      </c>
    </row>
    <row r="1832" spans="5:8" x14ac:dyDescent="0.3">
      <c r="E1832" s="5" t="s">
        <v>1452</v>
      </c>
      <c r="F1832" s="5" t="s">
        <v>79</v>
      </c>
      <c r="G1832" s="5" t="s">
        <v>182</v>
      </c>
      <c r="H1832" s="5" t="s">
        <v>173</v>
      </c>
    </row>
    <row r="1833" spans="5:8" x14ac:dyDescent="0.3">
      <c r="E1833" s="5" t="s">
        <v>1452</v>
      </c>
      <c r="F1833" s="5" t="s">
        <v>79</v>
      </c>
      <c r="G1833" s="5" t="s">
        <v>184</v>
      </c>
      <c r="H1833" s="5" t="s">
        <v>842</v>
      </c>
    </row>
    <row r="1834" spans="5:8" x14ac:dyDescent="0.3">
      <c r="E1834" s="5" t="s">
        <v>1452</v>
      </c>
      <c r="F1834" s="5" t="s">
        <v>79</v>
      </c>
      <c r="G1834" s="5" t="s">
        <v>186</v>
      </c>
      <c r="H1834" s="5" t="s">
        <v>944</v>
      </c>
    </row>
    <row r="1835" spans="5:8" x14ac:dyDescent="0.3">
      <c r="E1835" s="5" t="s">
        <v>1452</v>
      </c>
      <c r="F1835" s="5" t="s">
        <v>79</v>
      </c>
      <c r="G1835" s="5" t="s">
        <v>188</v>
      </c>
      <c r="H1835" s="5" t="s">
        <v>987</v>
      </c>
    </row>
    <row r="1836" spans="5:8" x14ac:dyDescent="0.3">
      <c r="E1836" s="5" t="s">
        <v>1452</v>
      </c>
      <c r="F1836" s="5" t="s">
        <v>79</v>
      </c>
      <c r="G1836" s="5" t="s">
        <v>190</v>
      </c>
      <c r="H1836" s="5" t="s">
        <v>1459</v>
      </c>
    </row>
    <row r="1837" spans="5:8" x14ac:dyDescent="0.3">
      <c r="E1837" s="5" t="s">
        <v>1452</v>
      </c>
      <c r="F1837" s="5" t="s">
        <v>79</v>
      </c>
      <c r="G1837" s="5" t="s">
        <v>192</v>
      </c>
      <c r="H1837" s="5" t="s">
        <v>497</v>
      </c>
    </row>
    <row r="1838" spans="5:8" x14ac:dyDescent="0.3">
      <c r="E1838" s="5" t="s">
        <v>1452</v>
      </c>
      <c r="F1838" s="5" t="s">
        <v>79</v>
      </c>
      <c r="G1838" s="5" t="s">
        <v>194</v>
      </c>
      <c r="H1838" s="5" t="s">
        <v>187</v>
      </c>
    </row>
    <row r="1839" spans="5:8" x14ac:dyDescent="0.3">
      <c r="E1839" s="5" t="s">
        <v>1452</v>
      </c>
      <c r="F1839" s="5" t="s">
        <v>79</v>
      </c>
      <c r="G1839" s="5" t="s">
        <v>196</v>
      </c>
      <c r="H1839" s="5" t="s">
        <v>1460</v>
      </c>
    </row>
    <row r="1840" spans="5:8" x14ac:dyDescent="0.3">
      <c r="E1840" s="5" t="s">
        <v>1452</v>
      </c>
      <c r="F1840" s="5" t="s">
        <v>79</v>
      </c>
      <c r="G1840" s="5" t="s">
        <v>198</v>
      </c>
      <c r="H1840" s="5" t="s">
        <v>1461</v>
      </c>
    </row>
    <row r="1841" spans="5:8" x14ac:dyDescent="0.3">
      <c r="E1841" s="5" t="s">
        <v>1452</v>
      </c>
      <c r="F1841" s="5" t="s">
        <v>79</v>
      </c>
      <c r="G1841" s="5" t="s">
        <v>200</v>
      </c>
      <c r="H1841" s="5" t="s">
        <v>502</v>
      </c>
    </row>
    <row r="1842" spans="5:8" x14ac:dyDescent="0.3">
      <c r="E1842" s="5" t="s">
        <v>1452</v>
      </c>
      <c r="F1842" s="5" t="s">
        <v>79</v>
      </c>
      <c r="G1842" s="5" t="s">
        <v>202</v>
      </c>
      <c r="H1842" s="5" t="s">
        <v>1285</v>
      </c>
    </row>
    <row r="1843" spans="5:8" x14ac:dyDescent="0.3">
      <c r="E1843" s="5" t="s">
        <v>1452</v>
      </c>
      <c r="F1843" s="5" t="s">
        <v>79</v>
      </c>
      <c r="G1843" s="5" t="s">
        <v>204</v>
      </c>
      <c r="H1843" s="5" t="s">
        <v>1462</v>
      </c>
    </row>
    <row r="1844" spans="5:8" x14ac:dyDescent="0.3">
      <c r="E1844" s="5" t="s">
        <v>1452</v>
      </c>
      <c r="F1844" s="5" t="s">
        <v>79</v>
      </c>
      <c r="G1844" s="5" t="s">
        <v>206</v>
      </c>
      <c r="H1844" s="5" t="s">
        <v>638</v>
      </c>
    </row>
    <row r="1845" spans="5:8" x14ac:dyDescent="0.3">
      <c r="E1845" s="5" t="s">
        <v>1452</v>
      </c>
      <c r="F1845" s="5" t="s">
        <v>79</v>
      </c>
      <c r="G1845" s="5" t="s">
        <v>208</v>
      </c>
      <c r="H1845" s="5" t="s">
        <v>1463</v>
      </c>
    </row>
    <row r="1846" spans="5:8" x14ac:dyDescent="0.3">
      <c r="E1846" s="5" t="s">
        <v>1452</v>
      </c>
      <c r="F1846" s="5" t="s">
        <v>79</v>
      </c>
      <c r="G1846" s="5" t="s">
        <v>210</v>
      </c>
      <c r="H1846" s="5" t="s">
        <v>1464</v>
      </c>
    </row>
    <row r="1847" spans="5:8" x14ac:dyDescent="0.3">
      <c r="E1847" s="5" t="s">
        <v>1452</v>
      </c>
      <c r="F1847" s="5" t="s">
        <v>79</v>
      </c>
      <c r="G1847" s="5" t="s">
        <v>212</v>
      </c>
      <c r="H1847" s="5" t="s">
        <v>640</v>
      </c>
    </row>
    <row r="1848" spans="5:8" x14ac:dyDescent="0.3">
      <c r="E1848" s="5" t="s">
        <v>1452</v>
      </c>
      <c r="F1848" s="5" t="s">
        <v>79</v>
      </c>
      <c r="G1848" s="5" t="s">
        <v>214</v>
      </c>
      <c r="H1848" s="5" t="s">
        <v>506</v>
      </c>
    </row>
    <row r="1849" spans="5:8" x14ac:dyDescent="0.3">
      <c r="E1849" s="5" t="s">
        <v>1452</v>
      </c>
      <c r="F1849" s="5" t="s">
        <v>79</v>
      </c>
      <c r="G1849" s="5" t="s">
        <v>216</v>
      </c>
      <c r="H1849" s="5" t="s">
        <v>1465</v>
      </c>
    </row>
    <row r="1850" spans="5:8" x14ac:dyDescent="0.3">
      <c r="E1850" s="5" t="s">
        <v>1452</v>
      </c>
      <c r="F1850" s="5" t="s">
        <v>79</v>
      </c>
      <c r="G1850" s="5" t="s">
        <v>218</v>
      </c>
      <c r="H1850" s="5" t="s">
        <v>1287</v>
      </c>
    </row>
    <row r="1851" spans="5:8" x14ac:dyDescent="0.3">
      <c r="E1851" s="5" t="s">
        <v>1452</v>
      </c>
      <c r="F1851" s="5" t="s">
        <v>79</v>
      </c>
      <c r="G1851" s="5" t="s">
        <v>220</v>
      </c>
      <c r="H1851" s="5" t="s">
        <v>219</v>
      </c>
    </row>
    <row r="1852" spans="5:8" x14ac:dyDescent="0.3">
      <c r="E1852" s="5" t="s">
        <v>1452</v>
      </c>
      <c r="F1852" s="5" t="s">
        <v>79</v>
      </c>
      <c r="G1852" s="5" t="s">
        <v>222</v>
      </c>
      <c r="H1852" s="5" t="s">
        <v>1466</v>
      </c>
    </row>
    <row r="1853" spans="5:8" x14ac:dyDescent="0.3">
      <c r="E1853" s="5" t="s">
        <v>1452</v>
      </c>
      <c r="F1853" s="5" t="s">
        <v>79</v>
      </c>
      <c r="G1853" s="5" t="s">
        <v>224</v>
      </c>
      <c r="H1853" s="5" t="s">
        <v>1467</v>
      </c>
    </row>
    <row r="1854" spans="5:8" x14ac:dyDescent="0.3">
      <c r="E1854" s="5" t="s">
        <v>1452</v>
      </c>
      <c r="F1854" s="5" t="s">
        <v>79</v>
      </c>
      <c r="G1854" s="5" t="s">
        <v>226</v>
      </c>
      <c r="H1854" s="5" t="s">
        <v>1468</v>
      </c>
    </row>
    <row r="1855" spans="5:8" x14ac:dyDescent="0.3">
      <c r="E1855" s="5" t="s">
        <v>1452</v>
      </c>
      <c r="F1855" s="5" t="s">
        <v>79</v>
      </c>
      <c r="G1855" s="5" t="s">
        <v>228</v>
      </c>
      <c r="H1855" s="5" t="s">
        <v>1469</v>
      </c>
    </row>
    <row r="1856" spans="5:8" x14ac:dyDescent="0.3">
      <c r="E1856" s="5" t="s">
        <v>1452</v>
      </c>
      <c r="F1856" s="5" t="s">
        <v>79</v>
      </c>
      <c r="G1856" s="5" t="s">
        <v>230</v>
      </c>
      <c r="H1856" s="5" t="s">
        <v>511</v>
      </c>
    </row>
    <row r="1857" spans="5:8" x14ac:dyDescent="0.3">
      <c r="E1857" s="5" t="s">
        <v>1452</v>
      </c>
      <c r="F1857" s="5" t="s">
        <v>79</v>
      </c>
      <c r="G1857" s="5" t="s">
        <v>232</v>
      </c>
      <c r="H1857" s="5" t="s">
        <v>1470</v>
      </c>
    </row>
    <row r="1858" spans="5:8" x14ac:dyDescent="0.3">
      <c r="E1858" s="5" t="s">
        <v>1452</v>
      </c>
      <c r="F1858" s="5" t="s">
        <v>79</v>
      </c>
      <c r="G1858" s="5" t="s">
        <v>234</v>
      </c>
      <c r="H1858" s="5" t="s">
        <v>387</v>
      </c>
    </row>
    <row r="1859" spans="5:8" x14ac:dyDescent="0.3">
      <c r="E1859" s="5" t="s">
        <v>1452</v>
      </c>
      <c r="F1859" s="5" t="s">
        <v>79</v>
      </c>
      <c r="G1859" s="5" t="s">
        <v>236</v>
      </c>
      <c r="H1859" s="5" t="s">
        <v>1001</v>
      </c>
    </row>
    <row r="1860" spans="5:8" x14ac:dyDescent="0.3">
      <c r="E1860" s="5" t="s">
        <v>1452</v>
      </c>
      <c r="F1860" s="5" t="s">
        <v>79</v>
      </c>
      <c r="G1860" s="5" t="s">
        <v>238</v>
      </c>
      <c r="H1860" s="5" t="s">
        <v>658</v>
      </c>
    </row>
    <row r="1861" spans="5:8" x14ac:dyDescent="0.3">
      <c r="E1861" s="5" t="s">
        <v>1452</v>
      </c>
      <c r="F1861" s="5" t="s">
        <v>79</v>
      </c>
      <c r="G1861" s="5" t="s">
        <v>240</v>
      </c>
      <c r="H1861" s="5" t="s">
        <v>574</v>
      </c>
    </row>
    <row r="1862" spans="5:8" x14ac:dyDescent="0.3">
      <c r="E1862" s="5" t="s">
        <v>1452</v>
      </c>
      <c r="F1862" s="5" t="s">
        <v>79</v>
      </c>
      <c r="G1862" s="5" t="s">
        <v>242</v>
      </c>
      <c r="H1862" s="5" t="s">
        <v>1075</v>
      </c>
    </row>
    <row r="1863" spans="5:8" x14ac:dyDescent="0.3">
      <c r="E1863" s="5" t="s">
        <v>1452</v>
      </c>
      <c r="F1863" s="5" t="s">
        <v>79</v>
      </c>
      <c r="G1863" s="5" t="s">
        <v>244</v>
      </c>
      <c r="H1863" s="5" t="s">
        <v>1471</v>
      </c>
    </row>
    <row r="1864" spans="5:8" x14ac:dyDescent="0.3">
      <c r="E1864" s="5" t="s">
        <v>1452</v>
      </c>
      <c r="F1864" s="5" t="s">
        <v>79</v>
      </c>
      <c r="G1864" s="5" t="s">
        <v>246</v>
      </c>
      <c r="H1864" s="5" t="s">
        <v>1472</v>
      </c>
    </row>
    <row r="1865" spans="5:8" x14ac:dyDescent="0.3">
      <c r="E1865" s="5" t="s">
        <v>1452</v>
      </c>
      <c r="F1865" s="5" t="s">
        <v>79</v>
      </c>
      <c r="G1865" s="5" t="s">
        <v>248</v>
      </c>
      <c r="H1865" s="5" t="s">
        <v>1387</v>
      </c>
    </row>
    <row r="1866" spans="5:8" x14ac:dyDescent="0.3">
      <c r="E1866" s="5" t="s">
        <v>1452</v>
      </c>
      <c r="F1866" s="5" t="s">
        <v>79</v>
      </c>
      <c r="G1866" s="5" t="s">
        <v>250</v>
      </c>
      <c r="H1866" s="5" t="s">
        <v>1473</v>
      </c>
    </row>
    <row r="1867" spans="5:8" x14ac:dyDescent="0.3">
      <c r="E1867" s="5" t="s">
        <v>1452</v>
      </c>
      <c r="F1867" s="5" t="s">
        <v>79</v>
      </c>
      <c r="G1867" s="5" t="s">
        <v>252</v>
      </c>
      <c r="H1867" s="5" t="s">
        <v>390</v>
      </c>
    </row>
    <row r="1868" spans="5:8" x14ac:dyDescent="0.3">
      <c r="E1868" s="5" t="s">
        <v>1452</v>
      </c>
      <c r="F1868" s="5" t="s">
        <v>79</v>
      </c>
      <c r="G1868" s="5" t="s">
        <v>254</v>
      </c>
      <c r="H1868" s="5" t="s">
        <v>233</v>
      </c>
    </row>
    <row r="1869" spans="5:8" x14ac:dyDescent="0.3">
      <c r="E1869" s="5" t="s">
        <v>1452</v>
      </c>
      <c r="F1869" s="5" t="s">
        <v>79</v>
      </c>
      <c r="G1869" s="5" t="s">
        <v>256</v>
      </c>
      <c r="H1869" s="5" t="s">
        <v>393</v>
      </c>
    </row>
    <row r="1870" spans="5:8" x14ac:dyDescent="0.3">
      <c r="E1870" s="5" t="s">
        <v>1452</v>
      </c>
      <c r="F1870" s="5" t="s">
        <v>79</v>
      </c>
      <c r="G1870" s="5" t="s">
        <v>258</v>
      </c>
      <c r="H1870" s="5" t="s">
        <v>1474</v>
      </c>
    </row>
    <row r="1871" spans="5:8" x14ac:dyDescent="0.3">
      <c r="E1871" s="5" t="s">
        <v>1452</v>
      </c>
      <c r="F1871" s="5" t="s">
        <v>79</v>
      </c>
      <c r="G1871" s="5" t="s">
        <v>260</v>
      </c>
      <c r="H1871" s="5" t="s">
        <v>1475</v>
      </c>
    </row>
    <row r="1872" spans="5:8" x14ac:dyDescent="0.3">
      <c r="E1872" s="5" t="s">
        <v>1452</v>
      </c>
      <c r="F1872" s="5" t="s">
        <v>79</v>
      </c>
      <c r="G1872" s="5" t="s">
        <v>262</v>
      </c>
      <c r="H1872" s="5" t="s">
        <v>1476</v>
      </c>
    </row>
    <row r="1873" spans="5:8" x14ac:dyDescent="0.3">
      <c r="E1873" s="5" t="s">
        <v>1452</v>
      </c>
      <c r="F1873" s="5" t="s">
        <v>79</v>
      </c>
      <c r="G1873" s="5" t="s">
        <v>264</v>
      </c>
      <c r="H1873" s="5" t="s">
        <v>1477</v>
      </c>
    </row>
    <row r="1874" spans="5:8" x14ac:dyDescent="0.3">
      <c r="E1874" s="5" t="s">
        <v>1452</v>
      </c>
      <c r="F1874" s="5" t="s">
        <v>79</v>
      </c>
      <c r="G1874" s="5" t="s">
        <v>266</v>
      </c>
      <c r="H1874" s="5" t="s">
        <v>863</v>
      </c>
    </row>
    <row r="1875" spans="5:8" x14ac:dyDescent="0.3">
      <c r="E1875" s="5" t="s">
        <v>1452</v>
      </c>
      <c r="F1875" s="5" t="s">
        <v>79</v>
      </c>
      <c r="G1875" s="5" t="s">
        <v>268</v>
      </c>
      <c r="H1875" s="5" t="s">
        <v>1478</v>
      </c>
    </row>
    <row r="1876" spans="5:8" x14ac:dyDescent="0.3">
      <c r="E1876" s="5" t="s">
        <v>1452</v>
      </c>
      <c r="F1876" s="5" t="s">
        <v>79</v>
      </c>
      <c r="G1876" s="5" t="s">
        <v>270</v>
      </c>
      <c r="H1876" s="5" t="s">
        <v>395</v>
      </c>
    </row>
    <row r="1877" spans="5:8" x14ac:dyDescent="0.3">
      <c r="E1877" s="5" t="s">
        <v>1452</v>
      </c>
      <c r="F1877" s="5" t="s">
        <v>79</v>
      </c>
      <c r="G1877" s="5" t="s">
        <v>272</v>
      </c>
      <c r="H1877" s="5" t="s">
        <v>397</v>
      </c>
    </row>
    <row r="1878" spans="5:8" x14ac:dyDescent="0.3">
      <c r="E1878" s="5" t="s">
        <v>1452</v>
      </c>
      <c r="F1878" s="5" t="s">
        <v>79</v>
      </c>
      <c r="G1878" s="5" t="s">
        <v>274</v>
      </c>
      <c r="H1878" s="5" t="s">
        <v>1479</v>
      </c>
    </row>
    <row r="1879" spans="5:8" x14ac:dyDescent="0.3">
      <c r="E1879" s="5" t="s">
        <v>1452</v>
      </c>
      <c r="F1879" s="5" t="s">
        <v>79</v>
      </c>
      <c r="G1879" s="5" t="s">
        <v>278</v>
      </c>
      <c r="H1879" s="5" t="s">
        <v>249</v>
      </c>
    </row>
    <row r="1880" spans="5:8" x14ac:dyDescent="0.3">
      <c r="E1880" s="5" t="s">
        <v>1452</v>
      </c>
      <c r="F1880" s="5" t="s">
        <v>79</v>
      </c>
      <c r="G1880" s="5" t="s">
        <v>276</v>
      </c>
      <c r="H1880" s="5" t="s">
        <v>1013</v>
      </c>
    </row>
    <row r="1881" spans="5:8" x14ac:dyDescent="0.3">
      <c r="E1881" s="5" t="s">
        <v>1452</v>
      </c>
      <c r="F1881" s="5" t="s">
        <v>79</v>
      </c>
      <c r="G1881" s="5" t="s">
        <v>280</v>
      </c>
      <c r="H1881" s="5" t="s">
        <v>1480</v>
      </c>
    </row>
    <row r="1882" spans="5:8" x14ac:dyDescent="0.3">
      <c r="E1882" s="5" t="s">
        <v>1452</v>
      </c>
      <c r="F1882" s="5" t="s">
        <v>79</v>
      </c>
      <c r="G1882" s="5" t="s">
        <v>282</v>
      </c>
      <c r="H1882" s="5" t="s">
        <v>1481</v>
      </c>
    </row>
    <row r="1883" spans="5:8" x14ac:dyDescent="0.3">
      <c r="E1883" s="5" t="s">
        <v>1452</v>
      </c>
      <c r="F1883" s="5" t="s">
        <v>79</v>
      </c>
      <c r="G1883" s="5" t="s">
        <v>284</v>
      </c>
      <c r="H1883" s="5" t="s">
        <v>1482</v>
      </c>
    </row>
    <row r="1884" spans="5:8" x14ac:dyDescent="0.3">
      <c r="E1884" s="5" t="s">
        <v>1452</v>
      </c>
      <c r="F1884" s="5" t="s">
        <v>79</v>
      </c>
      <c r="G1884" s="5" t="s">
        <v>286</v>
      </c>
      <c r="H1884" s="5" t="s">
        <v>1017</v>
      </c>
    </row>
    <row r="1885" spans="5:8" x14ac:dyDescent="0.3">
      <c r="E1885" s="5" t="s">
        <v>1452</v>
      </c>
      <c r="F1885" s="5" t="s">
        <v>79</v>
      </c>
      <c r="G1885" s="5" t="s">
        <v>288</v>
      </c>
      <c r="H1885" s="5" t="s">
        <v>1483</v>
      </c>
    </row>
    <row r="1886" spans="5:8" x14ac:dyDescent="0.3">
      <c r="E1886" s="5" t="s">
        <v>1452</v>
      </c>
      <c r="F1886" s="5" t="s">
        <v>79</v>
      </c>
      <c r="G1886" s="5" t="s">
        <v>290</v>
      </c>
      <c r="H1886" s="5" t="s">
        <v>1484</v>
      </c>
    </row>
    <row r="1887" spans="5:8" x14ac:dyDescent="0.3">
      <c r="E1887" s="5" t="s">
        <v>1452</v>
      </c>
      <c r="F1887" s="5" t="s">
        <v>79</v>
      </c>
      <c r="G1887" s="5" t="s">
        <v>292</v>
      </c>
      <c r="H1887" s="5" t="s">
        <v>1024</v>
      </c>
    </row>
    <row r="1888" spans="5:8" x14ac:dyDescent="0.3">
      <c r="E1888" s="5" t="s">
        <v>1452</v>
      </c>
      <c r="F1888" s="5" t="s">
        <v>79</v>
      </c>
      <c r="G1888" s="5" t="s">
        <v>416</v>
      </c>
      <c r="H1888" s="5" t="s">
        <v>1485</v>
      </c>
    </row>
    <row r="1889" spans="5:8" x14ac:dyDescent="0.3">
      <c r="E1889" s="5" t="s">
        <v>1452</v>
      </c>
      <c r="F1889" s="5" t="s">
        <v>79</v>
      </c>
      <c r="G1889" s="5" t="s">
        <v>418</v>
      </c>
      <c r="H1889" s="5" t="s">
        <v>1399</v>
      </c>
    </row>
    <row r="1890" spans="5:8" x14ac:dyDescent="0.3">
      <c r="E1890" s="5" t="s">
        <v>1452</v>
      </c>
      <c r="F1890" s="5" t="s">
        <v>79</v>
      </c>
      <c r="G1890" s="5" t="s">
        <v>420</v>
      </c>
      <c r="H1890" s="5" t="s">
        <v>720</v>
      </c>
    </row>
    <row r="1891" spans="5:8" x14ac:dyDescent="0.3">
      <c r="E1891" s="5" t="s">
        <v>1452</v>
      </c>
      <c r="F1891" s="5" t="s">
        <v>79</v>
      </c>
      <c r="G1891" s="5" t="s">
        <v>422</v>
      </c>
      <c r="H1891" s="5" t="s">
        <v>1400</v>
      </c>
    </row>
    <row r="1892" spans="5:8" x14ac:dyDescent="0.3">
      <c r="E1892" s="5" t="s">
        <v>1452</v>
      </c>
      <c r="F1892" s="5" t="s">
        <v>79</v>
      </c>
      <c r="G1892" s="5" t="s">
        <v>424</v>
      </c>
      <c r="H1892" s="5" t="s">
        <v>406</v>
      </c>
    </row>
    <row r="1893" spans="5:8" x14ac:dyDescent="0.3">
      <c r="E1893" s="5" t="s">
        <v>1452</v>
      </c>
      <c r="F1893" s="5" t="s">
        <v>79</v>
      </c>
      <c r="G1893" s="5" t="s">
        <v>425</v>
      </c>
      <c r="H1893" s="5" t="s">
        <v>1486</v>
      </c>
    </row>
    <row r="1894" spans="5:8" x14ac:dyDescent="0.3">
      <c r="E1894" s="5" t="s">
        <v>1452</v>
      </c>
      <c r="F1894" s="5" t="s">
        <v>79</v>
      </c>
      <c r="G1894" s="5" t="s">
        <v>427</v>
      </c>
      <c r="H1894" s="5" t="s">
        <v>1487</v>
      </c>
    </row>
    <row r="1895" spans="5:8" x14ac:dyDescent="0.3">
      <c r="E1895" s="5" t="s">
        <v>1452</v>
      </c>
      <c r="F1895" s="5" t="s">
        <v>79</v>
      </c>
      <c r="G1895" s="5" t="s">
        <v>429</v>
      </c>
      <c r="H1895" s="5" t="s">
        <v>1319</v>
      </c>
    </row>
    <row r="1896" spans="5:8" x14ac:dyDescent="0.3">
      <c r="E1896" s="5" t="s">
        <v>1452</v>
      </c>
      <c r="F1896" s="5" t="s">
        <v>79</v>
      </c>
      <c r="G1896" s="5" t="s">
        <v>664</v>
      </c>
      <c r="H1896" s="5" t="s">
        <v>411</v>
      </c>
    </row>
    <row r="1897" spans="5:8" x14ac:dyDescent="0.3">
      <c r="E1897" s="5" t="s">
        <v>1452</v>
      </c>
      <c r="F1897" s="5" t="s">
        <v>79</v>
      </c>
      <c r="G1897" s="5" t="s">
        <v>665</v>
      </c>
      <c r="H1897" s="5" t="s">
        <v>1488</v>
      </c>
    </row>
    <row r="1898" spans="5:8" x14ac:dyDescent="0.3">
      <c r="E1898" s="5" t="s">
        <v>1452</v>
      </c>
      <c r="F1898" s="5" t="s">
        <v>79</v>
      </c>
      <c r="G1898" s="5" t="s">
        <v>666</v>
      </c>
      <c r="H1898" s="5" t="s">
        <v>1489</v>
      </c>
    </row>
    <row r="1899" spans="5:8" x14ac:dyDescent="0.3">
      <c r="E1899" s="5" t="s">
        <v>1452</v>
      </c>
      <c r="F1899" s="5" t="s">
        <v>79</v>
      </c>
      <c r="G1899" s="5" t="s">
        <v>668</v>
      </c>
      <c r="H1899" s="5" t="s">
        <v>1490</v>
      </c>
    </row>
    <row r="1900" spans="5:8" x14ac:dyDescent="0.3">
      <c r="E1900" s="5" t="s">
        <v>1452</v>
      </c>
      <c r="F1900" s="5" t="s">
        <v>79</v>
      </c>
      <c r="G1900" s="5" t="s">
        <v>669</v>
      </c>
      <c r="H1900" s="5" t="s">
        <v>1033</v>
      </c>
    </row>
    <row r="1901" spans="5:8" x14ac:dyDescent="0.3">
      <c r="E1901" s="5" t="s">
        <v>1452</v>
      </c>
      <c r="F1901" s="5" t="s">
        <v>79</v>
      </c>
      <c r="G1901" s="5" t="s">
        <v>671</v>
      </c>
      <c r="H1901" s="5" t="s">
        <v>1035</v>
      </c>
    </row>
    <row r="1902" spans="5:8" x14ac:dyDescent="0.3">
      <c r="E1902" s="5" t="s">
        <v>1452</v>
      </c>
      <c r="F1902" s="5" t="s">
        <v>79</v>
      </c>
      <c r="G1902" s="5" t="s">
        <v>673</v>
      </c>
      <c r="H1902" s="5" t="s">
        <v>1036</v>
      </c>
    </row>
    <row r="1903" spans="5:8" x14ac:dyDescent="0.3">
      <c r="E1903" s="5" t="s">
        <v>1452</v>
      </c>
      <c r="F1903" s="5" t="s">
        <v>79</v>
      </c>
      <c r="G1903" s="5" t="s">
        <v>674</v>
      </c>
      <c r="H1903" s="5" t="s">
        <v>974</v>
      </c>
    </row>
    <row r="1904" spans="5:8" x14ac:dyDescent="0.3">
      <c r="E1904" s="5" t="s">
        <v>1452</v>
      </c>
      <c r="F1904" s="5" t="s">
        <v>79</v>
      </c>
      <c r="G1904" s="5" t="s">
        <v>676</v>
      </c>
      <c r="H1904" s="5" t="s">
        <v>1039</v>
      </c>
    </row>
    <row r="1905" spans="5:8" x14ac:dyDescent="0.3">
      <c r="E1905" s="5" t="s">
        <v>1452</v>
      </c>
      <c r="F1905" s="5" t="s">
        <v>79</v>
      </c>
      <c r="G1905" s="5" t="s">
        <v>677</v>
      </c>
      <c r="H1905" s="5" t="s">
        <v>1491</v>
      </c>
    </row>
    <row r="1906" spans="5:8" x14ac:dyDescent="0.3">
      <c r="E1906" s="5" t="s">
        <v>1452</v>
      </c>
      <c r="F1906" s="5" t="s">
        <v>79</v>
      </c>
      <c r="G1906" s="5" t="s">
        <v>679</v>
      </c>
      <c r="H1906" s="5" t="s">
        <v>756</v>
      </c>
    </row>
    <row r="1907" spans="5:8" x14ac:dyDescent="0.3">
      <c r="E1907" s="5" t="s">
        <v>1452</v>
      </c>
      <c r="F1907" s="5" t="s">
        <v>79</v>
      </c>
      <c r="G1907" s="5" t="s">
        <v>680</v>
      </c>
      <c r="H1907" s="5" t="s">
        <v>1492</v>
      </c>
    </row>
    <row r="1908" spans="5:8" x14ac:dyDescent="0.3">
      <c r="E1908" s="5" t="s">
        <v>1452</v>
      </c>
      <c r="F1908" s="5" t="s">
        <v>79</v>
      </c>
      <c r="G1908" s="5" t="s">
        <v>682</v>
      </c>
      <c r="H1908" s="5" t="s">
        <v>836</v>
      </c>
    </row>
    <row r="1909" spans="5:8" x14ac:dyDescent="0.3">
      <c r="E1909" s="5" t="s">
        <v>1452</v>
      </c>
      <c r="F1909" s="5" t="s">
        <v>79</v>
      </c>
      <c r="G1909" s="5" t="s">
        <v>684</v>
      </c>
      <c r="H1909" s="5" t="s">
        <v>289</v>
      </c>
    </row>
    <row r="1910" spans="5:8" x14ac:dyDescent="0.3">
      <c r="E1910" s="5" t="s">
        <v>1452</v>
      </c>
      <c r="F1910" s="5" t="s">
        <v>79</v>
      </c>
      <c r="G1910" s="5" t="s">
        <v>685</v>
      </c>
      <c r="H1910" s="5" t="s">
        <v>782</v>
      </c>
    </row>
    <row r="1911" spans="5:8" x14ac:dyDescent="0.3">
      <c r="E1911" s="5" t="s">
        <v>1452</v>
      </c>
      <c r="F1911" s="5" t="s">
        <v>79</v>
      </c>
      <c r="G1911" s="5" t="s">
        <v>686</v>
      </c>
      <c r="H1911" s="5" t="s">
        <v>784</v>
      </c>
    </row>
    <row r="1912" spans="5:8" x14ac:dyDescent="0.3">
      <c r="E1912" s="5" t="s">
        <v>1452</v>
      </c>
      <c r="F1912" s="5" t="s">
        <v>79</v>
      </c>
      <c r="G1912" s="5" t="s">
        <v>687</v>
      </c>
      <c r="H1912" s="5" t="s">
        <v>786</v>
      </c>
    </row>
    <row r="1913" spans="5:8" x14ac:dyDescent="0.3">
      <c r="E1913" s="5" t="s">
        <v>1452</v>
      </c>
      <c r="F1913" s="5" t="s">
        <v>79</v>
      </c>
      <c r="G1913" s="5" t="s">
        <v>326</v>
      </c>
      <c r="H1913" s="5" t="s">
        <v>1180</v>
      </c>
    </row>
    <row r="1914" spans="5:8" x14ac:dyDescent="0.3">
      <c r="E1914" s="5" t="s">
        <v>1505</v>
      </c>
      <c r="F1914" s="5" t="s">
        <v>83</v>
      </c>
      <c r="G1914" s="5" t="s">
        <v>160</v>
      </c>
      <c r="H1914" s="5" t="s">
        <v>1506</v>
      </c>
    </row>
    <row r="1915" spans="5:8" x14ac:dyDescent="0.3">
      <c r="E1915" s="5" t="s">
        <v>1505</v>
      </c>
      <c r="F1915" s="5" t="s">
        <v>83</v>
      </c>
      <c r="G1915" s="5" t="s">
        <v>162</v>
      </c>
      <c r="H1915" s="5" t="s">
        <v>372</v>
      </c>
    </row>
    <row r="1916" spans="5:8" x14ac:dyDescent="0.3">
      <c r="E1916" s="5" t="s">
        <v>1505</v>
      </c>
      <c r="F1916" s="5" t="s">
        <v>83</v>
      </c>
      <c r="G1916" s="5" t="s">
        <v>164</v>
      </c>
      <c r="H1916" s="5" t="s">
        <v>1507</v>
      </c>
    </row>
    <row r="1917" spans="5:8" x14ac:dyDescent="0.3">
      <c r="E1917" s="5" t="s">
        <v>1505</v>
      </c>
      <c r="F1917" s="5" t="s">
        <v>83</v>
      </c>
      <c r="G1917" s="5" t="s">
        <v>166</v>
      </c>
      <c r="H1917" s="5" t="s">
        <v>1508</v>
      </c>
    </row>
    <row r="1918" spans="5:8" x14ac:dyDescent="0.3">
      <c r="E1918" s="5" t="s">
        <v>1505</v>
      </c>
      <c r="F1918" s="5" t="s">
        <v>83</v>
      </c>
      <c r="G1918" s="5" t="s">
        <v>168</v>
      </c>
      <c r="H1918" s="5" t="s">
        <v>1509</v>
      </c>
    </row>
    <row r="1919" spans="5:8" x14ac:dyDescent="0.3">
      <c r="E1919" s="5" t="s">
        <v>1505</v>
      </c>
      <c r="F1919" s="5" t="s">
        <v>83</v>
      </c>
      <c r="G1919" s="5" t="s">
        <v>170</v>
      </c>
      <c r="H1919" s="5" t="s">
        <v>579</v>
      </c>
    </row>
    <row r="1920" spans="5:8" x14ac:dyDescent="0.3">
      <c r="E1920" s="5" t="s">
        <v>1505</v>
      </c>
      <c r="F1920" s="5" t="s">
        <v>83</v>
      </c>
      <c r="G1920" s="5" t="s">
        <v>172</v>
      </c>
      <c r="H1920" s="5" t="s">
        <v>1510</v>
      </c>
    </row>
    <row r="1921" spans="5:8" x14ac:dyDescent="0.3">
      <c r="E1921" s="5" t="s">
        <v>1505</v>
      </c>
      <c r="F1921" s="5" t="s">
        <v>83</v>
      </c>
      <c r="G1921" s="5" t="s">
        <v>174</v>
      </c>
      <c r="H1921" s="5" t="s">
        <v>1511</v>
      </c>
    </row>
    <row r="1922" spans="5:8" x14ac:dyDescent="0.3">
      <c r="E1922" s="5" t="s">
        <v>1505</v>
      </c>
      <c r="F1922" s="5" t="s">
        <v>83</v>
      </c>
      <c r="G1922" s="5" t="s">
        <v>176</v>
      </c>
      <c r="H1922" s="5" t="s">
        <v>1512</v>
      </c>
    </row>
    <row r="1923" spans="5:8" x14ac:dyDescent="0.3">
      <c r="E1923" s="5" t="s">
        <v>1505</v>
      </c>
      <c r="F1923" s="5" t="s">
        <v>83</v>
      </c>
      <c r="G1923" s="5" t="s">
        <v>178</v>
      </c>
      <c r="H1923" s="5" t="s">
        <v>925</v>
      </c>
    </row>
    <row r="1924" spans="5:8" x14ac:dyDescent="0.3">
      <c r="E1924" s="5" t="s">
        <v>1513</v>
      </c>
      <c r="F1924" s="5" t="s">
        <v>85</v>
      </c>
      <c r="G1924" s="5" t="s">
        <v>160</v>
      </c>
      <c r="H1924" s="5" t="s">
        <v>1514</v>
      </c>
    </row>
    <row r="1925" spans="5:8" x14ac:dyDescent="0.3">
      <c r="E1925" s="5" t="s">
        <v>1513</v>
      </c>
      <c r="F1925" s="5" t="s">
        <v>85</v>
      </c>
      <c r="G1925" s="5" t="s">
        <v>162</v>
      </c>
      <c r="H1925" s="5" t="s">
        <v>1515</v>
      </c>
    </row>
    <row r="1926" spans="5:8" x14ac:dyDescent="0.3">
      <c r="E1926" s="5" t="s">
        <v>1513</v>
      </c>
      <c r="F1926" s="5" t="s">
        <v>85</v>
      </c>
      <c r="G1926" s="5" t="s">
        <v>164</v>
      </c>
      <c r="H1926" s="5" t="s">
        <v>1516</v>
      </c>
    </row>
    <row r="1927" spans="5:8" x14ac:dyDescent="0.3">
      <c r="E1927" s="5" t="s">
        <v>1513</v>
      </c>
      <c r="F1927" s="5" t="s">
        <v>85</v>
      </c>
      <c r="G1927" s="5" t="s">
        <v>166</v>
      </c>
      <c r="H1927" s="5" t="s">
        <v>623</v>
      </c>
    </row>
    <row r="1928" spans="5:8" x14ac:dyDescent="0.3">
      <c r="E1928" s="5" t="s">
        <v>1513</v>
      </c>
      <c r="F1928" s="5" t="s">
        <v>85</v>
      </c>
      <c r="G1928" s="5" t="s">
        <v>168</v>
      </c>
      <c r="H1928" s="5" t="s">
        <v>1517</v>
      </c>
    </row>
    <row r="1929" spans="5:8" x14ac:dyDescent="0.3">
      <c r="E1929" s="5" t="s">
        <v>1513</v>
      </c>
      <c r="F1929" s="5" t="s">
        <v>85</v>
      </c>
      <c r="G1929" s="5" t="s">
        <v>170</v>
      </c>
      <c r="H1929" s="5" t="s">
        <v>847</v>
      </c>
    </row>
    <row r="1930" spans="5:8" x14ac:dyDescent="0.3">
      <c r="E1930" s="5" t="s">
        <v>1513</v>
      </c>
      <c r="F1930" s="5" t="s">
        <v>85</v>
      </c>
      <c r="G1930" s="5" t="s">
        <v>172</v>
      </c>
      <c r="H1930" s="5" t="s">
        <v>1204</v>
      </c>
    </row>
    <row r="1931" spans="5:8" x14ac:dyDescent="0.3">
      <c r="E1931" s="5" t="s">
        <v>1513</v>
      </c>
      <c r="F1931" s="5" t="s">
        <v>85</v>
      </c>
      <c r="G1931" s="5" t="s">
        <v>174</v>
      </c>
      <c r="H1931" s="5" t="s">
        <v>1518</v>
      </c>
    </row>
    <row r="1932" spans="5:8" x14ac:dyDescent="0.3">
      <c r="E1932" s="5" t="s">
        <v>1513</v>
      </c>
      <c r="F1932" s="5" t="s">
        <v>85</v>
      </c>
      <c r="G1932" s="5" t="s">
        <v>176</v>
      </c>
      <c r="H1932" s="5" t="s">
        <v>1519</v>
      </c>
    </row>
    <row r="1933" spans="5:8" x14ac:dyDescent="0.3">
      <c r="E1933" s="5" t="s">
        <v>1513</v>
      </c>
      <c r="F1933" s="5" t="s">
        <v>85</v>
      </c>
      <c r="G1933" s="5" t="s">
        <v>178</v>
      </c>
      <c r="H1933" s="5" t="s">
        <v>1520</v>
      </c>
    </row>
    <row r="1934" spans="5:8" x14ac:dyDescent="0.3">
      <c r="E1934" s="5" t="s">
        <v>1513</v>
      </c>
      <c r="F1934" s="5" t="s">
        <v>85</v>
      </c>
      <c r="G1934" s="5" t="s">
        <v>180</v>
      </c>
      <c r="H1934" s="5" t="s">
        <v>873</v>
      </c>
    </row>
    <row r="1935" spans="5:8" x14ac:dyDescent="0.3">
      <c r="E1935" s="5" t="s">
        <v>1513</v>
      </c>
      <c r="F1935" s="5" t="s">
        <v>85</v>
      </c>
      <c r="G1935" s="5" t="s">
        <v>182</v>
      </c>
      <c r="H1935" s="5" t="s">
        <v>546</v>
      </c>
    </row>
    <row r="1936" spans="5:8" x14ac:dyDescent="0.3">
      <c r="E1936" s="5" t="s">
        <v>1513</v>
      </c>
      <c r="F1936" s="5" t="s">
        <v>85</v>
      </c>
      <c r="G1936" s="5" t="s">
        <v>184</v>
      </c>
      <c r="H1936" s="5" t="s">
        <v>1521</v>
      </c>
    </row>
    <row r="1937" spans="5:8" x14ac:dyDescent="0.3">
      <c r="E1937" s="5" t="s">
        <v>1513</v>
      </c>
      <c r="F1937" s="5" t="s">
        <v>85</v>
      </c>
      <c r="G1937" s="5" t="s">
        <v>186</v>
      </c>
      <c r="H1937" s="5" t="s">
        <v>1015</v>
      </c>
    </row>
    <row r="1938" spans="5:8" x14ac:dyDescent="0.3">
      <c r="E1938" s="5" t="s">
        <v>1513</v>
      </c>
      <c r="F1938" s="5" t="s">
        <v>85</v>
      </c>
      <c r="G1938" s="5" t="s">
        <v>188</v>
      </c>
      <c r="H1938" s="5" t="s">
        <v>1522</v>
      </c>
    </row>
    <row r="1939" spans="5:8" x14ac:dyDescent="0.3">
      <c r="E1939" s="5" t="s">
        <v>1513</v>
      </c>
      <c r="F1939" s="5" t="s">
        <v>85</v>
      </c>
      <c r="G1939" s="5" t="s">
        <v>190</v>
      </c>
      <c r="H1939" s="5" t="s">
        <v>1523</v>
      </c>
    </row>
    <row r="1940" spans="5:8" x14ac:dyDescent="0.3">
      <c r="E1940" s="5" t="s">
        <v>1513</v>
      </c>
      <c r="F1940" s="5" t="s">
        <v>85</v>
      </c>
      <c r="G1940" s="5" t="s">
        <v>192</v>
      </c>
      <c r="H1940" s="5" t="s">
        <v>1524</v>
      </c>
    </row>
    <row r="1941" spans="5:8" x14ac:dyDescent="0.3">
      <c r="E1941" s="5" t="s">
        <v>1513</v>
      </c>
      <c r="F1941" s="5" t="s">
        <v>85</v>
      </c>
      <c r="G1941" s="5" t="s">
        <v>194</v>
      </c>
      <c r="H1941" s="5" t="s">
        <v>1178</v>
      </c>
    </row>
    <row r="1942" spans="5:8" x14ac:dyDescent="0.3">
      <c r="E1942" s="5" t="s">
        <v>1513</v>
      </c>
      <c r="F1942" s="5" t="s">
        <v>85</v>
      </c>
      <c r="G1942" s="5" t="s">
        <v>196</v>
      </c>
      <c r="H1942" s="5" t="s">
        <v>554</v>
      </c>
    </row>
    <row r="1943" spans="5:8" x14ac:dyDescent="0.3">
      <c r="E1943" s="5" t="s">
        <v>1513</v>
      </c>
      <c r="F1943" s="5" t="s">
        <v>85</v>
      </c>
      <c r="G1943" s="5" t="s">
        <v>198</v>
      </c>
      <c r="H1943" s="5" t="s">
        <v>421</v>
      </c>
    </row>
    <row r="1944" spans="5:8" x14ac:dyDescent="0.3">
      <c r="E1944" s="5" t="s">
        <v>1513</v>
      </c>
      <c r="F1944" s="5" t="s">
        <v>85</v>
      </c>
      <c r="G1944" s="5" t="s">
        <v>200</v>
      </c>
      <c r="H1944" s="5" t="s">
        <v>779</v>
      </c>
    </row>
    <row r="1945" spans="5:8" x14ac:dyDescent="0.3">
      <c r="E1945" s="5" t="s">
        <v>1525</v>
      </c>
      <c r="F1945" s="5" t="s">
        <v>87</v>
      </c>
      <c r="G1945" s="5" t="s">
        <v>160</v>
      </c>
      <c r="H1945" s="5" t="s">
        <v>1526</v>
      </c>
    </row>
    <row r="1946" spans="5:8" x14ac:dyDescent="0.3">
      <c r="E1946" s="5" t="s">
        <v>1525</v>
      </c>
      <c r="F1946" s="5" t="s">
        <v>87</v>
      </c>
      <c r="G1946" s="5" t="s">
        <v>162</v>
      </c>
      <c r="H1946" s="5" t="s">
        <v>1527</v>
      </c>
    </row>
    <row r="1947" spans="5:8" x14ac:dyDescent="0.3">
      <c r="E1947" s="5" t="s">
        <v>1525</v>
      </c>
      <c r="F1947" s="5" t="s">
        <v>87</v>
      </c>
      <c r="G1947" s="5" t="s">
        <v>164</v>
      </c>
      <c r="H1947" s="5" t="s">
        <v>1528</v>
      </c>
    </row>
    <row r="1948" spans="5:8" x14ac:dyDescent="0.3">
      <c r="E1948" s="5" t="s">
        <v>1525</v>
      </c>
      <c r="F1948" s="5" t="s">
        <v>87</v>
      </c>
      <c r="G1948" s="5" t="s">
        <v>1529</v>
      </c>
      <c r="H1948" s="5" t="s">
        <v>1530</v>
      </c>
    </row>
    <row r="1949" spans="5:8" x14ac:dyDescent="0.3">
      <c r="E1949" s="5" t="s">
        <v>1525</v>
      </c>
      <c r="F1949" s="5" t="s">
        <v>87</v>
      </c>
      <c r="G1949" s="5" t="s">
        <v>166</v>
      </c>
      <c r="H1949" s="5" t="s">
        <v>1460</v>
      </c>
    </row>
    <row r="1950" spans="5:8" x14ac:dyDescent="0.3">
      <c r="E1950" s="5" t="s">
        <v>1525</v>
      </c>
      <c r="F1950" s="5" t="s">
        <v>87</v>
      </c>
      <c r="G1950" s="5" t="s">
        <v>168</v>
      </c>
      <c r="H1950" s="5" t="s">
        <v>1531</v>
      </c>
    </row>
    <row r="1951" spans="5:8" x14ac:dyDescent="0.3">
      <c r="E1951" s="5" t="s">
        <v>1525</v>
      </c>
      <c r="F1951" s="5" t="s">
        <v>87</v>
      </c>
      <c r="G1951" s="5" t="s">
        <v>170</v>
      </c>
      <c r="H1951" s="5" t="s">
        <v>1532</v>
      </c>
    </row>
    <row r="1952" spans="5:8" x14ac:dyDescent="0.3">
      <c r="E1952" s="5" t="s">
        <v>1525</v>
      </c>
      <c r="F1952" s="5" t="s">
        <v>87</v>
      </c>
      <c r="G1952" s="5" t="s">
        <v>172</v>
      </c>
      <c r="H1952" s="5" t="s">
        <v>1533</v>
      </c>
    </row>
    <row r="1953" spans="5:8" x14ac:dyDescent="0.3">
      <c r="E1953" s="5" t="s">
        <v>1525</v>
      </c>
      <c r="F1953" s="5" t="s">
        <v>87</v>
      </c>
      <c r="G1953" s="5" t="s">
        <v>174</v>
      </c>
      <c r="H1953" s="5" t="s">
        <v>1534</v>
      </c>
    </row>
    <row r="1954" spans="5:8" x14ac:dyDescent="0.3">
      <c r="E1954" s="5" t="s">
        <v>1525</v>
      </c>
      <c r="F1954" s="5" t="s">
        <v>87</v>
      </c>
      <c r="G1954" s="5" t="s">
        <v>176</v>
      </c>
      <c r="H1954" s="5" t="s">
        <v>387</v>
      </c>
    </row>
    <row r="1955" spans="5:8" x14ac:dyDescent="0.3">
      <c r="E1955" s="5" t="s">
        <v>1525</v>
      </c>
      <c r="F1955" s="5" t="s">
        <v>87</v>
      </c>
      <c r="G1955" s="5" t="s">
        <v>178</v>
      </c>
      <c r="H1955" s="5" t="s">
        <v>1535</v>
      </c>
    </row>
    <row r="1956" spans="5:8" x14ac:dyDescent="0.3">
      <c r="E1956" s="5" t="s">
        <v>1525</v>
      </c>
      <c r="F1956" s="5" t="s">
        <v>87</v>
      </c>
      <c r="G1956" s="5" t="s">
        <v>180</v>
      </c>
      <c r="H1956" s="5" t="s">
        <v>1536</v>
      </c>
    </row>
    <row r="1957" spans="5:8" x14ac:dyDescent="0.3">
      <c r="E1957" s="5" t="s">
        <v>1525</v>
      </c>
      <c r="F1957" s="5" t="s">
        <v>87</v>
      </c>
      <c r="G1957" s="5" t="s">
        <v>182</v>
      </c>
      <c r="H1957" s="5" t="s">
        <v>1537</v>
      </c>
    </row>
    <row r="1958" spans="5:8" x14ac:dyDescent="0.3">
      <c r="E1958" s="5" t="s">
        <v>1525</v>
      </c>
      <c r="F1958" s="5" t="s">
        <v>87</v>
      </c>
      <c r="G1958" s="5" t="s">
        <v>184</v>
      </c>
      <c r="H1958" s="5" t="s">
        <v>1538</v>
      </c>
    </row>
    <row r="1959" spans="5:8" x14ac:dyDescent="0.3">
      <c r="E1959" s="5" t="s">
        <v>1525</v>
      </c>
      <c r="F1959" s="5" t="s">
        <v>87</v>
      </c>
      <c r="G1959" s="5" t="s">
        <v>186</v>
      </c>
      <c r="H1959" s="5" t="s">
        <v>395</v>
      </c>
    </row>
    <row r="1960" spans="5:8" x14ac:dyDescent="0.3">
      <c r="E1960" s="5" t="s">
        <v>1525</v>
      </c>
      <c r="F1960" s="5" t="s">
        <v>87</v>
      </c>
      <c r="G1960" s="5" t="s">
        <v>1539</v>
      </c>
      <c r="H1960" s="5" t="s">
        <v>1540</v>
      </c>
    </row>
    <row r="1961" spans="5:8" x14ac:dyDescent="0.3">
      <c r="E1961" s="5" t="s">
        <v>1525</v>
      </c>
      <c r="F1961" s="5" t="s">
        <v>87</v>
      </c>
      <c r="G1961" s="5" t="s">
        <v>188</v>
      </c>
      <c r="H1961" s="5" t="s">
        <v>1541</v>
      </c>
    </row>
    <row r="1962" spans="5:8" x14ac:dyDescent="0.3">
      <c r="E1962" s="5" t="s">
        <v>1525</v>
      </c>
      <c r="F1962" s="5" t="s">
        <v>87</v>
      </c>
      <c r="G1962" s="5" t="s">
        <v>190</v>
      </c>
      <c r="H1962" s="5" t="s">
        <v>1542</v>
      </c>
    </row>
    <row r="1963" spans="5:8" x14ac:dyDescent="0.3">
      <c r="E1963" s="5" t="s">
        <v>1525</v>
      </c>
      <c r="F1963" s="5" t="s">
        <v>87</v>
      </c>
      <c r="G1963" s="5" t="s">
        <v>192</v>
      </c>
      <c r="H1963" s="5" t="s">
        <v>1543</v>
      </c>
    </row>
    <row r="1964" spans="5:8" x14ac:dyDescent="0.3">
      <c r="E1964" s="5" t="s">
        <v>1525</v>
      </c>
      <c r="F1964" s="5" t="s">
        <v>87</v>
      </c>
      <c r="G1964" s="5" t="s">
        <v>194</v>
      </c>
      <c r="H1964" s="5" t="s">
        <v>527</v>
      </c>
    </row>
    <row r="1965" spans="5:8" x14ac:dyDescent="0.3">
      <c r="E1965" s="5" t="s">
        <v>1525</v>
      </c>
      <c r="F1965" s="5" t="s">
        <v>87</v>
      </c>
      <c r="G1965" s="5" t="s">
        <v>196</v>
      </c>
      <c r="H1965" s="5" t="s">
        <v>1544</v>
      </c>
    </row>
    <row r="1966" spans="5:8" x14ac:dyDescent="0.3">
      <c r="E1966" s="5" t="s">
        <v>1525</v>
      </c>
      <c r="F1966" s="5" t="s">
        <v>87</v>
      </c>
      <c r="G1966" s="5" t="s">
        <v>198</v>
      </c>
      <c r="H1966" s="5" t="s">
        <v>1545</v>
      </c>
    </row>
    <row r="1967" spans="5:8" x14ac:dyDescent="0.3">
      <c r="E1967" s="5" t="s">
        <v>1525</v>
      </c>
      <c r="F1967" s="5" t="s">
        <v>87</v>
      </c>
      <c r="G1967" s="5" t="s">
        <v>200</v>
      </c>
      <c r="H1967" s="5" t="s">
        <v>1441</v>
      </c>
    </row>
    <row r="1968" spans="5:8" x14ac:dyDescent="0.3">
      <c r="E1968" s="5" t="s">
        <v>1525</v>
      </c>
      <c r="F1968" s="5" t="s">
        <v>87</v>
      </c>
      <c r="G1968" s="5" t="s">
        <v>204</v>
      </c>
      <c r="H1968" s="5" t="s">
        <v>537</v>
      </c>
    </row>
    <row r="1969" spans="5:8" x14ac:dyDescent="0.3">
      <c r="E1969" s="5" t="s">
        <v>1525</v>
      </c>
      <c r="F1969" s="5" t="s">
        <v>87</v>
      </c>
      <c r="G1969" s="5" t="s">
        <v>206</v>
      </c>
      <c r="H1969" s="5" t="s">
        <v>538</v>
      </c>
    </row>
    <row r="1970" spans="5:8" x14ac:dyDescent="0.3">
      <c r="E1970" s="5" t="s">
        <v>1525</v>
      </c>
      <c r="F1970" s="5" t="s">
        <v>87</v>
      </c>
      <c r="G1970" s="5" t="s">
        <v>202</v>
      </c>
      <c r="H1970" s="5" t="s">
        <v>1546</v>
      </c>
    </row>
    <row r="1971" spans="5:8" x14ac:dyDescent="0.3">
      <c r="E1971" s="5" t="s">
        <v>1525</v>
      </c>
      <c r="F1971" s="5" t="s">
        <v>87</v>
      </c>
      <c r="G1971" s="5" t="s">
        <v>208</v>
      </c>
      <c r="H1971" s="5" t="s">
        <v>1547</v>
      </c>
    </row>
    <row r="1972" spans="5:8" x14ac:dyDescent="0.3">
      <c r="E1972" s="5" t="s">
        <v>1525</v>
      </c>
      <c r="F1972" s="5" t="s">
        <v>87</v>
      </c>
      <c r="G1972" s="5" t="s">
        <v>210</v>
      </c>
      <c r="H1972" s="5" t="s">
        <v>474</v>
      </c>
    </row>
    <row r="1973" spans="5:8" x14ac:dyDescent="0.3">
      <c r="E1973" s="5" t="s">
        <v>1525</v>
      </c>
      <c r="F1973" s="5" t="s">
        <v>87</v>
      </c>
      <c r="G1973" s="5" t="s">
        <v>212</v>
      </c>
      <c r="H1973" s="5" t="s">
        <v>1548</v>
      </c>
    </row>
    <row r="1974" spans="5:8" x14ac:dyDescent="0.3">
      <c r="E1974" s="5" t="s">
        <v>1525</v>
      </c>
      <c r="F1974" s="5" t="s">
        <v>87</v>
      </c>
      <c r="G1974" s="5" t="s">
        <v>214</v>
      </c>
      <c r="H1974" s="5" t="s">
        <v>1549</v>
      </c>
    </row>
    <row r="1975" spans="5:8" x14ac:dyDescent="0.3">
      <c r="E1975" s="5" t="s">
        <v>1525</v>
      </c>
      <c r="F1975" s="5" t="s">
        <v>87</v>
      </c>
      <c r="G1975" s="5" t="s">
        <v>216</v>
      </c>
      <c r="H1975" s="5" t="s">
        <v>1550</v>
      </c>
    </row>
    <row r="1976" spans="5:8" x14ac:dyDescent="0.3">
      <c r="E1976" s="5" t="s">
        <v>1525</v>
      </c>
      <c r="F1976" s="5" t="s">
        <v>87</v>
      </c>
      <c r="G1976" s="5" t="s">
        <v>218</v>
      </c>
      <c r="H1976" s="5" t="s">
        <v>421</v>
      </c>
    </row>
    <row r="1977" spans="5:8" x14ac:dyDescent="0.3">
      <c r="E1977" s="5" t="s">
        <v>1525</v>
      </c>
      <c r="F1977" s="5" t="s">
        <v>87</v>
      </c>
      <c r="G1977" s="5" t="s">
        <v>220</v>
      </c>
      <c r="H1977" s="5" t="s">
        <v>1551</v>
      </c>
    </row>
    <row r="1978" spans="5:8" x14ac:dyDescent="0.3">
      <c r="E1978" s="5" t="s">
        <v>1493</v>
      </c>
      <c r="F1978" s="5" t="s">
        <v>81</v>
      </c>
      <c r="G1978" s="5" t="s">
        <v>1198</v>
      </c>
      <c r="H1978" s="5" t="s">
        <v>1504</v>
      </c>
    </row>
    <row r="1979" spans="5:8" x14ac:dyDescent="0.3">
      <c r="E1979" s="5" t="s">
        <v>1493</v>
      </c>
      <c r="F1979" s="5" t="s">
        <v>81</v>
      </c>
      <c r="G1979" s="5" t="s">
        <v>160</v>
      </c>
      <c r="H1979" s="5" t="s">
        <v>1494</v>
      </c>
    </row>
    <row r="1980" spans="5:8" x14ac:dyDescent="0.3">
      <c r="E1980" s="5" t="s">
        <v>1493</v>
      </c>
      <c r="F1980" s="5" t="s">
        <v>81</v>
      </c>
      <c r="G1980" s="5" t="s">
        <v>162</v>
      </c>
      <c r="H1980" s="5" t="s">
        <v>374</v>
      </c>
    </row>
    <row r="1981" spans="5:8" x14ac:dyDescent="0.3">
      <c r="E1981" s="5" t="s">
        <v>1493</v>
      </c>
      <c r="F1981" s="5" t="s">
        <v>81</v>
      </c>
      <c r="G1981" s="5" t="s">
        <v>164</v>
      </c>
      <c r="H1981" s="5" t="s">
        <v>506</v>
      </c>
    </row>
    <row r="1982" spans="5:8" x14ac:dyDescent="0.3">
      <c r="E1982" s="5" t="s">
        <v>1493</v>
      </c>
      <c r="F1982" s="5" t="s">
        <v>81</v>
      </c>
      <c r="G1982" s="5" t="s">
        <v>166</v>
      </c>
      <c r="H1982" s="5" t="s">
        <v>1495</v>
      </c>
    </row>
    <row r="1983" spans="5:8" x14ac:dyDescent="0.3">
      <c r="E1983" s="5" t="s">
        <v>1493</v>
      </c>
      <c r="F1983" s="5" t="s">
        <v>81</v>
      </c>
      <c r="G1983" s="5" t="s">
        <v>168</v>
      </c>
      <c r="H1983" s="5" t="s">
        <v>1496</v>
      </c>
    </row>
    <row r="1984" spans="5:8" x14ac:dyDescent="0.3">
      <c r="E1984" s="5" t="s">
        <v>1493</v>
      </c>
      <c r="F1984" s="5" t="s">
        <v>81</v>
      </c>
      <c r="G1984" s="5" t="s">
        <v>170</v>
      </c>
      <c r="H1984" s="5" t="s">
        <v>1497</v>
      </c>
    </row>
    <row r="1985" spans="5:8" x14ac:dyDescent="0.3">
      <c r="E1985" s="5" t="s">
        <v>1493</v>
      </c>
      <c r="F1985" s="5" t="s">
        <v>81</v>
      </c>
      <c r="G1985" s="5" t="s">
        <v>172</v>
      </c>
      <c r="H1985" s="5" t="s">
        <v>442</v>
      </c>
    </row>
    <row r="1986" spans="5:8" x14ac:dyDescent="0.3">
      <c r="E1986" s="5" t="s">
        <v>1493</v>
      </c>
      <c r="F1986" s="5" t="s">
        <v>81</v>
      </c>
      <c r="G1986" s="5" t="s">
        <v>174</v>
      </c>
      <c r="H1986" s="5" t="s">
        <v>1498</v>
      </c>
    </row>
    <row r="1987" spans="5:8" x14ac:dyDescent="0.3">
      <c r="E1987" s="5" t="s">
        <v>1493</v>
      </c>
      <c r="F1987" s="5" t="s">
        <v>81</v>
      </c>
      <c r="G1987" s="5" t="s">
        <v>176</v>
      </c>
      <c r="H1987" s="5" t="s">
        <v>395</v>
      </c>
    </row>
    <row r="1988" spans="5:8" x14ac:dyDescent="0.3">
      <c r="E1988" s="5" t="s">
        <v>1493</v>
      </c>
      <c r="F1988" s="5" t="s">
        <v>81</v>
      </c>
      <c r="G1988" s="5" t="s">
        <v>178</v>
      </c>
      <c r="H1988" s="5" t="s">
        <v>960</v>
      </c>
    </row>
    <row r="1989" spans="5:8" x14ac:dyDescent="0.3">
      <c r="E1989" s="5" t="s">
        <v>1493</v>
      </c>
      <c r="F1989" s="5" t="s">
        <v>81</v>
      </c>
      <c r="G1989" s="5" t="s">
        <v>180</v>
      </c>
      <c r="H1989" s="5" t="s">
        <v>523</v>
      </c>
    </row>
    <row r="1990" spans="5:8" x14ac:dyDescent="0.3">
      <c r="E1990" s="5" t="s">
        <v>1493</v>
      </c>
      <c r="F1990" s="5" t="s">
        <v>81</v>
      </c>
      <c r="G1990" s="5" t="s">
        <v>182</v>
      </c>
      <c r="H1990" s="5" t="s">
        <v>1499</v>
      </c>
    </row>
    <row r="1991" spans="5:8" x14ac:dyDescent="0.3">
      <c r="E1991" s="5" t="s">
        <v>1493</v>
      </c>
      <c r="F1991" s="5" t="s">
        <v>81</v>
      </c>
      <c r="G1991" s="5" t="s">
        <v>186</v>
      </c>
      <c r="H1991" s="5" t="s">
        <v>1500</v>
      </c>
    </row>
    <row r="1992" spans="5:8" x14ac:dyDescent="0.3">
      <c r="E1992" s="5" t="s">
        <v>1493</v>
      </c>
      <c r="F1992" s="5" t="s">
        <v>81</v>
      </c>
      <c r="G1992" s="5" t="s">
        <v>188</v>
      </c>
      <c r="H1992" s="5" t="s">
        <v>1501</v>
      </c>
    </row>
    <row r="1993" spans="5:8" x14ac:dyDescent="0.3">
      <c r="E1993" s="5" t="s">
        <v>1493</v>
      </c>
      <c r="F1993" s="5" t="s">
        <v>81</v>
      </c>
      <c r="G1993" s="5" t="s">
        <v>190</v>
      </c>
      <c r="H1993" s="5" t="s">
        <v>1502</v>
      </c>
    </row>
    <row r="1994" spans="5:8" x14ac:dyDescent="0.3">
      <c r="E1994" s="5" t="s">
        <v>1493</v>
      </c>
      <c r="F1994" s="5" t="s">
        <v>81</v>
      </c>
      <c r="G1994" s="5" t="s">
        <v>192</v>
      </c>
      <c r="H1994" s="5" t="s">
        <v>1503</v>
      </c>
    </row>
    <row r="1995" spans="5:8" x14ac:dyDescent="0.3">
      <c r="E1995" s="5" t="s">
        <v>1552</v>
      </c>
      <c r="F1995" s="5" t="s">
        <v>89</v>
      </c>
      <c r="G1995" s="5" t="s">
        <v>160</v>
      </c>
      <c r="H1995" s="5" t="s">
        <v>1553</v>
      </c>
    </row>
    <row r="1996" spans="5:8" x14ac:dyDescent="0.3">
      <c r="E1996" s="5" t="s">
        <v>1552</v>
      </c>
      <c r="F1996" s="5" t="s">
        <v>89</v>
      </c>
      <c r="G1996" s="5" t="s">
        <v>162</v>
      </c>
      <c r="H1996" s="5" t="s">
        <v>1182</v>
      </c>
    </row>
    <row r="1997" spans="5:8" x14ac:dyDescent="0.3">
      <c r="E1997" s="5" t="s">
        <v>1552</v>
      </c>
      <c r="F1997" s="5" t="s">
        <v>89</v>
      </c>
      <c r="G1997" s="5" t="s">
        <v>164</v>
      </c>
      <c r="H1997" s="5" t="s">
        <v>1554</v>
      </c>
    </row>
    <row r="1998" spans="5:8" x14ac:dyDescent="0.3">
      <c r="E1998" s="5" t="s">
        <v>1552</v>
      </c>
      <c r="F1998" s="5" t="s">
        <v>89</v>
      </c>
      <c r="G1998" s="5" t="s">
        <v>166</v>
      </c>
      <c r="H1998" s="5" t="s">
        <v>1555</v>
      </c>
    </row>
    <row r="1999" spans="5:8" x14ac:dyDescent="0.3">
      <c r="E1999" s="5" t="s">
        <v>1552</v>
      </c>
      <c r="F1999" s="5" t="s">
        <v>89</v>
      </c>
      <c r="G1999" s="5" t="s">
        <v>168</v>
      </c>
      <c r="H1999" s="5" t="s">
        <v>1556</v>
      </c>
    </row>
    <row r="2000" spans="5:8" x14ac:dyDescent="0.3">
      <c r="E2000" s="5" t="s">
        <v>1552</v>
      </c>
      <c r="F2000" s="5" t="s">
        <v>89</v>
      </c>
      <c r="G2000" s="5" t="s">
        <v>170</v>
      </c>
      <c r="H2000" s="5" t="s">
        <v>1557</v>
      </c>
    </row>
    <row r="2001" spans="5:8" x14ac:dyDescent="0.3">
      <c r="E2001" s="5" t="s">
        <v>1552</v>
      </c>
      <c r="F2001" s="5" t="s">
        <v>89</v>
      </c>
      <c r="G2001" s="5" t="s">
        <v>172</v>
      </c>
      <c r="H2001" s="5" t="s">
        <v>988</v>
      </c>
    </row>
    <row r="2002" spans="5:8" x14ac:dyDescent="0.3">
      <c r="E2002" s="5" t="s">
        <v>1552</v>
      </c>
      <c r="F2002" s="5" t="s">
        <v>89</v>
      </c>
      <c r="G2002" s="5" t="s">
        <v>174</v>
      </c>
      <c r="H2002" s="5" t="s">
        <v>1558</v>
      </c>
    </row>
    <row r="2003" spans="5:8" x14ac:dyDescent="0.3">
      <c r="E2003" s="5" t="s">
        <v>1552</v>
      </c>
      <c r="F2003" s="5" t="s">
        <v>89</v>
      </c>
      <c r="G2003" s="5" t="s">
        <v>176</v>
      </c>
      <c r="H2003" s="5" t="s">
        <v>1559</v>
      </c>
    </row>
    <row r="2004" spans="5:8" x14ac:dyDescent="0.3">
      <c r="E2004" s="5" t="s">
        <v>1552</v>
      </c>
      <c r="F2004" s="5" t="s">
        <v>89</v>
      </c>
      <c r="G2004" s="5" t="s">
        <v>178</v>
      </c>
      <c r="H2004" s="5" t="s">
        <v>845</v>
      </c>
    </row>
    <row r="2005" spans="5:8" x14ac:dyDescent="0.3">
      <c r="E2005" s="5" t="s">
        <v>1552</v>
      </c>
      <c r="F2005" s="5" t="s">
        <v>89</v>
      </c>
      <c r="G2005" s="5" t="s">
        <v>180</v>
      </c>
      <c r="H2005" s="5" t="s">
        <v>376</v>
      </c>
    </row>
    <row r="2006" spans="5:8" x14ac:dyDescent="0.3">
      <c r="E2006" s="5" t="s">
        <v>1552</v>
      </c>
      <c r="F2006" s="5" t="s">
        <v>89</v>
      </c>
      <c r="G2006" s="5" t="s">
        <v>182</v>
      </c>
      <c r="H2006" s="5" t="s">
        <v>1560</v>
      </c>
    </row>
    <row r="2007" spans="5:8" x14ac:dyDescent="0.3">
      <c r="E2007" s="5" t="s">
        <v>1552</v>
      </c>
      <c r="F2007" s="5" t="s">
        <v>89</v>
      </c>
      <c r="G2007" s="5" t="s">
        <v>184</v>
      </c>
      <c r="H2007" s="5" t="s">
        <v>899</v>
      </c>
    </row>
    <row r="2008" spans="5:8" x14ac:dyDescent="0.3">
      <c r="E2008" s="5" t="s">
        <v>1552</v>
      </c>
      <c r="F2008" s="5" t="s">
        <v>89</v>
      </c>
      <c r="G2008" s="5" t="s">
        <v>186</v>
      </c>
      <c r="H2008" s="5" t="s">
        <v>1561</v>
      </c>
    </row>
    <row r="2009" spans="5:8" x14ac:dyDescent="0.3">
      <c r="E2009" s="5" t="s">
        <v>1552</v>
      </c>
      <c r="F2009" s="5" t="s">
        <v>89</v>
      </c>
      <c r="G2009" s="5" t="s">
        <v>188</v>
      </c>
      <c r="H2009" s="5" t="s">
        <v>1562</v>
      </c>
    </row>
    <row r="2010" spans="5:8" x14ac:dyDescent="0.3">
      <c r="E2010" s="5" t="s">
        <v>1552</v>
      </c>
      <c r="F2010" s="5" t="s">
        <v>89</v>
      </c>
      <c r="G2010" s="5" t="s">
        <v>190</v>
      </c>
      <c r="H2010" s="5" t="s">
        <v>1204</v>
      </c>
    </row>
    <row r="2011" spans="5:8" x14ac:dyDescent="0.3">
      <c r="E2011" s="5" t="s">
        <v>1552</v>
      </c>
      <c r="F2011" s="5" t="s">
        <v>89</v>
      </c>
      <c r="G2011" s="5" t="s">
        <v>192</v>
      </c>
      <c r="H2011" s="5" t="s">
        <v>219</v>
      </c>
    </row>
    <row r="2012" spans="5:8" x14ac:dyDescent="0.3">
      <c r="E2012" s="5" t="s">
        <v>1552</v>
      </c>
      <c r="F2012" s="5" t="s">
        <v>89</v>
      </c>
      <c r="G2012" s="5" t="s">
        <v>194</v>
      </c>
      <c r="H2012" s="5" t="s">
        <v>385</v>
      </c>
    </row>
    <row r="2013" spans="5:8" x14ac:dyDescent="0.3">
      <c r="E2013" s="5" t="s">
        <v>1552</v>
      </c>
      <c r="F2013" s="5" t="s">
        <v>89</v>
      </c>
      <c r="G2013" s="5" t="s">
        <v>196</v>
      </c>
      <c r="H2013" s="5" t="s">
        <v>1226</v>
      </c>
    </row>
    <row r="2014" spans="5:8" x14ac:dyDescent="0.3">
      <c r="E2014" s="5" t="s">
        <v>1552</v>
      </c>
      <c r="F2014" s="5" t="s">
        <v>89</v>
      </c>
      <c r="G2014" s="5" t="s">
        <v>198</v>
      </c>
      <c r="H2014" s="5" t="s">
        <v>223</v>
      </c>
    </row>
    <row r="2015" spans="5:8" x14ac:dyDescent="0.3">
      <c r="E2015" s="5" t="s">
        <v>1552</v>
      </c>
      <c r="F2015" s="5" t="s">
        <v>89</v>
      </c>
      <c r="G2015" s="5" t="s">
        <v>200</v>
      </c>
      <c r="H2015" s="5" t="s">
        <v>574</v>
      </c>
    </row>
    <row r="2016" spans="5:8" x14ac:dyDescent="0.3">
      <c r="E2016" s="5" t="s">
        <v>1552</v>
      </c>
      <c r="F2016" s="5" t="s">
        <v>89</v>
      </c>
      <c r="G2016" s="5" t="s">
        <v>202</v>
      </c>
      <c r="H2016" s="5" t="s">
        <v>1563</v>
      </c>
    </row>
    <row r="2017" spans="5:8" x14ac:dyDescent="0.3">
      <c r="E2017" s="5" t="s">
        <v>1552</v>
      </c>
      <c r="F2017" s="5" t="s">
        <v>89</v>
      </c>
      <c r="G2017" s="5" t="s">
        <v>204</v>
      </c>
      <c r="H2017" s="5" t="s">
        <v>233</v>
      </c>
    </row>
    <row r="2018" spans="5:8" x14ac:dyDescent="0.3">
      <c r="E2018" s="5" t="s">
        <v>1552</v>
      </c>
      <c r="F2018" s="5" t="s">
        <v>89</v>
      </c>
      <c r="G2018" s="5" t="s">
        <v>206</v>
      </c>
      <c r="H2018" s="5" t="s">
        <v>446</v>
      </c>
    </row>
    <row r="2019" spans="5:8" x14ac:dyDescent="0.3">
      <c r="E2019" s="5" t="s">
        <v>1552</v>
      </c>
      <c r="F2019" s="5" t="s">
        <v>89</v>
      </c>
      <c r="G2019" s="5" t="s">
        <v>208</v>
      </c>
      <c r="H2019" s="5" t="s">
        <v>826</v>
      </c>
    </row>
    <row r="2020" spans="5:8" x14ac:dyDescent="0.3">
      <c r="E2020" s="5" t="s">
        <v>1552</v>
      </c>
      <c r="F2020" s="5" t="s">
        <v>89</v>
      </c>
      <c r="G2020" s="5" t="s">
        <v>210</v>
      </c>
      <c r="H2020" s="5" t="s">
        <v>865</v>
      </c>
    </row>
    <row r="2021" spans="5:8" x14ac:dyDescent="0.3">
      <c r="E2021" s="5" t="s">
        <v>1552</v>
      </c>
      <c r="F2021" s="5" t="s">
        <v>89</v>
      </c>
      <c r="G2021" s="5" t="s">
        <v>212</v>
      </c>
      <c r="H2021" s="5" t="s">
        <v>249</v>
      </c>
    </row>
    <row r="2022" spans="5:8" x14ac:dyDescent="0.3">
      <c r="E2022" s="5" t="s">
        <v>1552</v>
      </c>
      <c r="F2022" s="5" t="s">
        <v>89</v>
      </c>
      <c r="G2022" s="5" t="s">
        <v>214</v>
      </c>
      <c r="H2022" s="5" t="s">
        <v>259</v>
      </c>
    </row>
    <row r="2023" spans="5:8" x14ac:dyDescent="0.3">
      <c r="E2023" s="5" t="s">
        <v>1552</v>
      </c>
      <c r="F2023" s="5" t="s">
        <v>89</v>
      </c>
      <c r="G2023" s="5" t="s">
        <v>216</v>
      </c>
      <c r="H2023" s="5" t="s">
        <v>261</v>
      </c>
    </row>
    <row r="2024" spans="5:8" x14ac:dyDescent="0.3">
      <c r="E2024" s="5" t="s">
        <v>1552</v>
      </c>
      <c r="F2024" s="5" t="s">
        <v>89</v>
      </c>
      <c r="G2024" s="5" t="s">
        <v>218</v>
      </c>
      <c r="H2024" s="5" t="s">
        <v>589</v>
      </c>
    </row>
    <row r="2025" spans="5:8" x14ac:dyDescent="0.3">
      <c r="E2025" s="5" t="s">
        <v>1552</v>
      </c>
      <c r="F2025" s="5" t="s">
        <v>89</v>
      </c>
      <c r="G2025" s="5" t="s">
        <v>220</v>
      </c>
      <c r="H2025" s="5" t="s">
        <v>1564</v>
      </c>
    </row>
    <row r="2026" spans="5:8" x14ac:dyDescent="0.3">
      <c r="E2026" s="5" t="s">
        <v>1552</v>
      </c>
      <c r="F2026" s="5" t="s">
        <v>89</v>
      </c>
      <c r="G2026" s="5" t="s">
        <v>222</v>
      </c>
      <c r="H2026" s="5" t="s">
        <v>1565</v>
      </c>
    </row>
    <row r="2027" spans="5:8" x14ac:dyDescent="0.3">
      <c r="E2027" s="5" t="s">
        <v>1552</v>
      </c>
      <c r="F2027" s="5" t="s">
        <v>89</v>
      </c>
      <c r="G2027" s="5" t="s">
        <v>224</v>
      </c>
      <c r="H2027" s="5" t="s">
        <v>829</v>
      </c>
    </row>
    <row r="2028" spans="5:8" x14ac:dyDescent="0.3">
      <c r="E2028" s="5" t="s">
        <v>1552</v>
      </c>
      <c r="F2028" s="5" t="s">
        <v>89</v>
      </c>
      <c r="G2028" s="5" t="s">
        <v>226</v>
      </c>
      <c r="H2028" s="5" t="s">
        <v>1566</v>
      </c>
    </row>
    <row r="2029" spans="5:8" x14ac:dyDescent="0.3">
      <c r="E2029" s="5" t="s">
        <v>1552</v>
      </c>
      <c r="F2029" s="5" t="s">
        <v>89</v>
      </c>
      <c r="G2029" s="5" t="s">
        <v>228</v>
      </c>
      <c r="H2029" s="5" t="s">
        <v>1567</v>
      </c>
    </row>
    <row r="2030" spans="5:8" x14ac:dyDescent="0.3">
      <c r="E2030" s="5" t="s">
        <v>1552</v>
      </c>
      <c r="F2030" s="5" t="s">
        <v>89</v>
      </c>
      <c r="G2030" s="5" t="s">
        <v>230</v>
      </c>
      <c r="H2030" s="5" t="s">
        <v>459</v>
      </c>
    </row>
    <row r="2031" spans="5:8" x14ac:dyDescent="0.3">
      <c r="E2031" s="5" t="s">
        <v>1552</v>
      </c>
      <c r="F2031" s="5" t="s">
        <v>89</v>
      </c>
      <c r="G2031" s="5" t="s">
        <v>232</v>
      </c>
      <c r="H2031" s="5" t="s">
        <v>1568</v>
      </c>
    </row>
    <row r="2032" spans="5:8" x14ac:dyDescent="0.3">
      <c r="E2032" s="5" t="s">
        <v>1552</v>
      </c>
      <c r="F2032" s="5" t="s">
        <v>89</v>
      </c>
      <c r="G2032" s="5" t="s">
        <v>234</v>
      </c>
      <c r="H2032" s="5" t="s">
        <v>1569</v>
      </c>
    </row>
    <row r="2033" spans="5:8" x14ac:dyDescent="0.3">
      <c r="E2033" s="5" t="s">
        <v>1552</v>
      </c>
      <c r="F2033" s="5" t="s">
        <v>89</v>
      </c>
      <c r="G2033" s="5" t="s">
        <v>236</v>
      </c>
      <c r="H2033" s="5" t="s">
        <v>1263</v>
      </c>
    </row>
    <row r="2034" spans="5:8" x14ac:dyDescent="0.3">
      <c r="E2034" s="5" t="s">
        <v>1552</v>
      </c>
      <c r="F2034" s="5" t="s">
        <v>89</v>
      </c>
      <c r="G2034" s="5" t="s">
        <v>238</v>
      </c>
      <c r="H2034" s="5" t="s">
        <v>596</v>
      </c>
    </row>
    <row r="2035" spans="5:8" x14ac:dyDescent="0.3">
      <c r="E2035" s="5" t="s">
        <v>1552</v>
      </c>
      <c r="F2035" s="5" t="s">
        <v>89</v>
      </c>
      <c r="G2035" s="5" t="s">
        <v>240</v>
      </c>
      <c r="H2035" s="5" t="s">
        <v>1570</v>
      </c>
    </row>
    <row r="2036" spans="5:8" x14ac:dyDescent="0.3">
      <c r="E2036" s="5" t="s">
        <v>1552</v>
      </c>
      <c r="F2036" s="5" t="s">
        <v>89</v>
      </c>
      <c r="G2036" s="5" t="s">
        <v>242</v>
      </c>
      <c r="H2036" s="5" t="s">
        <v>1571</v>
      </c>
    </row>
    <row r="2037" spans="5:8" x14ac:dyDescent="0.3">
      <c r="E2037" s="5" t="s">
        <v>1552</v>
      </c>
      <c r="F2037" s="5" t="s">
        <v>89</v>
      </c>
      <c r="G2037" s="5" t="s">
        <v>244</v>
      </c>
      <c r="H2037" s="5" t="s">
        <v>731</v>
      </c>
    </row>
    <row r="2038" spans="5:8" x14ac:dyDescent="0.3">
      <c r="E2038" s="5" t="s">
        <v>1552</v>
      </c>
      <c r="F2038" s="5" t="s">
        <v>89</v>
      </c>
      <c r="G2038" s="5" t="s">
        <v>246</v>
      </c>
      <c r="H2038" s="5" t="s">
        <v>1572</v>
      </c>
    </row>
    <row r="2039" spans="5:8" x14ac:dyDescent="0.3">
      <c r="E2039" s="5" t="s">
        <v>1552</v>
      </c>
      <c r="F2039" s="5" t="s">
        <v>89</v>
      </c>
      <c r="G2039" s="5" t="s">
        <v>250</v>
      </c>
      <c r="H2039" s="5" t="s">
        <v>1574</v>
      </c>
    </row>
    <row r="2040" spans="5:8" x14ac:dyDescent="0.3">
      <c r="E2040" s="5" t="s">
        <v>1552</v>
      </c>
      <c r="F2040" s="5" t="s">
        <v>89</v>
      </c>
      <c r="G2040" s="5" t="s">
        <v>252</v>
      </c>
      <c r="H2040" s="5" t="s">
        <v>1575</v>
      </c>
    </row>
    <row r="2041" spans="5:8" x14ac:dyDescent="0.3">
      <c r="E2041" s="5" t="s">
        <v>1552</v>
      </c>
      <c r="F2041" s="5" t="s">
        <v>89</v>
      </c>
      <c r="G2041" s="5" t="s">
        <v>254</v>
      </c>
      <c r="H2041" s="5" t="s">
        <v>1576</v>
      </c>
    </row>
    <row r="2042" spans="5:8" x14ac:dyDescent="0.3">
      <c r="E2042" s="5" t="s">
        <v>1552</v>
      </c>
      <c r="F2042" s="5" t="s">
        <v>89</v>
      </c>
      <c r="G2042" s="5" t="s">
        <v>256</v>
      </c>
      <c r="H2042" s="5" t="s">
        <v>881</v>
      </c>
    </row>
    <row r="2043" spans="5:8" x14ac:dyDescent="0.3">
      <c r="E2043" s="5" t="s">
        <v>1552</v>
      </c>
      <c r="F2043" s="5" t="s">
        <v>89</v>
      </c>
      <c r="G2043" s="5" t="s">
        <v>258</v>
      </c>
      <c r="H2043" s="5" t="s">
        <v>1577</v>
      </c>
    </row>
    <row r="2044" spans="5:8" x14ac:dyDescent="0.3">
      <c r="E2044" s="5" t="s">
        <v>1552</v>
      </c>
      <c r="F2044" s="5" t="s">
        <v>89</v>
      </c>
      <c r="G2044" s="5" t="s">
        <v>248</v>
      </c>
      <c r="H2044" s="5" t="s">
        <v>1573</v>
      </c>
    </row>
    <row r="2045" spans="5:8" x14ac:dyDescent="0.3">
      <c r="E2045" s="5" t="s">
        <v>1552</v>
      </c>
      <c r="F2045" s="5" t="s">
        <v>89</v>
      </c>
      <c r="G2045" s="5" t="s">
        <v>260</v>
      </c>
      <c r="H2045" s="5" t="s">
        <v>924</v>
      </c>
    </row>
    <row r="2046" spans="5:8" x14ac:dyDescent="0.3">
      <c r="E2046" s="5" t="s">
        <v>1552</v>
      </c>
      <c r="F2046" s="5" t="s">
        <v>89</v>
      </c>
      <c r="G2046" s="5" t="s">
        <v>262</v>
      </c>
      <c r="H2046" s="5" t="s">
        <v>1209</v>
      </c>
    </row>
    <row r="2047" spans="5:8" x14ac:dyDescent="0.3">
      <c r="E2047" s="5" t="s">
        <v>1552</v>
      </c>
      <c r="F2047" s="5" t="s">
        <v>89</v>
      </c>
      <c r="G2047" s="5" t="s">
        <v>264</v>
      </c>
      <c r="H2047" s="5" t="s">
        <v>925</v>
      </c>
    </row>
    <row r="2048" spans="5:8" x14ac:dyDescent="0.3">
      <c r="E2048" s="5" t="s">
        <v>1552</v>
      </c>
      <c r="F2048" s="5" t="s">
        <v>89</v>
      </c>
      <c r="G2048" s="5" t="s">
        <v>266</v>
      </c>
      <c r="H2048" s="5" t="s">
        <v>1578</v>
      </c>
    </row>
    <row r="2049" spans="5:8" x14ac:dyDescent="0.3">
      <c r="E2049" s="5" t="s">
        <v>1552</v>
      </c>
      <c r="F2049" s="5" t="s">
        <v>89</v>
      </c>
      <c r="G2049" s="5" t="s">
        <v>268</v>
      </c>
      <c r="H2049" s="5" t="s">
        <v>1579</v>
      </c>
    </row>
    <row r="2050" spans="5:8" x14ac:dyDescent="0.3">
      <c r="E2050" s="5" t="s">
        <v>1552</v>
      </c>
      <c r="F2050" s="5" t="s">
        <v>89</v>
      </c>
      <c r="G2050" s="5" t="s">
        <v>270</v>
      </c>
      <c r="H2050" s="5" t="s">
        <v>1580</v>
      </c>
    </row>
    <row r="2051" spans="5:8" x14ac:dyDescent="0.3">
      <c r="E2051" s="5" t="s">
        <v>1552</v>
      </c>
      <c r="F2051" s="5" t="s">
        <v>89</v>
      </c>
      <c r="G2051" s="5" t="s">
        <v>272</v>
      </c>
      <c r="H2051" s="5" t="s">
        <v>779</v>
      </c>
    </row>
    <row r="2052" spans="5:8" x14ac:dyDescent="0.3">
      <c r="E2052" s="5" t="s">
        <v>1552</v>
      </c>
      <c r="F2052" s="5" t="s">
        <v>89</v>
      </c>
      <c r="G2052" s="5" t="s">
        <v>274</v>
      </c>
      <c r="H2052" s="5" t="s">
        <v>289</v>
      </c>
    </row>
    <row r="2053" spans="5:8" x14ac:dyDescent="0.3">
      <c r="E2053" s="5" t="s">
        <v>1552</v>
      </c>
      <c r="F2053" s="5" t="s">
        <v>89</v>
      </c>
      <c r="G2053" s="5" t="s">
        <v>276</v>
      </c>
      <c r="H2053" s="5" t="s">
        <v>782</v>
      </c>
    </row>
    <row r="2054" spans="5:8" x14ac:dyDescent="0.3">
      <c r="E2054" s="5" t="s">
        <v>1552</v>
      </c>
      <c r="F2054" s="5" t="s">
        <v>89</v>
      </c>
      <c r="G2054" s="5" t="s">
        <v>278</v>
      </c>
      <c r="H2054" s="5" t="s">
        <v>1581</v>
      </c>
    </row>
    <row r="2055" spans="5:8" x14ac:dyDescent="0.3">
      <c r="E2055" s="5" t="s">
        <v>1552</v>
      </c>
      <c r="F2055" s="5" t="s">
        <v>89</v>
      </c>
      <c r="G2055" s="5" t="s">
        <v>280</v>
      </c>
      <c r="H2055" s="5" t="s">
        <v>1582</v>
      </c>
    </row>
    <row r="2056" spans="5:8" x14ac:dyDescent="0.3">
      <c r="E2056" s="5" t="s">
        <v>1552</v>
      </c>
      <c r="F2056" s="5" t="s">
        <v>89</v>
      </c>
      <c r="G2056" s="5" t="s">
        <v>282</v>
      </c>
      <c r="H2056" s="5" t="s">
        <v>1583</v>
      </c>
    </row>
    <row r="2057" spans="5:8" x14ac:dyDescent="0.3">
      <c r="E2057" s="5" t="s">
        <v>1681</v>
      </c>
      <c r="F2057" s="5" t="s">
        <v>95</v>
      </c>
      <c r="G2057" s="5" t="s">
        <v>160</v>
      </c>
      <c r="H2057" s="5" t="s">
        <v>487</v>
      </c>
    </row>
    <row r="2058" spans="5:8" x14ac:dyDescent="0.3">
      <c r="E2058" s="5" t="s">
        <v>1681</v>
      </c>
      <c r="F2058" s="5" t="s">
        <v>95</v>
      </c>
      <c r="G2058" s="5" t="s">
        <v>162</v>
      </c>
      <c r="H2058" s="5" t="s">
        <v>894</v>
      </c>
    </row>
    <row r="2059" spans="5:8" x14ac:dyDescent="0.3">
      <c r="E2059" s="5" t="s">
        <v>1681</v>
      </c>
      <c r="F2059" s="5" t="s">
        <v>95</v>
      </c>
      <c r="G2059" s="5" t="s">
        <v>164</v>
      </c>
      <c r="H2059" s="5" t="s">
        <v>1682</v>
      </c>
    </row>
    <row r="2060" spans="5:8" x14ac:dyDescent="0.3">
      <c r="E2060" s="5" t="s">
        <v>1681</v>
      </c>
      <c r="F2060" s="5" t="s">
        <v>95</v>
      </c>
      <c r="G2060" s="5" t="s">
        <v>166</v>
      </c>
      <c r="H2060" s="5" t="s">
        <v>1683</v>
      </c>
    </row>
    <row r="2061" spans="5:8" x14ac:dyDescent="0.3">
      <c r="E2061" s="5" t="s">
        <v>1681</v>
      </c>
      <c r="F2061" s="5" t="s">
        <v>95</v>
      </c>
      <c r="G2061" s="5" t="s">
        <v>168</v>
      </c>
      <c r="H2061" s="5" t="s">
        <v>1684</v>
      </c>
    </row>
    <row r="2062" spans="5:8" x14ac:dyDescent="0.3">
      <c r="E2062" s="5" t="s">
        <v>1681</v>
      </c>
      <c r="F2062" s="5" t="s">
        <v>95</v>
      </c>
      <c r="G2062" s="5" t="s">
        <v>170</v>
      </c>
      <c r="H2062" s="5" t="s">
        <v>1685</v>
      </c>
    </row>
    <row r="2063" spans="5:8" x14ac:dyDescent="0.3">
      <c r="E2063" s="5" t="s">
        <v>1681</v>
      </c>
      <c r="F2063" s="5" t="s">
        <v>95</v>
      </c>
      <c r="G2063" s="5" t="s">
        <v>172</v>
      </c>
      <c r="H2063" s="5" t="s">
        <v>1686</v>
      </c>
    </row>
    <row r="2064" spans="5:8" x14ac:dyDescent="0.3">
      <c r="E2064" s="5" t="s">
        <v>1681</v>
      </c>
      <c r="F2064" s="5" t="s">
        <v>95</v>
      </c>
      <c r="G2064" s="5" t="s">
        <v>174</v>
      </c>
      <c r="H2064" s="5" t="s">
        <v>840</v>
      </c>
    </row>
    <row r="2065" spans="5:8" x14ac:dyDescent="0.3">
      <c r="E2065" s="5" t="s">
        <v>1681</v>
      </c>
      <c r="F2065" s="5" t="s">
        <v>95</v>
      </c>
      <c r="G2065" s="5" t="s">
        <v>176</v>
      </c>
      <c r="H2065" s="5" t="s">
        <v>173</v>
      </c>
    </row>
    <row r="2066" spans="5:8" x14ac:dyDescent="0.3">
      <c r="E2066" s="5" t="s">
        <v>1681</v>
      </c>
      <c r="F2066" s="5" t="s">
        <v>95</v>
      </c>
      <c r="G2066" s="5" t="s">
        <v>178</v>
      </c>
      <c r="H2066" s="5" t="s">
        <v>372</v>
      </c>
    </row>
    <row r="2067" spans="5:8" x14ac:dyDescent="0.3">
      <c r="E2067" s="5" t="s">
        <v>1681</v>
      </c>
      <c r="F2067" s="5" t="s">
        <v>95</v>
      </c>
      <c r="G2067" s="5" t="s">
        <v>180</v>
      </c>
      <c r="H2067" s="5" t="s">
        <v>843</v>
      </c>
    </row>
    <row r="2068" spans="5:8" x14ac:dyDescent="0.3">
      <c r="E2068" s="5" t="s">
        <v>1681</v>
      </c>
      <c r="F2068" s="5" t="s">
        <v>95</v>
      </c>
      <c r="G2068" s="5" t="s">
        <v>182</v>
      </c>
      <c r="H2068" s="5" t="s">
        <v>374</v>
      </c>
    </row>
    <row r="2069" spans="5:8" x14ac:dyDescent="0.3">
      <c r="E2069" s="5" t="s">
        <v>1681</v>
      </c>
      <c r="F2069" s="5" t="s">
        <v>95</v>
      </c>
      <c r="G2069" s="5" t="s">
        <v>184</v>
      </c>
      <c r="H2069" s="5" t="s">
        <v>1687</v>
      </c>
    </row>
    <row r="2070" spans="5:8" x14ac:dyDescent="0.3">
      <c r="E2070" s="5" t="s">
        <v>1681</v>
      </c>
      <c r="F2070" s="5" t="s">
        <v>95</v>
      </c>
      <c r="G2070" s="5" t="s">
        <v>186</v>
      </c>
      <c r="H2070" s="5" t="s">
        <v>845</v>
      </c>
    </row>
    <row r="2071" spans="5:8" x14ac:dyDescent="0.3">
      <c r="E2071" s="5" t="s">
        <v>1681</v>
      </c>
      <c r="F2071" s="5" t="s">
        <v>95</v>
      </c>
      <c r="G2071" s="5" t="s">
        <v>188</v>
      </c>
      <c r="H2071" s="5" t="s">
        <v>1688</v>
      </c>
    </row>
    <row r="2072" spans="5:8" x14ac:dyDescent="0.3">
      <c r="E2072" s="5" t="s">
        <v>1681</v>
      </c>
      <c r="F2072" s="5" t="s">
        <v>95</v>
      </c>
      <c r="G2072" s="5" t="s">
        <v>190</v>
      </c>
      <c r="H2072" s="5" t="s">
        <v>1689</v>
      </c>
    </row>
    <row r="2073" spans="5:8" x14ac:dyDescent="0.3">
      <c r="E2073" s="5" t="s">
        <v>1681</v>
      </c>
      <c r="F2073" s="5" t="s">
        <v>95</v>
      </c>
      <c r="G2073" s="5" t="s">
        <v>192</v>
      </c>
      <c r="H2073" s="5" t="s">
        <v>379</v>
      </c>
    </row>
    <row r="2074" spans="5:8" x14ac:dyDescent="0.3">
      <c r="E2074" s="5" t="s">
        <v>1681</v>
      </c>
      <c r="F2074" s="5" t="s">
        <v>95</v>
      </c>
      <c r="G2074" s="5" t="s">
        <v>194</v>
      </c>
      <c r="H2074" s="5" t="s">
        <v>1690</v>
      </c>
    </row>
    <row r="2075" spans="5:8" x14ac:dyDescent="0.3">
      <c r="E2075" s="5" t="s">
        <v>1681</v>
      </c>
      <c r="F2075" s="5" t="s">
        <v>95</v>
      </c>
      <c r="G2075" s="5" t="s">
        <v>196</v>
      </c>
      <c r="H2075" s="5" t="s">
        <v>1691</v>
      </c>
    </row>
    <row r="2076" spans="5:8" x14ac:dyDescent="0.3">
      <c r="E2076" s="5" t="s">
        <v>1681</v>
      </c>
      <c r="F2076" s="5" t="s">
        <v>95</v>
      </c>
      <c r="G2076" s="5" t="s">
        <v>198</v>
      </c>
      <c r="H2076" s="5" t="s">
        <v>1692</v>
      </c>
    </row>
    <row r="2077" spans="5:8" x14ac:dyDescent="0.3">
      <c r="E2077" s="5" t="s">
        <v>1681</v>
      </c>
      <c r="F2077" s="5" t="s">
        <v>95</v>
      </c>
      <c r="G2077" s="5" t="s">
        <v>200</v>
      </c>
      <c r="H2077" s="5" t="s">
        <v>899</v>
      </c>
    </row>
    <row r="2078" spans="5:8" x14ac:dyDescent="0.3">
      <c r="E2078" s="5" t="s">
        <v>1681</v>
      </c>
      <c r="F2078" s="5" t="s">
        <v>95</v>
      </c>
      <c r="G2078" s="5" t="s">
        <v>202</v>
      </c>
      <c r="H2078" s="5" t="s">
        <v>1562</v>
      </c>
    </row>
    <row r="2079" spans="5:8" x14ac:dyDescent="0.3">
      <c r="E2079" s="5" t="s">
        <v>1681</v>
      </c>
      <c r="F2079" s="5" t="s">
        <v>95</v>
      </c>
      <c r="G2079" s="5" t="s">
        <v>204</v>
      </c>
      <c r="H2079" s="5" t="s">
        <v>543</v>
      </c>
    </row>
    <row r="2080" spans="5:8" x14ac:dyDescent="0.3">
      <c r="E2080" s="5" t="s">
        <v>1681</v>
      </c>
      <c r="F2080" s="5" t="s">
        <v>95</v>
      </c>
      <c r="G2080" s="5" t="s">
        <v>206</v>
      </c>
      <c r="H2080" s="5" t="s">
        <v>217</v>
      </c>
    </row>
    <row r="2081" spans="5:8" x14ac:dyDescent="0.3">
      <c r="E2081" s="5" t="s">
        <v>1681</v>
      </c>
      <c r="F2081" s="5" t="s">
        <v>95</v>
      </c>
      <c r="G2081" s="5" t="s">
        <v>208</v>
      </c>
      <c r="H2081" s="5" t="s">
        <v>219</v>
      </c>
    </row>
    <row r="2082" spans="5:8" x14ac:dyDescent="0.3">
      <c r="E2082" s="5" t="s">
        <v>1681</v>
      </c>
      <c r="F2082" s="5" t="s">
        <v>95</v>
      </c>
      <c r="G2082" s="5" t="s">
        <v>210</v>
      </c>
      <c r="H2082" s="5" t="s">
        <v>385</v>
      </c>
    </row>
    <row r="2083" spans="5:8" x14ac:dyDescent="0.3">
      <c r="E2083" s="5" t="s">
        <v>1681</v>
      </c>
      <c r="F2083" s="5" t="s">
        <v>95</v>
      </c>
      <c r="G2083" s="5" t="s">
        <v>212</v>
      </c>
      <c r="H2083" s="5" t="s">
        <v>1693</v>
      </c>
    </row>
    <row r="2084" spans="5:8" x14ac:dyDescent="0.3">
      <c r="E2084" s="5" t="s">
        <v>1681</v>
      </c>
      <c r="F2084" s="5" t="s">
        <v>95</v>
      </c>
      <c r="G2084" s="5" t="s">
        <v>214</v>
      </c>
      <c r="H2084" s="5" t="s">
        <v>1694</v>
      </c>
    </row>
    <row r="2085" spans="5:8" x14ac:dyDescent="0.3">
      <c r="E2085" s="5" t="s">
        <v>1681</v>
      </c>
      <c r="F2085" s="5" t="s">
        <v>95</v>
      </c>
      <c r="G2085" s="5" t="s">
        <v>216</v>
      </c>
      <c r="H2085" s="5" t="s">
        <v>223</v>
      </c>
    </row>
    <row r="2086" spans="5:8" x14ac:dyDescent="0.3">
      <c r="E2086" s="5" t="s">
        <v>1681</v>
      </c>
      <c r="F2086" s="5" t="s">
        <v>95</v>
      </c>
      <c r="G2086" s="5" t="s">
        <v>218</v>
      </c>
      <c r="H2086" s="5" t="s">
        <v>1695</v>
      </c>
    </row>
    <row r="2087" spans="5:8" x14ac:dyDescent="0.3">
      <c r="E2087" s="5" t="s">
        <v>1681</v>
      </c>
      <c r="F2087" s="5" t="s">
        <v>95</v>
      </c>
      <c r="G2087" s="5" t="s">
        <v>220</v>
      </c>
      <c r="H2087" s="5" t="s">
        <v>574</v>
      </c>
    </row>
    <row r="2088" spans="5:8" x14ac:dyDescent="0.3">
      <c r="E2088" s="5" t="s">
        <v>1681</v>
      </c>
      <c r="F2088" s="5" t="s">
        <v>95</v>
      </c>
      <c r="G2088" s="5" t="s">
        <v>222</v>
      </c>
      <c r="H2088" s="5" t="s">
        <v>659</v>
      </c>
    </row>
    <row r="2089" spans="5:8" x14ac:dyDescent="0.3">
      <c r="E2089" s="5" t="s">
        <v>1681</v>
      </c>
      <c r="F2089" s="5" t="s">
        <v>95</v>
      </c>
      <c r="G2089" s="5" t="s">
        <v>224</v>
      </c>
      <c r="H2089" s="5" t="s">
        <v>855</v>
      </c>
    </row>
    <row r="2090" spans="5:8" x14ac:dyDescent="0.3">
      <c r="E2090" s="5" t="s">
        <v>1681</v>
      </c>
      <c r="F2090" s="5" t="s">
        <v>95</v>
      </c>
      <c r="G2090" s="5" t="s">
        <v>226</v>
      </c>
      <c r="H2090" s="5" t="s">
        <v>904</v>
      </c>
    </row>
    <row r="2091" spans="5:8" x14ac:dyDescent="0.3">
      <c r="E2091" s="5" t="s">
        <v>1681</v>
      </c>
      <c r="F2091" s="5" t="s">
        <v>95</v>
      </c>
      <c r="G2091" s="5" t="s">
        <v>228</v>
      </c>
      <c r="H2091" s="5" t="s">
        <v>227</v>
      </c>
    </row>
    <row r="2092" spans="5:8" x14ac:dyDescent="0.3">
      <c r="E2092" s="5" t="s">
        <v>1681</v>
      </c>
      <c r="F2092" s="5" t="s">
        <v>95</v>
      </c>
      <c r="G2092" s="5" t="s">
        <v>230</v>
      </c>
      <c r="H2092" s="5" t="s">
        <v>1696</v>
      </c>
    </row>
    <row r="2093" spans="5:8" x14ac:dyDescent="0.3">
      <c r="E2093" s="5" t="s">
        <v>1681</v>
      </c>
      <c r="F2093" s="5" t="s">
        <v>95</v>
      </c>
      <c r="G2093" s="5" t="s">
        <v>232</v>
      </c>
      <c r="H2093" s="5" t="s">
        <v>1697</v>
      </c>
    </row>
    <row r="2094" spans="5:8" x14ac:dyDescent="0.3">
      <c r="E2094" s="5" t="s">
        <v>1681</v>
      </c>
      <c r="F2094" s="5" t="s">
        <v>95</v>
      </c>
      <c r="G2094" s="5" t="s">
        <v>234</v>
      </c>
      <c r="H2094" s="5" t="s">
        <v>580</v>
      </c>
    </row>
    <row r="2095" spans="5:8" x14ac:dyDescent="0.3">
      <c r="E2095" s="5" t="s">
        <v>1681</v>
      </c>
      <c r="F2095" s="5" t="s">
        <v>95</v>
      </c>
      <c r="G2095" s="5" t="s">
        <v>236</v>
      </c>
      <c r="H2095" s="5" t="s">
        <v>1233</v>
      </c>
    </row>
    <row r="2096" spans="5:8" x14ac:dyDescent="0.3">
      <c r="E2096" s="5" t="s">
        <v>1681</v>
      </c>
      <c r="F2096" s="5" t="s">
        <v>95</v>
      </c>
      <c r="G2096" s="5" t="s">
        <v>238</v>
      </c>
      <c r="H2096" s="5" t="s">
        <v>231</v>
      </c>
    </row>
    <row r="2097" spans="5:8" x14ac:dyDescent="0.3">
      <c r="E2097" s="5" t="s">
        <v>1681</v>
      </c>
      <c r="F2097" s="5" t="s">
        <v>95</v>
      </c>
      <c r="G2097" s="5" t="s">
        <v>240</v>
      </c>
      <c r="H2097" s="5" t="s">
        <v>233</v>
      </c>
    </row>
    <row r="2098" spans="5:8" x14ac:dyDescent="0.3">
      <c r="E2098" s="5" t="s">
        <v>1681</v>
      </c>
      <c r="F2098" s="5" t="s">
        <v>95</v>
      </c>
      <c r="G2098" s="5" t="s">
        <v>242</v>
      </c>
      <c r="H2098" s="5" t="s">
        <v>863</v>
      </c>
    </row>
    <row r="2099" spans="5:8" x14ac:dyDescent="0.3">
      <c r="E2099" s="5" t="s">
        <v>1681</v>
      </c>
      <c r="F2099" s="5" t="s">
        <v>95</v>
      </c>
      <c r="G2099" s="5" t="s">
        <v>244</v>
      </c>
      <c r="H2099" s="5" t="s">
        <v>447</v>
      </c>
    </row>
    <row r="2100" spans="5:8" x14ac:dyDescent="0.3">
      <c r="E2100" s="5" t="s">
        <v>1681</v>
      </c>
      <c r="F2100" s="5" t="s">
        <v>95</v>
      </c>
      <c r="G2100" s="5" t="s">
        <v>246</v>
      </c>
      <c r="H2100" s="5" t="s">
        <v>239</v>
      </c>
    </row>
    <row r="2101" spans="5:8" x14ac:dyDescent="0.3">
      <c r="E2101" s="5" t="s">
        <v>1681</v>
      </c>
      <c r="F2101" s="5" t="s">
        <v>95</v>
      </c>
      <c r="G2101" s="5" t="s">
        <v>248</v>
      </c>
      <c r="H2101" s="5" t="s">
        <v>1698</v>
      </c>
    </row>
    <row r="2102" spans="5:8" x14ac:dyDescent="0.3">
      <c r="E2102" s="5" t="s">
        <v>1681</v>
      </c>
      <c r="F2102" s="5" t="s">
        <v>95</v>
      </c>
      <c r="G2102" s="5" t="s">
        <v>250</v>
      </c>
      <c r="H2102" s="5" t="s">
        <v>397</v>
      </c>
    </row>
    <row r="2103" spans="5:8" x14ac:dyDescent="0.3">
      <c r="E2103" s="5" t="s">
        <v>1681</v>
      </c>
      <c r="F2103" s="5" t="s">
        <v>95</v>
      </c>
      <c r="G2103" s="5" t="s">
        <v>252</v>
      </c>
      <c r="H2103" s="5" t="s">
        <v>1699</v>
      </c>
    </row>
    <row r="2104" spans="5:8" x14ac:dyDescent="0.3">
      <c r="E2104" s="5" t="s">
        <v>1681</v>
      </c>
      <c r="F2104" s="5" t="s">
        <v>95</v>
      </c>
      <c r="G2104" s="5" t="s">
        <v>254</v>
      </c>
      <c r="H2104" s="5" t="s">
        <v>959</v>
      </c>
    </row>
    <row r="2105" spans="5:8" x14ac:dyDescent="0.3">
      <c r="E2105" s="5" t="s">
        <v>1681</v>
      </c>
      <c r="F2105" s="5" t="s">
        <v>95</v>
      </c>
      <c r="G2105" s="5" t="s">
        <v>256</v>
      </c>
      <c r="H2105" s="5" t="s">
        <v>249</v>
      </c>
    </row>
    <row r="2106" spans="5:8" x14ac:dyDescent="0.3">
      <c r="E2106" s="5" t="s">
        <v>1681</v>
      </c>
      <c r="F2106" s="5" t="s">
        <v>95</v>
      </c>
      <c r="G2106" s="5" t="s">
        <v>258</v>
      </c>
      <c r="H2106" s="5" t="s">
        <v>1700</v>
      </c>
    </row>
    <row r="2107" spans="5:8" x14ac:dyDescent="0.3">
      <c r="E2107" s="5" t="s">
        <v>1681</v>
      </c>
      <c r="F2107" s="5" t="s">
        <v>95</v>
      </c>
      <c r="G2107" s="5" t="s">
        <v>260</v>
      </c>
      <c r="H2107" s="5" t="s">
        <v>253</v>
      </c>
    </row>
    <row r="2108" spans="5:8" x14ac:dyDescent="0.3">
      <c r="E2108" s="5" t="s">
        <v>1681</v>
      </c>
      <c r="F2108" s="5" t="s">
        <v>95</v>
      </c>
      <c r="G2108" s="5" t="s">
        <v>262</v>
      </c>
      <c r="H2108" s="5" t="s">
        <v>1701</v>
      </c>
    </row>
    <row r="2109" spans="5:8" x14ac:dyDescent="0.3">
      <c r="E2109" s="5" t="s">
        <v>1681</v>
      </c>
      <c r="F2109" s="5" t="s">
        <v>95</v>
      </c>
      <c r="G2109" s="5" t="s">
        <v>264</v>
      </c>
      <c r="H2109" s="5" t="s">
        <v>1702</v>
      </c>
    </row>
    <row r="2110" spans="5:8" x14ac:dyDescent="0.3">
      <c r="E2110" s="5" t="s">
        <v>1681</v>
      </c>
      <c r="F2110" s="5" t="s">
        <v>95</v>
      </c>
      <c r="G2110" s="5" t="s">
        <v>266</v>
      </c>
      <c r="H2110" s="5" t="s">
        <v>873</v>
      </c>
    </row>
    <row r="2111" spans="5:8" x14ac:dyDescent="0.3">
      <c r="E2111" s="5" t="s">
        <v>1681</v>
      </c>
      <c r="F2111" s="5" t="s">
        <v>95</v>
      </c>
      <c r="G2111" s="5" t="s">
        <v>268</v>
      </c>
      <c r="H2111" s="5" t="s">
        <v>912</v>
      </c>
    </row>
    <row r="2112" spans="5:8" x14ac:dyDescent="0.3">
      <c r="E2112" s="5" t="s">
        <v>1681</v>
      </c>
      <c r="F2112" s="5" t="s">
        <v>95</v>
      </c>
      <c r="G2112" s="5" t="s">
        <v>270</v>
      </c>
      <c r="H2112" s="5" t="s">
        <v>259</v>
      </c>
    </row>
    <row r="2113" spans="5:8" x14ac:dyDescent="0.3">
      <c r="E2113" s="5" t="s">
        <v>1681</v>
      </c>
      <c r="F2113" s="5" t="s">
        <v>95</v>
      </c>
      <c r="G2113" s="5" t="s">
        <v>272</v>
      </c>
      <c r="H2113" s="5" t="s">
        <v>261</v>
      </c>
    </row>
    <row r="2114" spans="5:8" x14ac:dyDescent="0.3">
      <c r="E2114" s="5" t="s">
        <v>1681</v>
      </c>
      <c r="F2114" s="5" t="s">
        <v>95</v>
      </c>
      <c r="G2114" s="5" t="s">
        <v>274</v>
      </c>
      <c r="H2114" s="5" t="s">
        <v>263</v>
      </c>
    </row>
    <row r="2115" spans="5:8" x14ac:dyDescent="0.3">
      <c r="E2115" s="5" t="s">
        <v>1681</v>
      </c>
      <c r="F2115" s="5" t="s">
        <v>95</v>
      </c>
      <c r="G2115" s="5" t="s">
        <v>276</v>
      </c>
      <c r="H2115" s="5" t="s">
        <v>1703</v>
      </c>
    </row>
    <row r="2116" spans="5:8" x14ac:dyDescent="0.3">
      <c r="E2116" s="5" t="s">
        <v>1681</v>
      </c>
      <c r="F2116" s="5" t="s">
        <v>95</v>
      </c>
      <c r="G2116" s="5" t="s">
        <v>278</v>
      </c>
      <c r="H2116" s="5" t="s">
        <v>1704</v>
      </c>
    </row>
    <row r="2117" spans="5:8" x14ac:dyDescent="0.3">
      <c r="E2117" s="5" t="s">
        <v>1681</v>
      </c>
      <c r="F2117" s="5" t="s">
        <v>95</v>
      </c>
      <c r="G2117" s="5" t="s">
        <v>280</v>
      </c>
      <c r="H2117" s="5" t="s">
        <v>913</v>
      </c>
    </row>
    <row r="2118" spans="5:8" x14ac:dyDescent="0.3">
      <c r="E2118" s="5" t="s">
        <v>1681</v>
      </c>
      <c r="F2118" s="5" t="s">
        <v>95</v>
      </c>
      <c r="G2118" s="5" t="s">
        <v>282</v>
      </c>
      <c r="H2118" s="5" t="s">
        <v>1023</v>
      </c>
    </row>
    <row r="2119" spans="5:8" x14ac:dyDescent="0.3">
      <c r="E2119" s="5" t="s">
        <v>1681</v>
      </c>
      <c r="F2119" s="5" t="s">
        <v>95</v>
      </c>
      <c r="G2119" s="5" t="s">
        <v>284</v>
      </c>
      <c r="H2119" s="5" t="s">
        <v>715</v>
      </c>
    </row>
    <row r="2120" spans="5:8" x14ac:dyDescent="0.3">
      <c r="E2120" s="5" t="s">
        <v>1681</v>
      </c>
      <c r="F2120" s="5" t="s">
        <v>95</v>
      </c>
      <c r="G2120" s="5" t="s">
        <v>286</v>
      </c>
      <c r="H2120" s="5" t="s">
        <v>265</v>
      </c>
    </row>
    <row r="2121" spans="5:8" x14ac:dyDescent="0.3">
      <c r="E2121" s="5" t="s">
        <v>1681</v>
      </c>
      <c r="F2121" s="5" t="s">
        <v>95</v>
      </c>
      <c r="G2121" s="5" t="s">
        <v>288</v>
      </c>
      <c r="H2121" s="5" t="s">
        <v>1705</v>
      </c>
    </row>
    <row r="2122" spans="5:8" x14ac:dyDescent="0.3">
      <c r="E2122" s="5" t="s">
        <v>1681</v>
      </c>
      <c r="F2122" s="5" t="s">
        <v>95</v>
      </c>
      <c r="G2122" s="5" t="s">
        <v>290</v>
      </c>
      <c r="H2122" s="5" t="s">
        <v>269</v>
      </c>
    </row>
    <row r="2123" spans="5:8" x14ac:dyDescent="0.3">
      <c r="E2123" s="5" t="s">
        <v>1681</v>
      </c>
      <c r="F2123" s="5" t="s">
        <v>95</v>
      </c>
      <c r="G2123" s="5" t="s">
        <v>292</v>
      </c>
      <c r="H2123" s="5" t="s">
        <v>1706</v>
      </c>
    </row>
    <row r="2124" spans="5:8" x14ac:dyDescent="0.3">
      <c r="E2124" s="5" t="s">
        <v>1681</v>
      </c>
      <c r="F2124" s="5" t="s">
        <v>95</v>
      </c>
      <c r="G2124" s="5" t="s">
        <v>416</v>
      </c>
      <c r="H2124" s="5" t="s">
        <v>1707</v>
      </c>
    </row>
    <row r="2125" spans="5:8" x14ac:dyDescent="0.3">
      <c r="E2125" s="5" t="s">
        <v>1681</v>
      </c>
      <c r="F2125" s="5" t="s">
        <v>95</v>
      </c>
      <c r="G2125" s="5" t="s">
        <v>418</v>
      </c>
      <c r="H2125" s="5" t="s">
        <v>596</v>
      </c>
    </row>
    <row r="2126" spans="5:8" x14ac:dyDescent="0.3">
      <c r="E2126" s="5" t="s">
        <v>1681</v>
      </c>
      <c r="F2126" s="5" t="s">
        <v>95</v>
      </c>
      <c r="G2126" s="5" t="s">
        <v>420</v>
      </c>
      <c r="H2126" s="5" t="s">
        <v>878</v>
      </c>
    </row>
    <row r="2127" spans="5:8" x14ac:dyDescent="0.3">
      <c r="E2127" s="5" t="s">
        <v>1681</v>
      </c>
      <c r="F2127" s="5" t="s">
        <v>95</v>
      </c>
      <c r="G2127" s="5" t="s">
        <v>422</v>
      </c>
      <c r="H2127" s="5" t="s">
        <v>1708</v>
      </c>
    </row>
    <row r="2128" spans="5:8" x14ac:dyDescent="0.3">
      <c r="E2128" s="5" t="s">
        <v>1681</v>
      </c>
      <c r="F2128" s="5" t="s">
        <v>95</v>
      </c>
      <c r="G2128" s="5" t="s">
        <v>424</v>
      </c>
      <c r="H2128" s="5" t="s">
        <v>1709</v>
      </c>
    </row>
    <row r="2129" spans="5:8" x14ac:dyDescent="0.3">
      <c r="E2129" s="5" t="s">
        <v>1681</v>
      </c>
      <c r="F2129" s="5" t="s">
        <v>95</v>
      </c>
      <c r="G2129" s="5" t="s">
        <v>425</v>
      </c>
      <c r="H2129" s="5" t="s">
        <v>1710</v>
      </c>
    </row>
    <row r="2130" spans="5:8" x14ac:dyDescent="0.3">
      <c r="E2130" s="5" t="s">
        <v>1681</v>
      </c>
      <c r="F2130" s="5" t="s">
        <v>95</v>
      </c>
      <c r="G2130" s="5" t="s">
        <v>427</v>
      </c>
      <c r="H2130" s="5" t="s">
        <v>1577</v>
      </c>
    </row>
    <row r="2131" spans="5:8" x14ac:dyDescent="0.3">
      <c r="E2131" s="5" t="s">
        <v>1681</v>
      </c>
      <c r="F2131" s="5" t="s">
        <v>95</v>
      </c>
      <c r="G2131" s="5" t="s">
        <v>429</v>
      </c>
      <c r="H2131" s="5" t="s">
        <v>277</v>
      </c>
    </row>
    <row r="2132" spans="5:8" x14ac:dyDescent="0.3">
      <c r="E2132" s="5" t="s">
        <v>1681</v>
      </c>
      <c r="F2132" s="5" t="s">
        <v>95</v>
      </c>
      <c r="G2132" s="5" t="s">
        <v>664</v>
      </c>
      <c r="H2132" s="5" t="s">
        <v>882</v>
      </c>
    </row>
    <row r="2133" spans="5:8" x14ac:dyDescent="0.3">
      <c r="E2133" s="5" t="s">
        <v>1681</v>
      </c>
      <c r="F2133" s="5" t="s">
        <v>95</v>
      </c>
      <c r="G2133" s="5" t="s">
        <v>665</v>
      </c>
      <c r="H2133" s="5" t="s">
        <v>540</v>
      </c>
    </row>
    <row r="2134" spans="5:8" x14ac:dyDescent="0.3">
      <c r="E2134" s="5" t="s">
        <v>1681</v>
      </c>
      <c r="F2134" s="5" t="s">
        <v>95</v>
      </c>
      <c r="G2134" s="5" t="s">
        <v>666</v>
      </c>
      <c r="H2134" s="5" t="s">
        <v>1711</v>
      </c>
    </row>
    <row r="2135" spans="5:8" x14ac:dyDescent="0.3">
      <c r="E2135" s="5" t="s">
        <v>1681</v>
      </c>
      <c r="F2135" s="5" t="s">
        <v>95</v>
      </c>
      <c r="G2135" s="5" t="s">
        <v>668</v>
      </c>
      <c r="H2135" s="5" t="s">
        <v>1712</v>
      </c>
    </row>
    <row r="2136" spans="5:8" x14ac:dyDescent="0.3">
      <c r="E2136" s="5" t="s">
        <v>1681</v>
      </c>
      <c r="F2136" s="5" t="s">
        <v>95</v>
      </c>
      <c r="G2136" s="5" t="s">
        <v>669</v>
      </c>
      <c r="H2136" s="5" t="s">
        <v>421</v>
      </c>
    </row>
    <row r="2137" spans="5:8" x14ac:dyDescent="0.3">
      <c r="E2137" s="5" t="s">
        <v>1681</v>
      </c>
      <c r="F2137" s="5" t="s">
        <v>95</v>
      </c>
      <c r="G2137" s="5" t="s">
        <v>671</v>
      </c>
      <c r="H2137" s="5" t="s">
        <v>1713</v>
      </c>
    </row>
    <row r="2138" spans="5:8" x14ac:dyDescent="0.3">
      <c r="E2138" s="5" t="s">
        <v>1681</v>
      </c>
      <c r="F2138" s="5" t="s">
        <v>95</v>
      </c>
      <c r="G2138" s="5" t="s">
        <v>673</v>
      </c>
      <c r="H2138" s="5" t="s">
        <v>1714</v>
      </c>
    </row>
    <row r="2139" spans="5:8" x14ac:dyDescent="0.3">
      <c r="E2139" s="5" t="s">
        <v>1681</v>
      </c>
      <c r="F2139" s="5" t="s">
        <v>95</v>
      </c>
      <c r="G2139" s="5" t="s">
        <v>674</v>
      </c>
      <c r="H2139" s="5" t="s">
        <v>779</v>
      </c>
    </row>
    <row r="2140" spans="5:8" x14ac:dyDescent="0.3">
      <c r="E2140" s="5" t="s">
        <v>1681</v>
      </c>
      <c r="F2140" s="5" t="s">
        <v>95</v>
      </c>
      <c r="G2140" s="5" t="s">
        <v>676</v>
      </c>
      <c r="H2140" s="5" t="s">
        <v>289</v>
      </c>
    </row>
    <row r="2141" spans="5:8" x14ac:dyDescent="0.3">
      <c r="E2141" s="5" t="s">
        <v>1681</v>
      </c>
      <c r="F2141" s="5" t="s">
        <v>95</v>
      </c>
      <c r="G2141" s="5" t="s">
        <v>677</v>
      </c>
      <c r="H2141" s="5" t="s">
        <v>782</v>
      </c>
    </row>
    <row r="2142" spans="5:8" x14ac:dyDescent="0.3">
      <c r="E2142" s="5" t="s">
        <v>1681</v>
      </c>
      <c r="F2142" s="5" t="s">
        <v>95</v>
      </c>
      <c r="G2142" s="5" t="s">
        <v>679</v>
      </c>
      <c r="H2142" s="5" t="s">
        <v>1680</v>
      </c>
    </row>
    <row r="2143" spans="5:8" x14ac:dyDescent="0.3">
      <c r="E2143" s="5" t="s">
        <v>1681</v>
      </c>
      <c r="F2143" s="5" t="s">
        <v>95</v>
      </c>
      <c r="G2143" s="5" t="s">
        <v>680</v>
      </c>
      <c r="H2143" s="5" t="s">
        <v>1715</v>
      </c>
    </row>
    <row r="2144" spans="5:8" x14ac:dyDescent="0.3">
      <c r="E2144" s="5" t="s">
        <v>1681</v>
      </c>
      <c r="F2144" s="5" t="s">
        <v>95</v>
      </c>
      <c r="G2144" s="5" t="s">
        <v>682</v>
      </c>
      <c r="H2144" s="5" t="s">
        <v>1716</v>
      </c>
    </row>
    <row r="2145" spans="5:8" x14ac:dyDescent="0.3">
      <c r="E2145" s="5" t="s">
        <v>1717</v>
      </c>
      <c r="F2145" s="5" t="s">
        <v>97</v>
      </c>
      <c r="G2145" s="5" t="s">
        <v>160</v>
      </c>
      <c r="H2145" s="5" t="s">
        <v>936</v>
      </c>
    </row>
    <row r="2146" spans="5:8" x14ac:dyDescent="0.3">
      <c r="E2146" s="5" t="s">
        <v>1717</v>
      </c>
      <c r="F2146" s="5" t="s">
        <v>97</v>
      </c>
      <c r="G2146" s="5" t="s">
        <v>162</v>
      </c>
      <c r="H2146" s="5" t="s">
        <v>1718</v>
      </c>
    </row>
    <row r="2147" spans="5:8" x14ac:dyDescent="0.3">
      <c r="E2147" s="5" t="s">
        <v>1717</v>
      </c>
      <c r="F2147" s="5" t="s">
        <v>97</v>
      </c>
      <c r="G2147" s="5" t="s">
        <v>164</v>
      </c>
      <c r="H2147" s="5" t="s">
        <v>1719</v>
      </c>
    </row>
    <row r="2148" spans="5:8" x14ac:dyDescent="0.3">
      <c r="E2148" s="5" t="s">
        <v>1717</v>
      </c>
      <c r="F2148" s="5" t="s">
        <v>97</v>
      </c>
      <c r="G2148" s="5" t="s">
        <v>166</v>
      </c>
      <c r="H2148" s="5" t="s">
        <v>1720</v>
      </c>
    </row>
    <row r="2149" spans="5:8" x14ac:dyDescent="0.3">
      <c r="E2149" s="5" t="s">
        <v>1717</v>
      </c>
      <c r="F2149" s="5" t="s">
        <v>97</v>
      </c>
      <c r="G2149" s="5" t="s">
        <v>168</v>
      </c>
      <c r="H2149" s="5" t="s">
        <v>1721</v>
      </c>
    </row>
    <row r="2150" spans="5:8" x14ac:dyDescent="0.3">
      <c r="E2150" s="5" t="s">
        <v>1717</v>
      </c>
      <c r="F2150" s="5" t="s">
        <v>97</v>
      </c>
      <c r="G2150" s="5" t="s">
        <v>170</v>
      </c>
      <c r="H2150" s="5" t="s">
        <v>809</v>
      </c>
    </row>
    <row r="2151" spans="5:8" x14ac:dyDescent="0.3">
      <c r="E2151" s="5" t="s">
        <v>1717</v>
      </c>
      <c r="F2151" s="5" t="s">
        <v>97</v>
      </c>
      <c r="G2151" s="5" t="s">
        <v>172</v>
      </c>
      <c r="H2151" s="5" t="s">
        <v>619</v>
      </c>
    </row>
    <row r="2152" spans="5:8" x14ac:dyDescent="0.3">
      <c r="E2152" s="5" t="s">
        <v>1717</v>
      </c>
      <c r="F2152" s="5" t="s">
        <v>97</v>
      </c>
      <c r="G2152" s="5" t="s">
        <v>174</v>
      </c>
      <c r="H2152" s="5" t="s">
        <v>1722</v>
      </c>
    </row>
    <row r="2153" spans="5:8" x14ac:dyDescent="0.3">
      <c r="E2153" s="5" t="s">
        <v>1717</v>
      </c>
      <c r="F2153" s="5" t="s">
        <v>97</v>
      </c>
      <c r="G2153" s="5" t="s">
        <v>176</v>
      </c>
      <c r="H2153" s="5" t="s">
        <v>1723</v>
      </c>
    </row>
    <row r="2154" spans="5:8" x14ac:dyDescent="0.3">
      <c r="E2154" s="5" t="s">
        <v>1717</v>
      </c>
      <c r="F2154" s="5" t="s">
        <v>97</v>
      </c>
      <c r="G2154" s="5" t="s">
        <v>178</v>
      </c>
      <c r="H2154" s="5" t="s">
        <v>1064</v>
      </c>
    </row>
    <row r="2155" spans="5:8" x14ac:dyDescent="0.3">
      <c r="E2155" s="5" t="s">
        <v>1717</v>
      </c>
      <c r="F2155" s="5" t="s">
        <v>97</v>
      </c>
      <c r="G2155" s="5" t="s">
        <v>180</v>
      </c>
      <c r="H2155" s="5" t="s">
        <v>179</v>
      </c>
    </row>
    <row r="2156" spans="5:8" x14ac:dyDescent="0.3">
      <c r="E2156" s="5" t="s">
        <v>1717</v>
      </c>
      <c r="F2156" s="5" t="s">
        <v>97</v>
      </c>
      <c r="G2156" s="5" t="s">
        <v>182</v>
      </c>
      <c r="H2156" s="5" t="s">
        <v>183</v>
      </c>
    </row>
    <row r="2157" spans="5:8" x14ac:dyDescent="0.3">
      <c r="E2157" s="5" t="s">
        <v>1717</v>
      </c>
      <c r="F2157" s="5" t="s">
        <v>97</v>
      </c>
      <c r="G2157" s="5" t="s">
        <v>184</v>
      </c>
      <c r="H2157" s="5" t="s">
        <v>1724</v>
      </c>
    </row>
    <row r="2158" spans="5:8" x14ac:dyDescent="0.3">
      <c r="E2158" s="5" t="s">
        <v>1717</v>
      </c>
      <c r="F2158" s="5" t="s">
        <v>97</v>
      </c>
      <c r="G2158" s="5" t="s">
        <v>186</v>
      </c>
      <c r="H2158" s="5" t="s">
        <v>375</v>
      </c>
    </row>
    <row r="2159" spans="5:8" x14ac:dyDescent="0.3">
      <c r="E2159" s="5" t="s">
        <v>1717</v>
      </c>
      <c r="F2159" s="5" t="s">
        <v>97</v>
      </c>
      <c r="G2159" s="5" t="s">
        <v>188</v>
      </c>
      <c r="H2159" s="5" t="s">
        <v>1725</v>
      </c>
    </row>
    <row r="2160" spans="5:8" x14ac:dyDescent="0.3">
      <c r="E2160" s="5" t="s">
        <v>1717</v>
      </c>
      <c r="F2160" s="5" t="s">
        <v>97</v>
      </c>
      <c r="G2160" s="5" t="s">
        <v>190</v>
      </c>
      <c r="H2160" s="5" t="s">
        <v>991</v>
      </c>
    </row>
    <row r="2161" spans="5:8" x14ac:dyDescent="0.3">
      <c r="E2161" s="5" t="s">
        <v>1717</v>
      </c>
      <c r="F2161" s="5" t="s">
        <v>97</v>
      </c>
      <c r="G2161" s="5" t="s">
        <v>192</v>
      </c>
      <c r="H2161" s="5" t="s">
        <v>1726</v>
      </c>
    </row>
    <row r="2162" spans="5:8" x14ac:dyDescent="0.3">
      <c r="E2162" s="5" t="s">
        <v>1717</v>
      </c>
      <c r="F2162" s="5" t="s">
        <v>97</v>
      </c>
      <c r="G2162" s="5" t="s">
        <v>194</v>
      </c>
      <c r="H2162" s="5" t="s">
        <v>1727</v>
      </c>
    </row>
    <row r="2163" spans="5:8" x14ac:dyDescent="0.3">
      <c r="E2163" s="5" t="s">
        <v>1717</v>
      </c>
      <c r="F2163" s="5" t="s">
        <v>97</v>
      </c>
      <c r="G2163" s="5" t="s">
        <v>196</v>
      </c>
      <c r="H2163" s="5" t="s">
        <v>1728</v>
      </c>
    </row>
    <row r="2164" spans="5:8" x14ac:dyDescent="0.3">
      <c r="E2164" s="5" t="s">
        <v>1717</v>
      </c>
      <c r="F2164" s="5" t="s">
        <v>97</v>
      </c>
      <c r="G2164" s="5" t="s">
        <v>198</v>
      </c>
      <c r="H2164" s="5" t="s">
        <v>502</v>
      </c>
    </row>
    <row r="2165" spans="5:8" x14ac:dyDescent="0.3">
      <c r="E2165" s="5" t="s">
        <v>1717</v>
      </c>
      <c r="F2165" s="5" t="s">
        <v>97</v>
      </c>
      <c r="G2165" s="5" t="s">
        <v>200</v>
      </c>
      <c r="H2165" s="5" t="s">
        <v>899</v>
      </c>
    </row>
    <row r="2166" spans="5:8" x14ac:dyDescent="0.3">
      <c r="E2166" s="5" t="s">
        <v>1717</v>
      </c>
      <c r="F2166" s="5" t="s">
        <v>97</v>
      </c>
      <c r="G2166" s="5" t="s">
        <v>202</v>
      </c>
      <c r="H2166" s="5" t="s">
        <v>1729</v>
      </c>
    </row>
    <row r="2167" spans="5:8" x14ac:dyDescent="0.3">
      <c r="E2167" s="5" t="s">
        <v>1717</v>
      </c>
      <c r="F2167" s="5" t="s">
        <v>97</v>
      </c>
      <c r="G2167" s="5" t="s">
        <v>204</v>
      </c>
      <c r="H2167" s="5" t="s">
        <v>995</v>
      </c>
    </row>
    <row r="2168" spans="5:8" x14ac:dyDescent="0.3">
      <c r="E2168" s="5" t="s">
        <v>1717</v>
      </c>
      <c r="F2168" s="5" t="s">
        <v>97</v>
      </c>
      <c r="G2168" s="5" t="s">
        <v>206</v>
      </c>
      <c r="H2168" s="5" t="s">
        <v>511</v>
      </c>
    </row>
    <row r="2169" spans="5:8" x14ac:dyDescent="0.3">
      <c r="E2169" s="5" t="s">
        <v>1717</v>
      </c>
      <c r="F2169" s="5" t="s">
        <v>97</v>
      </c>
      <c r="G2169" s="5" t="s">
        <v>208</v>
      </c>
      <c r="H2169" s="5" t="s">
        <v>1730</v>
      </c>
    </row>
    <row r="2170" spans="5:8" x14ac:dyDescent="0.3">
      <c r="E2170" s="5" t="s">
        <v>1717</v>
      </c>
      <c r="F2170" s="5" t="s">
        <v>97</v>
      </c>
      <c r="G2170" s="5" t="s">
        <v>210</v>
      </c>
      <c r="H2170" s="5" t="s">
        <v>655</v>
      </c>
    </row>
    <row r="2171" spans="5:8" x14ac:dyDescent="0.3">
      <c r="E2171" s="5" t="s">
        <v>1717</v>
      </c>
      <c r="F2171" s="5" t="s">
        <v>97</v>
      </c>
      <c r="G2171" s="5" t="s">
        <v>212</v>
      </c>
      <c r="H2171" s="5" t="s">
        <v>387</v>
      </c>
    </row>
    <row r="2172" spans="5:8" x14ac:dyDescent="0.3">
      <c r="E2172" s="5" t="s">
        <v>1717</v>
      </c>
      <c r="F2172" s="5" t="s">
        <v>97</v>
      </c>
      <c r="G2172" s="5" t="s">
        <v>214</v>
      </c>
      <c r="H2172" s="5" t="s">
        <v>1731</v>
      </c>
    </row>
    <row r="2173" spans="5:8" x14ac:dyDescent="0.3">
      <c r="E2173" s="5" t="s">
        <v>1717</v>
      </c>
      <c r="F2173" s="5" t="s">
        <v>97</v>
      </c>
      <c r="G2173" s="5" t="s">
        <v>216</v>
      </c>
      <c r="H2173" s="5" t="s">
        <v>1732</v>
      </c>
    </row>
    <row r="2174" spans="5:8" x14ac:dyDescent="0.3">
      <c r="E2174" s="5" t="s">
        <v>1717</v>
      </c>
      <c r="F2174" s="5" t="s">
        <v>97</v>
      </c>
      <c r="G2174" s="5" t="s">
        <v>218</v>
      </c>
      <c r="H2174" s="5" t="s">
        <v>1003</v>
      </c>
    </row>
    <row r="2175" spans="5:8" x14ac:dyDescent="0.3">
      <c r="E2175" s="5" t="s">
        <v>1717</v>
      </c>
      <c r="F2175" s="5" t="s">
        <v>97</v>
      </c>
      <c r="G2175" s="5" t="s">
        <v>220</v>
      </c>
      <c r="H2175" s="5" t="s">
        <v>1005</v>
      </c>
    </row>
    <row r="2176" spans="5:8" x14ac:dyDescent="0.3">
      <c r="E2176" s="5" t="s">
        <v>1717</v>
      </c>
      <c r="F2176" s="5" t="s">
        <v>97</v>
      </c>
      <c r="G2176" s="5" t="s">
        <v>222</v>
      </c>
      <c r="H2176" s="5" t="s">
        <v>1733</v>
      </c>
    </row>
    <row r="2177" spans="5:8" x14ac:dyDescent="0.3">
      <c r="E2177" s="5" t="s">
        <v>1717</v>
      </c>
      <c r="F2177" s="5" t="s">
        <v>97</v>
      </c>
      <c r="G2177" s="5" t="s">
        <v>224</v>
      </c>
      <c r="H2177" s="5" t="s">
        <v>231</v>
      </c>
    </row>
    <row r="2178" spans="5:8" x14ac:dyDescent="0.3">
      <c r="E2178" s="5" t="s">
        <v>1717</v>
      </c>
      <c r="F2178" s="5" t="s">
        <v>97</v>
      </c>
      <c r="G2178" s="5" t="s">
        <v>226</v>
      </c>
      <c r="H2178" s="5" t="s">
        <v>233</v>
      </c>
    </row>
    <row r="2179" spans="5:8" x14ac:dyDescent="0.3">
      <c r="E2179" s="5" t="s">
        <v>1717</v>
      </c>
      <c r="F2179" s="5" t="s">
        <v>97</v>
      </c>
      <c r="G2179" s="5" t="s">
        <v>228</v>
      </c>
      <c r="H2179" s="5" t="s">
        <v>1620</v>
      </c>
    </row>
    <row r="2180" spans="5:8" x14ac:dyDescent="0.3">
      <c r="E2180" s="5" t="s">
        <v>1717</v>
      </c>
      <c r="F2180" s="5" t="s">
        <v>97</v>
      </c>
      <c r="G2180" s="5" t="s">
        <v>230</v>
      </c>
      <c r="H2180" s="5" t="s">
        <v>1734</v>
      </c>
    </row>
    <row r="2181" spans="5:8" x14ac:dyDescent="0.3">
      <c r="E2181" s="5" t="s">
        <v>1717</v>
      </c>
      <c r="F2181" s="5" t="s">
        <v>97</v>
      </c>
      <c r="G2181" s="5" t="s">
        <v>232</v>
      </c>
      <c r="H2181" s="5" t="s">
        <v>1735</v>
      </c>
    </row>
    <row r="2182" spans="5:8" x14ac:dyDescent="0.3">
      <c r="E2182" s="5" t="s">
        <v>1717</v>
      </c>
      <c r="F2182" s="5" t="s">
        <v>97</v>
      </c>
      <c r="G2182" s="5" t="s">
        <v>234</v>
      </c>
      <c r="H2182" s="5" t="s">
        <v>517</v>
      </c>
    </row>
    <row r="2183" spans="5:8" x14ac:dyDescent="0.3">
      <c r="E2183" s="5" t="s">
        <v>1717</v>
      </c>
      <c r="F2183" s="5" t="s">
        <v>97</v>
      </c>
      <c r="G2183" s="5" t="s">
        <v>236</v>
      </c>
      <c r="H2183" s="5" t="s">
        <v>1736</v>
      </c>
    </row>
    <row r="2184" spans="5:8" x14ac:dyDescent="0.3">
      <c r="E2184" s="5" t="s">
        <v>1717</v>
      </c>
      <c r="F2184" s="5" t="s">
        <v>97</v>
      </c>
      <c r="G2184" s="5" t="s">
        <v>238</v>
      </c>
      <c r="H2184" s="5" t="s">
        <v>1737</v>
      </c>
    </row>
    <row r="2185" spans="5:8" x14ac:dyDescent="0.3">
      <c r="E2185" s="5" t="s">
        <v>1717</v>
      </c>
      <c r="F2185" s="5" t="s">
        <v>97</v>
      </c>
      <c r="G2185" s="5" t="s">
        <v>240</v>
      </c>
      <c r="H2185" s="5" t="s">
        <v>395</v>
      </c>
    </row>
    <row r="2186" spans="5:8" x14ac:dyDescent="0.3">
      <c r="E2186" s="5" t="s">
        <v>1717</v>
      </c>
      <c r="F2186" s="5" t="s">
        <v>97</v>
      </c>
      <c r="G2186" s="5" t="s">
        <v>242</v>
      </c>
      <c r="H2186" s="5" t="s">
        <v>397</v>
      </c>
    </row>
    <row r="2187" spans="5:8" x14ac:dyDescent="0.3">
      <c r="E2187" s="5" t="s">
        <v>1717</v>
      </c>
      <c r="F2187" s="5" t="s">
        <v>97</v>
      </c>
      <c r="G2187" s="5" t="s">
        <v>244</v>
      </c>
      <c r="H2187" s="5" t="s">
        <v>1738</v>
      </c>
    </row>
    <row r="2188" spans="5:8" x14ac:dyDescent="0.3">
      <c r="E2188" s="5" t="s">
        <v>1717</v>
      </c>
      <c r="F2188" s="5" t="s">
        <v>97</v>
      </c>
      <c r="G2188" s="5" t="s">
        <v>252</v>
      </c>
      <c r="H2188" s="5" t="s">
        <v>1741</v>
      </c>
    </row>
    <row r="2189" spans="5:8" x14ac:dyDescent="0.3">
      <c r="E2189" s="5" t="s">
        <v>1717</v>
      </c>
      <c r="F2189" s="5" t="s">
        <v>97</v>
      </c>
      <c r="G2189" s="5" t="s">
        <v>254</v>
      </c>
      <c r="H2189" s="5" t="s">
        <v>255</v>
      </c>
    </row>
    <row r="2190" spans="5:8" x14ac:dyDescent="0.3">
      <c r="E2190" s="5" t="s">
        <v>1717</v>
      </c>
      <c r="F2190" s="5" t="s">
        <v>97</v>
      </c>
      <c r="G2190" s="5" t="s">
        <v>256</v>
      </c>
      <c r="H2190" s="5" t="s">
        <v>1742</v>
      </c>
    </row>
    <row r="2191" spans="5:8" x14ac:dyDescent="0.3">
      <c r="E2191" s="5" t="s">
        <v>1717</v>
      </c>
      <c r="F2191" s="5" t="s">
        <v>97</v>
      </c>
      <c r="G2191" s="5" t="s">
        <v>246</v>
      </c>
      <c r="H2191" s="5" t="s">
        <v>1739</v>
      </c>
    </row>
    <row r="2192" spans="5:8" x14ac:dyDescent="0.3">
      <c r="E2192" s="5" t="s">
        <v>1717</v>
      </c>
      <c r="F2192" s="5" t="s">
        <v>97</v>
      </c>
      <c r="G2192" s="5" t="s">
        <v>248</v>
      </c>
      <c r="H2192" s="5" t="s">
        <v>1740</v>
      </c>
    </row>
    <row r="2193" spans="5:8" x14ac:dyDescent="0.3">
      <c r="E2193" s="5" t="s">
        <v>1717</v>
      </c>
      <c r="F2193" s="5" t="s">
        <v>97</v>
      </c>
      <c r="G2193" s="5" t="s">
        <v>250</v>
      </c>
      <c r="H2193" s="5" t="s">
        <v>694</v>
      </c>
    </row>
    <row r="2194" spans="5:8" x14ac:dyDescent="0.3">
      <c r="E2194" s="5" t="s">
        <v>1717</v>
      </c>
      <c r="F2194" s="5" t="s">
        <v>97</v>
      </c>
      <c r="G2194" s="5" t="s">
        <v>258</v>
      </c>
      <c r="H2194" s="5" t="s">
        <v>706</v>
      </c>
    </row>
    <row r="2195" spans="5:8" x14ac:dyDescent="0.3">
      <c r="E2195" s="5" t="s">
        <v>1717</v>
      </c>
      <c r="F2195" s="5" t="s">
        <v>97</v>
      </c>
      <c r="G2195" s="5" t="s">
        <v>260</v>
      </c>
      <c r="H2195" s="5" t="s">
        <v>1743</v>
      </c>
    </row>
    <row r="2196" spans="5:8" x14ac:dyDescent="0.3">
      <c r="E2196" s="5" t="s">
        <v>1717</v>
      </c>
      <c r="F2196" s="5" t="s">
        <v>97</v>
      </c>
      <c r="G2196" s="5" t="s">
        <v>262</v>
      </c>
      <c r="H2196" s="5" t="s">
        <v>913</v>
      </c>
    </row>
    <row r="2197" spans="5:8" x14ac:dyDescent="0.3">
      <c r="E2197" s="5" t="s">
        <v>1717</v>
      </c>
      <c r="F2197" s="5" t="s">
        <v>97</v>
      </c>
      <c r="G2197" s="5" t="s">
        <v>264</v>
      </c>
      <c r="H2197" s="5" t="s">
        <v>1744</v>
      </c>
    </row>
    <row r="2198" spans="5:8" x14ac:dyDescent="0.3">
      <c r="E2198" s="5" t="s">
        <v>1717</v>
      </c>
      <c r="F2198" s="5" t="s">
        <v>97</v>
      </c>
      <c r="G2198" s="5" t="s">
        <v>266</v>
      </c>
      <c r="H2198" s="5" t="s">
        <v>1745</v>
      </c>
    </row>
    <row r="2199" spans="5:8" x14ac:dyDescent="0.3">
      <c r="E2199" s="5" t="s">
        <v>1717</v>
      </c>
      <c r="F2199" s="5" t="s">
        <v>97</v>
      </c>
      <c r="G2199" s="5" t="s">
        <v>268</v>
      </c>
      <c r="H2199" s="5" t="s">
        <v>1746</v>
      </c>
    </row>
    <row r="2200" spans="5:8" x14ac:dyDescent="0.3">
      <c r="E2200" s="5" t="s">
        <v>1717</v>
      </c>
      <c r="F2200" s="5" t="s">
        <v>97</v>
      </c>
      <c r="G2200" s="5" t="s">
        <v>270</v>
      </c>
      <c r="H2200" s="5" t="s">
        <v>1747</v>
      </c>
    </row>
    <row r="2201" spans="5:8" x14ac:dyDescent="0.3">
      <c r="E2201" s="5" t="s">
        <v>1717</v>
      </c>
      <c r="F2201" s="5" t="s">
        <v>97</v>
      </c>
      <c r="G2201" s="5" t="s">
        <v>272</v>
      </c>
      <c r="H2201" s="5" t="s">
        <v>1021</v>
      </c>
    </row>
    <row r="2202" spans="5:8" x14ac:dyDescent="0.3">
      <c r="E2202" s="5" t="s">
        <v>1717</v>
      </c>
      <c r="F2202" s="5" t="s">
        <v>97</v>
      </c>
      <c r="G2202" s="5" t="s">
        <v>274</v>
      </c>
      <c r="H2202" s="5" t="s">
        <v>1023</v>
      </c>
    </row>
    <row r="2203" spans="5:8" x14ac:dyDescent="0.3">
      <c r="E2203" s="5" t="s">
        <v>1717</v>
      </c>
      <c r="F2203" s="5" t="s">
        <v>97</v>
      </c>
      <c r="G2203" s="5" t="s">
        <v>276</v>
      </c>
      <c r="H2203" s="5" t="s">
        <v>1024</v>
      </c>
    </row>
    <row r="2204" spans="5:8" x14ac:dyDescent="0.3">
      <c r="E2204" s="5" t="s">
        <v>1717</v>
      </c>
      <c r="F2204" s="5" t="s">
        <v>97</v>
      </c>
      <c r="G2204" s="5" t="s">
        <v>278</v>
      </c>
      <c r="H2204" s="5" t="s">
        <v>1748</v>
      </c>
    </row>
    <row r="2205" spans="5:8" x14ac:dyDescent="0.3">
      <c r="E2205" s="5" t="s">
        <v>1717</v>
      </c>
      <c r="F2205" s="5" t="s">
        <v>97</v>
      </c>
      <c r="G2205" s="5" t="s">
        <v>280</v>
      </c>
      <c r="H2205" s="5" t="s">
        <v>1749</v>
      </c>
    </row>
    <row r="2206" spans="5:8" x14ac:dyDescent="0.3">
      <c r="E2206" s="5" t="s">
        <v>1717</v>
      </c>
      <c r="F2206" s="5" t="s">
        <v>97</v>
      </c>
      <c r="G2206" s="5" t="s">
        <v>282</v>
      </c>
      <c r="H2206" s="5" t="s">
        <v>1359</v>
      </c>
    </row>
    <row r="2207" spans="5:8" x14ac:dyDescent="0.3">
      <c r="E2207" s="5" t="s">
        <v>1717</v>
      </c>
      <c r="F2207" s="5" t="s">
        <v>97</v>
      </c>
      <c r="G2207" s="5" t="s">
        <v>284</v>
      </c>
      <c r="H2207" s="5" t="s">
        <v>1025</v>
      </c>
    </row>
    <row r="2208" spans="5:8" x14ac:dyDescent="0.3">
      <c r="E2208" s="5" t="s">
        <v>1717</v>
      </c>
      <c r="F2208" s="5" t="s">
        <v>97</v>
      </c>
      <c r="G2208" s="5" t="s">
        <v>286</v>
      </c>
      <c r="H2208" s="5" t="s">
        <v>1750</v>
      </c>
    </row>
    <row r="2209" spans="5:8" x14ac:dyDescent="0.3">
      <c r="E2209" s="5" t="s">
        <v>1717</v>
      </c>
      <c r="F2209" s="5" t="s">
        <v>97</v>
      </c>
      <c r="G2209" s="5" t="s">
        <v>288</v>
      </c>
      <c r="H2209" s="5" t="s">
        <v>1751</v>
      </c>
    </row>
    <row r="2210" spans="5:8" x14ac:dyDescent="0.3">
      <c r="E2210" s="5" t="s">
        <v>1717</v>
      </c>
      <c r="F2210" s="5" t="s">
        <v>97</v>
      </c>
      <c r="G2210" s="5" t="s">
        <v>290</v>
      </c>
      <c r="H2210" s="5" t="s">
        <v>1752</v>
      </c>
    </row>
    <row r="2211" spans="5:8" x14ac:dyDescent="0.3">
      <c r="E2211" s="5" t="s">
        <v>1717</v>
      </c>
      <c r="F2211" s="5" t="s">
        <v>97</v>
      </c>
      <c r="G2211" s="5" t="s">
        <v>292</v>
      </c>
      <c r="H2211" s="5" t="s">
        <v>601</v>
      </c>
    </row>
    <row r="2212" spans="5:8" x14ac:dyDescent="0.3">
      <c r="E2212" s="5" t="s">
        <v>1717</v>
      </c>
      <c r="F2212" s="5" t="s">
        <v>97</v>
      </c>
      <c r="G2212" s="5" t="s">
        <v>416</v>
      </c>
      <c r="H2212" s="5" t="s">
        <v>1753</v>
      </c>
    </row>
    <row r="2213" spans="5:8" x14ac:dyDescent="0.3">
      <c r="E2213" s="5" t="s">
        <v>1717</v>
      </c>
      <c r="F2213" s="5" t="s">
        <v>97</v>
      </c>
      <c r="G2213" s="5" t="s">
        <v>418</v>
      </c>
      <c r="H2213" s="5" t="s">
        <v>742</v>
      </c>
    </row>
    <row r="2214" spans="5:8" x14ac:dyDescent="0.3">
      <c r="E2214" s="5" t="s">
        <v>1717</v>
      </c>
      <c r="F2214" s="5" t="s">
        <v>97</v>
      </c>
      <c r="G2214" s="5" t="s">
        <v>420</v>
      </c>
      <c r="H2214" s="5" t="s">
        <v>1412</v>
      </c>
    </row>
    <row r="2215" spans="5:8" x14ac:dyDescent="0.3">
      <c r="E2215" s="5" t="s">
        <v>1717</v>
      </c>
      <c r="F2215" s="5" t="s">
        <v>97</v>
      </c>
      <c r="G2215" s="5" t="s">
        <v>422</v>
      </c>
      <c r="H2215" s="5" t="s">
        <v>1754</v>
      </c>
    </row>
    <row r="2216" spans="5:8" x14ac:dyDescent="0.3">
      <c r="E2216" s="5" t="s">
        <v>1717</v>
      </c>
      <c r="F2216" s="5" t="s">
        <v>97</v>
      </c>
      <c r="G2216" s="5" t="s">
        <v>424</v>
      </c>
      <c r="H2216" s="5" t="s">
        <v>1755</v>
      </c>
    </row>
    <row r="2217" spans="5:8" x14ac:dyDescent="0.3">
      <c r="E2217" s="5" t="s">
        <v>1717</v>
      </c>
      <c r="F2217" s="5" t="s">
        <v>97</v>
      </c>
      <c r="G2217" s="5" t="s">
        <v>425</v>
      </c>
      <c r="H2217" s="5" t="s">
        <v>1756</v>
      </c>
    </row>
    <row r="2218" spans="5:8" x14ac:dyDescent="0.3">
      <c r="E2218" s="5" t="s">
        <v>1717</v>
      </c>
      <c r="F2218" s="5" t="s">
        <v>97</v>
      </c>
      <c r="G2218" s="5" t="s">
        <v>427</v>
      </c>
      <c r="H2218" s="5" t="s">
        <v>289</v>
      </c>
    </row>
    <row r="2219" spans="5:8" x14ac:dyDescent="0.3">
      <c r="E2219" s="5" t="s">
        <v>1717</v>
      </c>
      <c r="F2219" s="5" t="s">
        <v>97</v>
      </c>
      <c r="G2219" s="5" t="s">
        <v>429</v>
      </c>
      <c r="H2219" s="5" t="s">
        <v>1757</v>
      </c>
    </row>
    <row r="2220" spans="5:8" x14ac:dyDescent="0.3">
      <c r="E2220" s="5" t="s">
        <v>1717</v>
      </c>
      <c r="F2220" s="5" t="s">
        <v>97</v>
      </c>
      <c r="G2220" s="5" t="s">
        <v>664</v>
      </c>
      <c r="H2220" s="5" t="s">
        <v>1758</v>
      </c>
    </row>
    <row r="2221" spans="5:8" x14ac:dyDescent="0.3">
      <c r="E2221" s="5" t="s">
        <v>1717</v>
      </c>
      <c r="F2221" s="5" t="s">
        <v>97</v>
      </c>
      <c r="G2221" s="5" t="s">
        <v>665</v>
      </c>
      <c r="H2221" s="5" t="s">
        <v>1759</v>
      </c>
    </row>
    <row r="2222" spans="5:8" x14ac:dyDescent="0.3">
      <c r="E2222" s="5" t="s">
        <v>1760</v>
      </c>
      <c r="F2222" s="5" t="s">
        <v>99</v>
      </c>
      <c r="G2222" s="5" t="s">
        <v>160</v>
      </c>
      <c r="H2222" s="5" t="s">
        <v>558</v>
      </c>
    </row>
    <row r="2223" spans="5:8" x14ac:dyDescent="0.3">
      <c r="E2223" s="5" t="s">
        <v>1760</v>
      </c>
      <c r="F2223" s="5" t="s">
        <v>99</v>
      </c>
      <c r="G2223" s="5" t="s">
        <v>162</v>
      </c>
      <c r="H2223" s="5" t="s">
        <v>369</v>
      </c>
    </row>
    <row r="2224" spans="5:8" x14ac:dyDescent="0.3">
      <c r="E2224" s="5" t="s">
        <v>1760</v>
      </c>
      <c r="F2224" s="5" t="s">
        <v>99</v>
      </c>
      <c r="G2224" s="5" t="s">
        <v>164</v>
      </c>
      <c r="H2224" s="5" t="s">
        <v>1761</v>
      </c>
    </row>
    <row r="2225" spans="5:8" x14ac:dyDescent="0.3">
      <c r="E2225" s="5" t="s">
        <v>1760</v>
      </c>
      <c r="F2225" s="5" t="s">
        <v>99</v>
      </c>
      <c r="G2225" s="5" t="s">
        <v>166</v>
      </c>
      <c r="H2225" s="5" t="s">
        <v>1762</v>
      </c>
    </row>
    <row r="2226" spans="5:8" x14ac:dyDescent="0.3">
      <c r="E2226" s="5" t="s">
        <v>1760</v>
      </c>
      <c r="F2226" s="5" t="s">
        <v>99</v>
      </c>
      <c r="G2226" s="5" t="s">
        <v>168</v>
      </c>
      <c r="H2226" s="5" t="s">
        <v>376</v>
      </c>
    </row>
    <row r="2227" spans="5:8" x14ac:dyDescent="0.3">
      <c r="E2227" s="5" t="s">
        <v>1760</v>
      </c>
      <c r="F2227" s="5" t="s">
        <v>99</v>
      </c>
      <c r="G2227" s="5" t="s">
        <v>170</v>
      </c>
      <c r="H2227" s="5" t="s">
        <v>1508</v>
      </c>
    </row>
    <row r="2228" spans="5:8" x14ac:dyDescent="0.3">
      <c r="E2228" s="5" t="s">
        <v>1760</v>
      </c>
      <c r="F2228" s="5" t="s">
        <v>99</v>
      </c>
      <c r="G2228" s="5" t="s">
        <v>172</v>
      </c>
      <c r="H2228" s="5" t="s">
        <v>1763</v>
      </c>
    </row>
    <row r="2229" spans="5:8" x14ac:dyDescent="0.3">
      <c r="E2229" s="5" t="s">
        <v>1760</v>
      </c>
      <c r="F2229" s="5" t="s">
        <v>99</v>
      </c>
      <c r="G2229" s="5" t="s">
        <v>174</v>
      </c>
      <c r="H2229" s="5" t="s">
        <v>1531</v>
      </c>
    </row>
    <row r="2230" spans="5:8" x14ac:dyDescent="0.3">
      <c r="E2230" s="5" t="s">
        <v>1760</v>
      </c>
      <c r="F2230" s="5" t="s">
        <v>99</v>
      </c>
      <c r="G2230" s="5" t="s">
        <v>176</v>
      </c>
      <c r="H2230" s="5" t="s">
        <v>1764</v>
      </c>
    </row>
    <row r="2231" spans="5:8" x14ac:dyDescent="0.3">
      <c r="E2231" s="5" t="s">
        <v>1760</v>
      </c>
      <c r="F2231" s="5" t="s">
        <v>99</v>
      </c>
      <c r="G2231" s="5" t="s">
        <v>178</v>
      </c>
      <c r="H2231" s="5" t="s">
        <v>506</v>
      </c>
    </row>
    <row r="2232" spans="5:8" x14ac:dyDescent="0.3">
      <c r="E2232" s="5" t="s">
        <v>1760</v>
      </c>
      <c r="F2232" s="5" t="s">
        <v>99</v>
      </c>
      <c r="G2232" s="5" t="s">
        <v>180</v>
      </c>
      <c r="H2232" s="5" t="s">
        <v>1765</v>
      </c>
    </row>
    <row r="2233" spans="5:8" x14ac:dyDescent="0.3">
      <c r="E2233" s="5" t="s">
        <v>1760</v>
      </c>
      <c r="F2233" s="5" t="s">
        <v>99</v>
      </c>
      <c r="G2233" s="5" t="s">
        <v>182</v>
      </c>
      <c r="H2233" s="5" t="s">
        <v>387</v>
      </c>
    </row>
    <row r="2234" spans="5:8" x14ac:dyDescent="0.3">
      <c r="E2234" s="5" t="s">
        <v>1760</v>
      </c>
      <c r="F2234" s="5" t="s">
        <v>99</v>
      </c>
      <c r="G2234" s="5" t="s">
        <v>184</v>
      </c>
      <c r="H2234" s="5" t="s">
        <v>1766</v>
      </c>
    </row>
    <row r="2235" spans="5:8" x14ac:dyDescent="0.3">
      <c r="E2235" s="5" t="s">
        <v>1760</v>
      </c>
      <c r="F2235" s="5" t="s">
        <v>99</v>
      </c>
      <c r="G2235" s="5" t="s">
        <v>186</v>
      </c>
      <c r="H2235" s="5" t="s">
        <v>1767</v>
      </c>
    </row>
    <row r="2236" spans="5:8" x14ac:dyDescent="0.3">
      <c r="E2236" s="5" t="s">
        <v>1760</v>
      </c>
      <c r="F2236" s="5" t="s">
        <v>99</v>
      </c>
      <c r="G2236" s="5" t="s">
        <v>188</v>
      </c>
      <c r="H2236" s="5" t="s">
        <v>231</v>
      </c>
    </row>
    <row r="2237" spans="5:8" x14ac:dyDescent="0.3">
      <c r="E2237" s="5" t="s">
        <v>1760</v>
      </c>
      <c r="F2237" s="5" t="s">
        <v>99</v>
      </c>
      <c r="G2237" s="5" t="s">
        <v>190</v>
      </c>
      <c r="H2237" s="5" t="s">
        <v>233</v>
      </c>
    </row>
    <row r="2238" spans="5:8" x14ac:dyDescent="0.3">
      <c r="E2238" s="5" t="s">
        <v>1760</v>
      </c>
      <c r="F2238" s="5" t="s">
        <v>99</v>
      </c>
      <c r="G2238" s="5" t="s">
        <v>192</v>
      </c>
      <c r="H2238" s="5" t="s">
        <v>1768</v>
      </c>
    </row>
    <row r="2239" spans="5:8" x14ac:dyDescent="0.3">
      <c r="E2239" s="5" t="s">
        <v>1760</v>
      </c>
      <c r="F2239" s="5" t="s">
        <v>99</v>
      </c>
      <c r="G2239" s="5" t="s">
        <v>194</v>
      </c>
      <c r="H2239" s="5" t="s">
        <v>1769</v>
      </c>
    </row>
    <row r="2240" spans="5:8" x14ac:dyDescent="0.3">
      <c r="E2240" s="5" t="s">
        <v>1760</v>
      </c>
      <c r="F2240" s="5" t="s">
        <v>99</v>
      </c>
      <c r="G2240" s="5" t="s">
        <v>196</v>
      </c>
      <c r="H2240" s="5" t="s">
        <v>447</v>
      </c>
    </row>
    <row r="2241" spans="5:8" x14ac:dyDescent="0.3">
      <c r="E2241" s="5" t="s">
        <v>1760</v>
      </c>
      <c r="F2241" s="5" t="s">
        <v>99</v>
      </c>
      <c r="G2241" s="5" t="s">
        <v>198</v>
      </c>
      <c r="H2241" s="5" t="s">
        <v>1011</v>
      </c>
    </row>
    <row r="2242" spans="5:8" x14ac:dyDescent="0.3">
      <c r="E2242" s="5" t="s">
        <v>1760</v>
      </c>
      <c r="F2242" s="5" t="s">
        <v>99</v>
      </c>
      <c r="G2242" s="5" t="s">
        <v>200</v>
      </c>
      <c r="H2242" s="5" t="s">
        <v>395</v>
      </c>
    </row>
    <row r="2243" spans="5:8" x14ac:dyDescent="0.3">
      <c r="E2243" s="5" t="s">
        <v>1760</v>
      </c>
      <c r="F2243" s="5" t="s">
        <v>99</v>
      </c>
      <c r="G2243" s="5" t="s">
        <v>202</v>
      </c>
      <c r="H2243" s="5" t="s">
        <v>957</v>
      </c>
    </row>
    <row r="2244" spans="5:8" x14ac:dyDescent="0.3">
      <c r="E2244" s="5" t="s">
        <v>1760</v>
      </c>
      <c r="F2244" s="5" t="s">
        <v>99</v>
      </c>
      <c r="G2244" s="5" t="s">
        <v>204</v>
      </c>
      <c r="H2244" s="5" t="s">
        <v>1770</v>
      </c>
    </row>
    <row r="2245" spans="5:8" x14ac:dyDescent="0.3">
      <c r="E2245" s="5" t="s">
        <v>1760</v>
      </c>
      <c r="F2245" s="5" t="s">
        <v>99</v>
      </c>
      <c r="G2245" s="5" t="s">
        <v>206</v>
      </c>
      <c r="H2245" s="5" t="s">
        <v>253</v>
      </c>
    </row>
    <row r="2246" spans="5:8" x14ac:dyDescent="0.3">
      <c r="E2246" s="5" t="s">
        <v>1760</v>
      </c>
      <c r="F2246" s="5" t="s">
        <v>99</v>
      </c>
      <c r="G2246" s="5" t="s">
        <v>208</v>
      </c>
      <c r="H2246" s="5" t="s">
        <v>1703</v>
      </c>
    </row>
    <row r="2247" spans="5:8" x14ac:dyDescent="0.3">
      <c r="E2247" s="5" t="s">
        <v>1760</v>
      </c>
      <c r="F2247" s="5" t="s">
        <v>99</v>
      </c>
      <c r="G2247" s="5" t="s">
        <v>210</v>
      </c>
      <c r="H2247" s="5" t="s">
        <v>1771</v>
      </c>
    </row>
    <row r="2248" spans="5:8" x14ac:dyDescent="0.3">
      <c r="E2248" s="5" t="s">
        <v>1760</v>
      </c>
      <c r="F2248" s="5" t="s">
        <v>99</v>
      </c>
      <c r="G2248" s="5" t="s">
        <v>212</v>
      </c>
      <c r="H2248" s="5" t="s">
        <v>406</v>
      </c>
    </row>
    <row r="2249" spans="5:8" x14ac:dyDescent="0.3">
      <c r="E2249" s="5" t="s">
        <v>1760</v>
      </c>
      <c r="F2249" s="5" t="s">
        <v>99</v>
      </c>
      <c r="G2249" s="5" t="s">
        <v>214</v>
      </c>
      <c r="H2249" s="5" t="s">
        <v>1036</v>
      </c>
    </row>
    <row r="2250" spans="5:8" x14ac:dyDescent="0.3">
      <c r="E2250" s="5" t="s">
        <v>1760</v>
      </c>
      <c r="F2250" s="5" t="s">
        <v>99</v>
      </c>
      <c r="G2250" s="5" t="s">
        <v>216</v>
      </c>
      <c r="H2250" s="5" t="s">
        <v>1772</v>
      </c>
    </row>
    <row r="2251" spans="5:8" x14ac:dyDescent="0.3">
      <c r="E2251" s="5" t="s">
        <v>1760</v>
      </c>
      <c r="F2251" s="5" t="s">
        <v>99</v>
      </c>
      <c r="G2251" s="5" t="s">
        <v>218</v>
      </c>
      <c r="H2251" s="5" t="s">
        <v>1773</v>
      </c>
    </row>
    <row r="2252" spans="5:8" x14ac:dyDescent="0.3">
      <c r="E2252" s="5" t="s">
        <v>1760</v>
      </c>
      <c r="F2252" s="5" t="s">
        <v>99</v>
      </c>
      <c r="G2252" s="5" t="s">
        <v>220</v>
      </c>
      <c r="H2252" s="5" t="s">
        <v>421</v>
      </c>
    </row>
    <row r="2253" spans="5:8" x14ac:dyDescent="0.3">
      <c r="E2253" s="5" t="s">
        <v>1760</v>
      </c>
      <c r="F2253" s="5" t="s">
        <v>99</v>
      </c>
      <c r="G2253" s="5" t="s">
        <v>222</v>
      </c>
      <c r="H2253" s="5" t="s">
        <v>1774</v>
      </c>
    </row>
    <row r="2254" spans="5:8" x14ac:dyDescent="0.3">
      <c r="E2254" s="5" t="s">
        <v>1760</v>
      </c>
      <c r="F2254" s="5" t="s">
        <v>99</v>
      </c>
      <c r="G2254" s="5" t="s">
        <v>224</v>
      </c>
      <c r="H2254" s="5" t="s">
        <v>1775</v>
      </c>
    </row>
    <row r="2255" spans="5:8" x14ac:dyDescent="0.3">
      <c r="E2255" s="5" t="s">
        <v>1760</v>
      </c>
      <c r="F2255" s="5" t="s">
        <v>99</v>
      </c>
      <c r="G2255" s="5" t="s">
        <v>226</v>
      </c>
      <c r="H2255" s="5" t="s">
        <v>289</v>
      </c>
    </row>
    <row r="2256" spans="5:8" x14ac:dyDescent="0.3">
      <c r="E2256" s="5" t="s">
        <v>1760</v>
      </c>
      <c r="F2256" s="5" t="s">
        <v>99</v>
      </c>
      <c r="G2256" s="5" t="s">
        <v>228</v>
      </c>
      <c r="H2256" s="5" t="s">
        <v>786</v>
      </c>
    </row>
    <row r="2257" spans="5:8" x14ac:dyDescent="0.3">
      <c r="E2257" s="5" t="s">
        <v>1760</v>
      </c>
      <c r="F2257" s="5" t="s">
        <v>99</v>
      </c>
      <c r="G2257" s="5" t="s">
        <v>230</v>
      </c>
      <c r="H2257" s="5" t="s">
        <v>1776</v>
      </c>
    </row>
    <row r="2258" spans="5:8" x14ac:dyDescent="0.3">
      <c r="E2258" s="5" t="s">
        <v>1777</v>
      </c>
      <c r="F2258" s="5" t="s">
        <v>101</v>
      </c>
      <c r="G2258" s="5" t="s">
        <v>160</v>
      </c>
      <c r="H2258" s="5" t="s">
        <v>487</v>
      </c>
    </row>
    <row r="2259" spans="5:8" x14ac:dyDescent="0.3">
      <c r="E2259" s="5" t="s">
        <v>1777</v>
      </c>
      <c r="F2259" s="5" t="s">
        <v>101</v>
      </c>
      <c r="G2259" s="5" t="s">
        <v>162</v>
      </c>
      <c r="H2259" s="5" t="s">
        <v>1778</v>
      </c>
    </row>
    <row r="2260" spans="5:8" x14ac:dyDescent="0.3">
      <c r="E2260" s="5" t="s">
        <v>1777</v>
      </c>
      <c r="F2260" s="5" t="s">
        <v>101</v>
      </c>
      <c r="G2260" s="5" t="s">
        <v>164</v>
      </c>
      <c r="H2260" s="5" t="s">
        <v>1779</v>
      </c>
    </row>
    <row r="2261" spans="5:8" x14ac:dyDescent="0.3">
      <c r="E2261" s="5" t="s">
        <v>1777</v>
      </c>
      <c r="F2261" s="5" t="s">
        <v>101</v>
      </c>
      <c r="G2261" s="5" t="s">
        <v>166</v>
      </c>
      <c r="H2261" s="5" t="s">
        <v>1720</v>
      </c>
    </row>
    <row r="2262" spans="5:8" x14ac:dyDescent="0.3">
      <c r="E2262" s="5" t="s">
        <v>1777</v>
      </c>
      <c r="F2262" s="5" t="s">
        <v>101</v>
      </c>
      <c r="G2262" s="5" t="s">
        <v>168</v>
      </c>
      <c r="H2262" s="5" t="s">
        <v>1780</v>
      </c>
    </row>
    <row r="2263" spans="5:8" x14ac:dyDescent="0.3">
      <c r="E2263" s="5" t="s">
        <v>1777</v>
      </c>
      <c r="F2263" s="5" t="s">
        <v>101</v>
      </c>
      <c r="G2263" s="5" t="s">
        <v>170</v>
      </c>
      <c r="H2263" s="5" t="s">
        <v>1781</v>
      </c>
    </row>
    <row r="2264" spans="5:8" x14ac:dyDescent="0.3">
      <c r="E2264" s="5" t="s">
        <v>1777</v>
      </c>
      <c r="F2264" s="5" t="s">
        <v>101</v>
      </c>
      <c r="G2264" s="5" t="s">
        <v>172</v>
      </c>
      <c r="H2264" s="5" t="s">
        <v>1782</v>
      </c>
    </row>
    <row r="2265" spans="5:8" x14ac:dyDescent="0.3">
      <c r="E2265" s="5" t="s">
        <v>1777</v>
      </c>
      <c r="F2265" s="5" t="s">
        <v>101</v>
      </c>
      <c r="G2265" s="5" t="s">
        <v>174</v>
      </c>
      <c r="H2265" s="5" t="s">
        <v>560</v>
      </c>
    </row>
    <row r="2266" spans="5:8" x14ac:dyDescent="0.3">
      <c r="E2266" s="5" t="s">
        <v>1777</v>
      </c>
      <c r="F2266" s="5" t="s">
        <v>101</v>
      </c>
      <c r="G2266" s="5" t="s">
        <v>176</v>
      </c>
      <c r="H2266" s="5" t="s">
        <v>1783</v>
      </c>
    </row>
    <row r="2267" spans="5:8" x14ac:dyDescent="0.3">
      <c r="E2267" s="5" t="s">
        <v>1777</v>
      </c>
      <c r="F2267" s="5" t="s">
        <v>101</v>
      </c>
      <c r="G2267" s="5" t="s">
        <v>178</v>
      </c>
      <c r="H2267" s="5" t="s">
        <v>173</v>
      </c>
    </row>
    <row r="2268" spans="5:8" x14ac:dyDescent="0.3">
      <c r="E2268" s="5" t="s">
        <v>1777</v>
      </c>
      <c r="F2268" s="5" t="s">
        <v>101</v>
      </c>
      <c r="G2268" s="5" t="s">
        <v>180</v>
      </c>
      <c r="H2268" s="5" t="s">
        <v>1784</v>
      </c>
    </row>
    <row r="2269" spans="5:8" x14ac:dyDescent="0.3">
      <c r="E2269" s="5" t="s">
        <v>1777</v>
      </c>
      <c r="F2269" s="5" t="s">
        <v>101</v>
      </c>
      <c r="G2269" s="5" t="s">
        <v>182</v>
      </c>
      <c r="H2269" s="5" t="s">
        <v>1785</v>
      </c>
    </row>
    <row r="2270" spans="5:8" x14ac:dyDescent="0.3">
      <c r="E2270" s="5" t="s">
        <v>1777</v>
      </c>
      <c r="F2270" s="5" t="s">
        <v>101</v>
      </c>
      <c r="G2270" s="5" t="s">
        <v>184</v>
      </c>
      <c r="H2270" s="5" t="s">
        <v>1419</v>
      </c>
    </row>
    <row r="2271" spans="5:8" x14ac:dyDescent="0.3">
      <c r="E2271" s="5" t="s">
        <v>1777</v>
      </c>
      <c r="F2271" s="5" t="s">
        <v>101</v>
      </c>
      <c r="G2271" s="5" t="s">
        <v>186</v>
      </c>
      <c r="H2271" s="5" t="s">
        <v>1786</v>
      </c>
    </row>
    <row r="2272" spans="5:8" x14ac:dyDescent="0.3">
      <c r="E2272" s="5" t="s">
        <v>1777</v>
      </c>
      <c r="F2272" s="5" t="s">
        <v>101</v>
      </c>
      <c r="G2272" s="5" t="s">
        <v>188</v>
      </c>
      <c r="H2272" s="5" t="s">
        <v>1787</v>
      </c>
    </row>
    <row r="2273" spans="5:8" x14ac:dyDescent="0.3">
      <c r="E2273" s="5" t="s">
        <v>1777</v>
      </c>
      <c r="F2273" s="5" t="s">
        <v>101</v>
      </c>
      <c r="G2273" s="5" t="s">
        <v>190</v>
      </c>
      <c r="H2273" s="5" t="s">
        <v>1788</v>
      </c>
    </row>
    <row r="2274" spans="5:8" x14ac:dyDescent="0.3">
      <c r="E2274" s="5" t="s">
        <v>1777</v>
      </c>
      <c r="F2274" s="5" t="s">
        <v>101</v>
      </c>
      <c r="G2274" s="5" t="s">
        <v>192</v>
      </c>
      <c r="H2274" s="5" t="s">
        <v>1789</v>
      </c>
    </row>
    <row r="2275" spans="5:8" x14ac:dyDescent="0.3">
      <c r="E2275" s="5" t="s">
        <v>1777</v>
      </c>
      <c r="F2275" s="5" t="s">
        <v>101</v>
      </c>
      <c r="G2275" s="5" t="s">
        <v>194</v>
      </c>
      <c r="H2275" s="5" t="s">
        <v>845</v>
      </c>
    </row>
    <row r="2276" spans="5:8" x14ac:dyDescent="0.3">
      <c r="E2276" s="5" t="s">
        <v>1777</v>
      </c>
      <c r="F2276" s="5" t="s">
        <v>101</v>
      </c>
      <c r="G2276" s="5" t="s">
        <v>196</v>
      </c>
      <c r="H2276" s="5" t="s">
        <v>376</v>
      </c>
    </row>
    <row r="2277" spans="5:8" x14ac:dyDescent="0.3">
      <c r="E2277" s="5" t="s">
        <v>1777</v>
      </c>
      <c r="F2277" s="5" t="s">
        <v>101</v>
      </c>
      <c r="G2277" s="5" t="s">
        <v>198</v>
      </c>
      <c r="H2277" s="5" t="s">
        <v>379</v>
      </c>
    </row>
    <row r="2278" spans="5:8" x14ac:dyDescent="0.3">
      <c r="E2278" s="5" t="s">
        <v>1777</v>
      </c>
      <c r="F2278" s="5" t="s">
        <v>101</v>
      </c>
      <c r="G2278" s="5" t="s">
        <v>200</v>
      </c>
      <c r="H2278" s="5" t="s">
        <v>847</v>
      </c>
    </row>
    <row r="2279" spans="5:8" x14ac:dyDescent="0.3">
      <c r="E2279" s="5" t="s">
        <v>1777</v>
      </c>
      <c r="F2279" s="5" t="s">
        <v>101</v>
      </c>
      <c r="G2279" s="5" t="s">
        <v>202</v>
      </c>
      <c r="H2279" s="5" t="s">
        <v>1790</v>
      </c>
    </row>
    <row r="2280" spans="5:8" x14ac:dyDescent="0.3">
      <c r="E2280" s="5" t="s">
        <v>1777</v>
      </c>
      <c r="F2280" s="5" t="s">
        <v>101</v>
      </c>
      <c r="G2280" s="5" t="s">
        <v>204</v>
      </c>
      <c r="H2280" s="5" t="s">
        <v>899</v>
      </c>
    </row>
    <row r="2281" spans="5:8" x14ac:dyDescent="0.3">
      <c r="E2281" s="5" t="s">
        <v>1777</v>
      </c>
      <c r="F2281" s="5" t="s">
        <v>101</v>
      </c>
      <c r="G2281" s="5" t="s">
        <v>206</v>
      </c>
      <c r="H2281" s="5" t="s">
        <v>994</v>
      </c>
    </row>
    <row r="2282" spans="5:8" x14ac:dyDescent="0.3">
      <c r="E2282" s="5" t="s">
        <v>1777</v>
      </c>
      <c r="F2282" s="5" t="s">
        <v>101</v>
      </c>
      <c r="G2282" s="5" t="s">
        <v>208</v>
      </c>
      <c r="H2282" s="5" t="s">
        <v>1562</v>
      </c>
    </row>
    <row r="2283" spans="5:8" x14ac:dyDescent="0.3">
      <c r="E2283" s="5" t="s">
        <v>1777</v>
      </c>
      <c r="F2283" s="5" t="s">
        <v>101</v>
      </c>
      <c r="G2283" s="5" t="s">
        <v>210</v>
      </c>
      <c r="H2283" s="5" t="s">
        <v>217</v>
      </c>
    </row>
    <row r="2284" spans="5:8" x14ac:dyDescent="0.3">
      <c r="E2284" s="5" t="s">
        <v>1777</v>
      </c>
      <c r="F2284" s="5" t="s">
        <v>101</v>
      </c>
      <c r="G2284" s="5" t="s">
        <v>212</v>
      </c>
      <c r="H2284" s="5" t="s">
        <v>1791</v>
      </c>
    </row>
    <row r="2285" spans="5:8" x14ac:dyDescent="0.3">
      <c r="E2285" s="5" t="s">
        <v>1777</v>
      </c>
      <c r="F2285" s="5" t="s">
        <v>101</v>
      </c>
      <c r="G2285" s="5" t="s">
        <v>214</v>
      </c>
      <c r="H2285" s="5" t="s">
        <v>219</v>
      </c>
    </row>
    <row r="2286" spans="5:8" x14ac:dyDescent="0.3">
      <c r="E2286" s="5" t="s">
        <v>1777</v>
      </c>
      <c r="F2286" s="5" t="s">
        <v>101</v>
      </c>
      <c r="G2286" s="5" t="s">
        <v>216</v>
      </c>
      <c r="H2286" s="5" t="s">
        <v>385</v>
      </c>
    </row>
    <row r="2287" spans="5:8" x14ac:dyDescent="0.3">
      <c r="E2287" s="5" t="s">
        <v>1777</v>
      </c>
      <c r="F2287" s="5" t="s">
        <v>101</v>
      </c>
      <c r="G2287" s="5" t="s">
        <v>218</v>
      </c>
      <c r="H2287" s="5" t="s">
        <v>223</v>
      </c>
    </row>
    <row r="2288" spans="5:8" x14ac:dyDescent="0.3">
      <c r="E2288" s="5" t="s">
        <v>1777</v>
      </c>
      <c r="F2288" s="5" t="s">
        <v>101</v>
      </c>
      <c r="G2288" s="5" t="s">
        <v>220</v>
      </c>
      <c r="H2288" s="5" t="s">
        <v>1792</v>
      </c>
    </row>
    <row r="2289" spans="5:8" x14ac:dyDescent="0.3">
      <c r="E2289" s="5" t="s">
        <v>1777</v>
      </c>
      <c r="F2289" s="5" t="s">
        <v>101</v>
      </c>
      <c r="G2289" s="5" t="s">
        <v>222</v>
      </c>
      <c r="H2289" s="5" t="s">
        <v>1793</v>
      </c>
    </row>
    <row r="2290" spans="5:8" x14ac:dyDescent="0.3">
      <c r="E2290" s="5" t="s">
        <v>1777</v>
      </c>
      <c r="F2290" s="5" t="s">
        <v>101</v>
      </c>
      <c r="G2290" s="5" t="s">
        <v>224</v>
      </c>
      <c r="H2290" s="5" t="s">
        <v>233</v>
      </c>
    </row>
    <row r="2291" spans="5:8" x14ac:dyDescent="0.3">
      <c r="E2291" s="5" t="s">
        <v>1777</v>
      </c>
      <c r="F2291" s="5" t="s">
        <v>101</v>
      </c>
      <c r="G2291" s="5" t="s">
        <v>226</v>
      </c>
      <c r="H2291" s="5" t="s">
        <v>1794</v>
      </c>
    </row>
    <row r="2292" spans="5:8" x14ac:dyDescent="0.3">
      <c r="E2292" s="5" t="s">
        <v>1777</v>
      </c>
      <c r="F2292" s="5" t="s">
        <v>101</v>
      </c>
      <c r="G2292" s="5" t="s">
        <v>228</v>
      </c>
      <c r="H2292" s="5" t="s">
        <v>1795</v>
      </c>
    </row>
    <row r="2293" spans="5:8" x14ac:dyDescent="0.3">
      <c r="E2293" s="5" t="s">
        <v>1777</v>
      </c>
      <c r="F2293" s="5" t="s">
        <v>101</v>
      </c>
      <c r="G2293" s="5" t="s">
        <v>230</v>
      </c>
      <c r="H2293" s="5" t="s">
        <v>1478</v>
      </c>
    </row>
    <row r="2294" spans="5:8" x14ac:dyDescent="0.3">
      <c r="E2294" s="5" t="s">
        <v>1777</v>
      </c>
      <c r="F2294" s="5" t="s">
        <v>101</v>
      </c>
      <c r="G2294" s="5" t="s">
        <v>232</v>
      </c>
      <c r="H2294" s="5" t="s">
        <v>239</v>
      </c>
    </row>
    <row r="2295" spans="5:8" x14ac:dyDescent="0.3">
      <c r="E2295" s="5" t="s">
        <v>1777</v>
      </c>
      <c r="F2295" s="5" t="s">
        <v>101</v>
      </c>
      <c r="G2295" s="5" t="s">
        <v>234</v>
      </c>
      <c r="H2295" s="5" t="s">
        <v>1796</v>
      </c>
    </row>
    <row r="2296" spans="5:8" x14ac:dyDescent="0.3">
      <c r="E2296" s="5" t="s">
        <v>1777</v>
      </c>
      <c r="F2296" s="5" t="s">
        <v>101</v>
      </c>
      <c r="G2296" s="5" t="s">
        <v>236</v>
      </c>
      <c r="H2296" s="5" t="s">
        <v>1797</v>
      </c>
    </row>
    <row r="2297" spans="5:8" x14ac:dyDescent="0.3">
      <c r="E2297" s="5" t="s">
        <v>1777</v>
      </c>
      <c r="F2297" s="5" t="s">
        <v>101</v>
      </c>
      <c r="G2297" s="5" t="s">
        <v>238</v>
      </c>
      <c r="H2297" s="5" t="s">
        <v>1798</v>
      </c>
    </row>
    <row r="2298" spans="5:8" x14ac:dyDescent="0.3">
      <c r="E2298" s="5" t="s">
        <v>1777</v>
      </c>
      <c r="F2298" s="5" t="s">
        <v>101</v>
      </c>
      <c r="G2298" s="5" t="s">
        <v>240</v>
      </c>
      <c r="H2298" s="5" t="s">
        <v>1799</v>
      </c>
    </row>
    <row r="2299" spans="5:8" x14ac:dyDescent="0.3">
      <c r="E2299" s="5" t="s">
        <v>1777</v>
      </c>
      <c r="F2299" s="5" t="s">
        <v>101</v>
      </c>
      <c r="G2299" s="5" t="s">
        <v>242</v>
      </c>
      <c r="H2299" s="5" t="s">
        <v>1800</v>
      </c>
    </row>
    <row r="2300" spans="5:8" x14ac:dyDescent="0.3">
      <c r="E2300" s="5" t="s">
        <v>1777</v>
      </c>
      <c r="F2300" s="5" t="s">
        <v>101</v>
      </c>
      <c r="G2300" s="5" t="s">
        <v>244</v>
      </c>
      <c r="H2300" s="5" t="s">
        <v>873</v>
      </c>
    </row>
    <row r="2301" spans="5:8" x14ac:dyDescent="0.3">
      <c r="E2301" s="5" t="s">
        <v>1777</v>
      </c>
      <c r="F2301" s="5" t="s">
        <v>101</v>
      </c>
      <c r="G2301" s="5" t="s">
        <v>246</v>
      </c>
      <c r="H2301" s="5" t="s">
        <v>1801</v>
      </c>
    </row>
    <row r="2302" spans="5:8" x14ac:dyDescent="0.3">
      <c r="E2302" s="5" t="s">
        <v>1777</v>
      </c>
      <c r="F2302" s="5" t="s">
        <v>101</v>
      </c>
      <c r="G2302" s="5" t="s">
        <v>248</v>
      </c>
      <c r="H2302" s="5" t="s">
        <v>259</v>
      </c>
    </row>
    <row r="2303" spans="5:8" x14ac:dyDescent="0.3">
      <c r="E2303" s="5" t="s">
        <v>1777</v>
      </c>
      <c r="F2303" s="5" t="s">
        <v>101</v>
      </c>
      <c r="G2303" s="5" t="s">
        <v>250</v>
      </c>
      <c r="H2303" s="5" t="s">
        <v>261</v>
      </c>
    </row>
    <row r="2304" spans="5:8" x14ac:dyDescent="0.3">
      <c r="E2304" s="5" t="s">
        <v>1777</v>
      </c>
      <c r="F2304" s="5" t="s">
        <v>101</v>
      </c>
      <c r="G2304" s="5" t="s">
        <v>252</v>
      </c>
      <c r="H2304" s="5" t="s">
        <v>1802</v>
      </c>
    </row>
    <row r="2305" spans="5:8" x14ac:dyDescent="0.3">
      <c r="E2305" s="5" t="s">
        <v>1777</v>
      </c>
      <c r="F2305" s="5" t="s">
        <v>101</v>
      </c>
      <c r="G2305" s="5" t="s">
        <v>254</v>
      </c>
      <c r="H2305" s="5" t="s">
        <v>1627</v>
      </c>
    </row>
    <row r="2306" spans="5:8" x14ac:dyDescent="0.3">
      <c r="E2306" s="5" t="s">
        <v>1777</v>
      </c>
      <c r="F2306" s="5" t="s">
        <v>101</v>
      </c>
      <c r="G2306" s="5" t="s">
        <v>256</v>
      </c>
      <c r="H2306" s="5" t="s">
        <v>1803</v>
      </c>
    </row>
    <row r="2307" spans="5:8" x14ac:dyDescent="0.3">
      <c r="E2307" s="5" t="s">
        <v>1777</v>
      </c>
      <c r="F2307" s="5" t="s">
        <v>101</v>
      </c>
      <c r="G2307" s="5" t="s">
        <v>258</v>
      </c>
      <c r="H2307" s="5" t="s">
        <v>265</v>
      </c>
    </row>
    <row r="2308" spans="5:8" x14ac:dyDescent="0.3">
      <c r="E2308" s="5" t="s">
        <v>1777</v>
      </c>
      <c r="F2308" s="5" t="s">
        <v>101</v>
      </c>
      <c r="G2308" s="5" t="s">
        <v>260</v>
      </c>
      <c r="H2308" s="5" t="s">
        <v>1804</v>
      </c>
    </row>
    <row r="2309" spans="5:8" x14ac:dyDescent="0.3">
      <c r="E2309" s="5" t="s">
        <v>1777</v>
      </c>
      <c r="F2309" s="5" t="s">
        <v>101</v>
      </c>
      <c r="G2309" s="5" t="s">
        <v>262</v>
      </c>
      <c r="H2309" s="5" t="s">
        <v>269</v>
      </c>
    </row>
    <row r="2310" spans="5:8" x14ac:dyDescent="0.3">
      <c r="E2310" s="5" t="s">
        <v>1777</v>
      </c>
      <c r="F2310" s="5" t="s">
        <v>101</v>
      </c>
      <c r="G2310" s="5" t="s">
        <v>264</v>
      </c>
      <c r="H2310" s="5" t="s">
        <v>1805</v>
      </c>
    </row>
    <row r="2311" spans="5:8" x14ac:dyDescent="0.3">
      <c r="E2311" s="5" t="s">
        <v>1777</v>
      </c>
      <c r="F2311" s="5" t="s">
        <v>101</v>
      </c>
      <c r="G2311" s="5" t="s">
        <v>266</v>
      </c>
      <c r="H2311" s="5" t="s">
        <v>1806</v>
      </c>
    </row>
    <row r="2312" spans="5:8" x14ac:dyDescent="0.3">
      <c r="E2312" s="5" t="s">
        <v>1777</v>
      </c>
      <c r="F2312" s="5" t="s">
        <v>101</v>
      </c>
      <c r="G2312" s="5" t="s">
        <v>268</v>
      </c>
      <c r="H2312" s="5" t="s">
        <v>1807</v>
      </c>
    </row>
    <row r="2313" spans="5:8" x14ac:dyDescent="0.3">
      <c r="E2313" s="5" t="s">
        <v>1777</v>
      </c>
      <c r="F2313" s="5" t="s">
        <v>101</v>
      </c>
      <c r="G2313" s="5" t="s">
        <v>270</v>
      </c>
      <c r="H2313" s="5" t="s">
        <v>1178</v>
      </c>
    </row>
    <row r="2314" spans="5:8" x14ac:dyDescent="0.3">
      <c r="E2314" s="5" t="s">
        <v>1777</v>
      </c>
      <c r="F2314" s="5" t="s">
        <v>101</v>
      </c>
      <c r="G2314" s="5" t="s">
        <v>272</v>
      </c>
      <c r="H2314" s="5" t="s">
        <v>925</v>
      </c>
    </row>
    <row r="2315" spans="5:8" x14ac:dyDescent="0.3">
      <c r="E2315" s="5" t="s">
        <v>1777</v>
      </c>
      <c r="F2315" s="5" t="s">
        <v>101</v>
      </c>
      <c r="G2315" s="5" t="s">
        <v>274</v>
      </c>
      <c r="H2315" s="5" t="s">
        <v>1808</v>
      </c>
    </row>
    <row r="2316" spans="5:8" x14ac:dyDescent="0.3">
      <c r="E2316" s="5" t="s">
        <v>1777</v>
      </c>
      <c r="F2316" s="5" t="s">
        <v>101</v>
      </c>
      <c r="G2316" s="5" t="s">
        <v>276</v>
      </c>
      <c r="H2316" s="5" t="s">
        <v>1578</v>
      </c>
    </row>
    <row r="2317" spans="5:8" x14ac:dyDescent="0.3">
      <c r="E2317" s="5" t="s">
        <v>1777</v>
      </c>
      <c r="F2317" s="5" t="s">
        <v>101</v>
      </c>
      <c r="G2317" s="5" t="s">
        <v>278</v>
      </c>
      <c r="H2317" s="5" t="s">
        <v>421</v>
      </c>
    </row>
    <row r="2318" spans="5:8" x14ac:dyDescent="0.3">
      <c r="E2318" s="5" t="s">
        <v>1777</v>
      </c>
      <c r="F2318" s="5" t="s">
        <v>101</v>
      </c>
      <c r="G2318" s="5" t="s">
        <v>280</v>
      </c>
      <c r="H2318" s="5" t="s">
        <v>1809</v>
      </c>
    </row>
    <row r="2319" spans="5:8" x14ac:dyDescent="0.3">
      <c r="E2319" s="5" t="s">
        <v>1777</v>
      </c>
      <c r="F2319" s="5" t="s">
        <v>101</v>
      </c>
      <c r="G2319" s="5" t="s">
        <v>282</v>
      </c>
      <c r="H2319" s="5" t="s">
        <v>779</v>
      </c>
    </row>
    <row r="2320" spans="5:8" x14ac:dyDescent="0.3">
      <c r="E2320" s="5" t="s">
        <v>1777</v>
      </c>
      <c r="F2320" s="5" t="s">
        <v>101</v>
      </c>
      <c r="G2320" s="5" t="s">
        <v>284</v>
      </c>
      <c r="H2320" s="5" t="s">
        <v>289</v>
      </c>
    </row>
    <row r="2321" spans="5:8" x14ac:dyDescent="0.3">
      <c r="E2321" s="5" t="s">
        <v>1777</v>
      </c>
      <c r="F2321" s="5" t="s">
        <v>101</v>
      </c>
      <c r="G2321" s="5" t="s">
        <v>286</v>
      </c>
      <c r="H2321" s="5" t="s">
        <v>782</v>
      </c>
    </row>
    <row r="2322" spans="5:8" x14ac:dyDescent="0.3">
      <c r="E2322" s="5" t="s">
        <v>1777</v>
      </c>
      <c r="F2322" s="5" t="s">
        <v>101</v>
      </c>
      <c r="G2322" s="5" t="s">
        <v>288</v>
      </c>
      <c r="H2322" s="5" t="s">
        <v>1810</v>
      </c>
    </row>
    <row r="2323" spans="5:8" x14ac:dyDescent="0.3">
      <c r="E2323" s="5" t="s">
        <v>1777</v>
      </c>
      <c r="F2323" s="5" t="s">
        <v>101</v>
      </c>
      <c r="G2323" s="5" t="s">
        <v>290</v>
      </c>
      <c r="H2323" s="5" t="s">
        <v>1582</v>
      </c>
    </row>
    <row r="2324" spans="5:8" x14ac:dyDescent="0.3">
      <c r="E2324" s="5" t="s">
        <v>1777</v>
      </c>
      <c r="F2324" s="5" t="s">
        <v>101</v>
      </c>
      <c r="G2324" s="5" t="s">
        <v>292</v>
      </c>
      <c r="H2324" s="5" t="s">
        <v>1180</v>
      </c>
    </row>
    <row r="2325" spans="5:8" x14ac:dyDescent="0.3">
      <c r="E2325" s="5" t="s">
        <v>152</v>
      </c>
      <c r="F2325" s="5" t="s">
        <v>153</v>
      </c>
      <c r="G2325" s="5" t="s">
        <v>160</v>
      </c>
      <c r="H2325" s="5" t="s">
        <v>2416</v>
      </c>
    </row>
    <row r="2326" spans="5:8" x14ac:dyDescent="0.3">
      <c r="E2326" s="5" t="s">
        <v>152</v>
      </c>
      <c r="F2326" s="5" t="s">
        <v>153</v>
      </c>
      <c r="G2326" s="5" t="s">
        <v>162</v>
      </c>
      <c r="H2326" s="5" t="s">
        <v>2417</v>
      </c>
    </row>
    <row r="2327" spans="5:8" x14ac:dyDescent="0.3">
      <c r="E2327" s="5" t="s">
        <v>152</v>
      </c>
      <c r="F2327" s="5" t="s">
        <v>153</v>
      </c>
      <c r="G2327" s="5" t="s">
        <v>164</v>
      </c>
      <c r="H2327" s="5" t="s">
        <v>2418</v>
      </c>
    </row>
    <row r="2328" spans="5:8" x14ac:dyDescent="0.3">
      <c r="E2328" s="5" t="s">
        <v>152</v>
      </c>
      <c r="F2328" s="5" t="s">
        <v>153</v>
      </c>
      <c r="G2328" s="5" t="s">
        <v>166</v>
      </c>
      <c r="H2328" s="5" t="s">
        <v>2419</v>
      </c>
    </row>
    <row r="2329" spans="5:8" x14ac:dyDescent="0.3">
      <c r="E2329" s="5" t="s">
        <v>152</v>
      </c>
      <c r="F2329" s="5" t="s">
        <v>153</v>
      </c>
      <c r="G2329" s="5" t="s">
        <v>168</v>
      </c>
      <c r="H2329" s="5" t="s">
        <v>2420</v>
      </c>
    </row>
    <row r="2330" spans="5:8" x14ac:dyDescent="0.3">
      <c r="E2330" s="5" t="s">
        <v>152</v>
      </c>
      <c r="F2330" s="5" t="s">
        <v>153</v>
      </c>
      <c r="G2330" s="5" t="s">
        <v>170</v>
      </c>
      <c r="H2330" s="5" t="s">
        <v>2421</v>
      </c>
    </row>
    <row r="2331" spans="5:8" x14ac:dyDescent="0.3">
      <c r="E2331" s="5" t="s">
        <v>152</v>
      </c>
      <c r="F2331" s="5" t="s">
        <v>153</v>
      </c>
      <c r="G2331" s="5" t="s">
        <v>172</v>
      </c>
      <c r="H2331" s="5" t="s">
        <v>2422</v>
      </c>
    </row>
    <row r="2332" spans="5:8" x14ac:dyDescent="0.3">
      <c r="E2332" s="5" t="s">
        <v>152</v>
      </c>
      <c r="F2332" s="5" t="s">
        <v>153</v>
      </c>
      <c r="G2332" s="5" t="s">
        <v>174</v>
      </c>
      <c r="H2332" s="5" t="s">
        <v>2423</v>
      </c>
    </row>
    <row r="2333" spans="5:8" x14ac:dyDescent="0.3">
      <c r="E2333" s="5" t="s">
        <v>152</v>
      </c>
      <c r="F2333" s="5" t="s">
        <v>153</v>
      </c>
      <c r="G2333" s="5" t="s">
        <v>176</v>
      </c>
      <c r="H2333" s="5" t="s">
        <v>2424</v>
      </c>
    </row>
    <row r="2334" spans="5:8" x14ac:dyDescent="0.3">
      <c r="E2334" s="5" t="s">
        <v>152</v>
      </c>
      <c r="F2334" s="5" t="s">
        <v>153</v>
      </c>
      <c r="G2334" s="5" t="s">
        <v>178</v>
      </c>
      <c r="H2334" s="5" t="s">
        <v>2425</v>
      </c>
    </row>
    <row r="2335" spans="5:8" x14ac:dyDescent="0.3">
      <c r="E2335" s="5" t="s">
        <v>152</v>
      </c>
      <c r="F2335" s="5" t="s">
        <v>153</v>
      </c>
      <c r="G2335" s="5" t="s">
        <v>180</v>
      </c>
      <c r="H2335" s="5" t="s">
        <v>2426</v>
      </c>
    </row>
    <row r="2336" spans="5:8" x14ac:dyDescent="0.3">
      <c r="E2336" s="5" t="s">
        <v>152</v>
      </c>
      <c r="F2336" s="5" t="s">
        <v>153</v>
      </c>
      <c r="G2336" s="5" t="s">
        <v>182</v>
      </c>
      <c r="H2336" s="5" t="s">
        <v>2427</v>
      </c>
    </row>
    <row r="2337" spans="5:8" x14ac:dyDescent="0.3">
      <c r="E2337" s="5" t="s">
        <v>152</v>
      </c>
      <c r="F2337" s="5" t="s">
        <v>153</v>
      </c>
      <c r="G2337" s="5" t="s">
        <v>184</v>
      </c>
      <c r="H2337" s="5" t="s">
        <v>2428</v>
      </c>
    </row>
    <row r="2338" spans="5:8" x14ac:dyDescent="0.3">
      <c r="E2338" s="5" t="s">
        <v>152</v>
      </c>
      <c r="F2338" s="5" t="s">
        <v>153</v>
      </c>
      <c r="G2338" s="5" t="s">
        <v>186</v>
      </c>
      <c r="H2338" s="5" t="s">
        <v>2429</v>
      </c>
    </row>
    <row r="2339" spans="5:8" x14ac:dyDescent="0.3">
      <c r="E2339" s="5" t="s">
        <v>152</v>
      </c>
      <c r="F2339" s="5" t="s">
        <v>153</v>
      </c>
      <c r="G2339" s="5" t="s">
        <v>188</v>
      </c>
      <c r="H2339" s="5" t="s">
        <v>2430</v>
      </c>
    </row>
    <row r="2340" spans="5:8" x14ac:dyDescent="0.3">
      <c r="E2340" s="5" t="s">
        <v>152</v>
      </c>
      <c r="F2340" s="5" t="s">
        <v>153</v>
      </c>
      <c r="G2340" s="5" t="s">
        <v>190</v>
      </c>
      <c r="H2340" s="5" t="s">
        <v>2431</v>
      </c>
    </row>
    <row r="2341" spans="5:8" x14ac:dyDescent="0.3">
      <c r="E2341" s="5" t="s">
        <v>152</v>
      </c>
      <c r="F2341" s="5" t="s">
        <v>153</v>
      </c>
      <c r="G2341" s="5" t="s">
        <v>192</v>
      </c>
      <c r="H2341" s="5" t="s">
        <v>2432</v>
      </c>
    </row>
    <row r="2342" spans="5:8" x14ac:dyDescent="0.3">
      <c r="E2342" s="5" t="s">
        <v>152</v>
      </c>
      <c r="F2342" s="5" t="s">
        <v>153</v>
      </c>
      <c r="G2342" s="5" t="s">
        <v>194</v>
      </c>
      <c r="H2342" s="5" t="s">
        <v>2433</v>
      </c>
    </row>
    <row r="2343" spans="5:8" x14ac:dyDescent="0.3">
      <c r="E2343" s="5" t="s">
        <v>152</v>
      </c>
      <c r="F2343" s="5" t="s">
        <v>153</v>
      </c>
      <c r="G2343" s="5" t="s">
        <v>196</v>
      </c>
      <c r="H2343" s="5" t="s">
        <v>2434</v>
      </c>
    </row>
    <row r="2344" spans="5:8" x14ac:dyDescent="0.3">
      <c r="E2344" s="5" t="s">
        <v>152</v>
      </c>
      <c r="F2344" s="5" t="s">
        <v>153</v>
      </c>
      <c r="G2344" s="5" t="s">
        <v>198</v>
      </c>
      <c r="H2344" s="5" t="s">
        <v>2435</v>
      </c>
    </row>
    <row r="2345" spans="5:8" x14ac:dyDescent="0.3">
      <c r="E2345" s="5" t="s">
        <v>152</v>
      </c>
      <c r="F2345" s="5" t="s">
        <v>153</v>
      </c>
      <c r="G2345" s="5" t="s">
        <v>200</v>
      </c>
      <c r="H2345" s="5" t="s">
        <v>2436</v>
      </c>
    </row>
    <row r="2346" spans="5:8" x14ac:dyDescent="0.3">
      <c r="E2346" s="5" t="s">
        <v>152</v>
      </c>
      <c r="F2346" s="5" t="s">
        <v>153</v>
      </c>
      <c r="G2346" s="5" t="s">
        <v>202</v>
      </c>
      <c r="H2346" s="5" t="s">
        <v>2437</v>
      </c>
    </row>
    <row r="2347" spans="5:8" x14ac:dyDescent="0.3">
      <c r="E2347" s="5" t="s">
        <v>152</v>
      </c>
      <c r="F2347" s="5" t="s">
        <v>153</v>
      </c>
      <c r="G2347" s="5" t="s">
        <v>204</v>
      </c>
      <c r="H2347" s="5" t="s">
        <v>2438</v>
      </c>
    </row>
    <row r="2348" spans="5:8" x14ac:dyDescent="0.3">
      <c r="E2348" s="5" t="s">
        <v>152</v>
      </c>
      <c r="F2348" s="5" t="s">
        <v>153</v>
      </c>
      <c r="G2348" s="5" t="s">
        <v>206</v>
      </c>
      <c r="H2348" s="5" t="s">
        <v>2439</v>
      </c>
    </row>
    <row r="2349" spans="5:8" x14ac:dyDescent="0.3">
      <c r="E2349" s="5" t="s">
        <v>152</v>
      </c>
      <c r="F2349" s="5" t="s">
        <v>153</v>
      </c>
      <c r="G2349" s="5" t="s">
        <v>208</v>
      </c>
      <c r="H2349" s="5" t="s">
        <v>2440</v>
      </c>
    </row>
    <row r="2350" spans="5:8" x14ac:dyDescent="0.3">
      <c r="E2350" s="5" t="s">
        <v>152</v>
      </c>
      <c r="F2350" s="5" t="s">
        <v>153</v>
      </c>
      <c r="G2350" s="5" t="s">
        <v>210</v>
      </c>
      <c r="H2350" s="5" t="s">
        <v>2441</v>
      </c>
    </row>
    <row r="2351" spans="5:8" x14ac:dyDescent="0.3">
      <c r="E2351" s="5" t="s">
        <v>152</v>
      </c>
      <c r="F2351" s="5" t="s">
        <v>153</v>
      </c>
      <c r="G2351" s="5" t="s">
        <v>212</v>
      </c>
      <c r="H2351" s="5" t="s">
        <v>2442</v>
      </c>
    </row>
    <row r="2352" spans="5:8" x14ac:dyDescent="0.3">
      <c r="E2352" s="5" t="s">
        <v>152</v>
      </c>
      <c r="F2352" s="5" t="s">
        <v>153</v>
      </c>
      <c r="G2352" s="5" t="s">
        <v>2443</v>
      </c>
      <c r="H2352" s="5" t="s">
        <v>2444</v>
      </c>
    </row>
    <row r="2353" spans="5:8" x14ac:dyDescent="0.3">
      <c r="E2353" s="5" t="s">
        <v>152</v>
      </c>
      <c r="F2353" s="5" t="s">
        <v>153</v>
      </c>
      <c r="G2353" s="5" t="s">
        <v>214</v>
      </c>
      <c r="H2353" s="5" t="s">
        <v>2445</v>
      </c>
    </row>
    <row r="2354" spans="5:8" x14ac:dyDescent="0.3">
      <c r="E2354" s="5" t="s">
        <v>152</v>
      </c>
      <c r="F2354" s="5" t="s">
        <v>153</v>
      </c>
      <c r="G2354" s="5" t="s">
        <v>216</v>
      </c>
      <c r="H2354" s="5" t="s">
        <v>2446</v>
      </c>
    </row>
    <row r="2355" spans="5:8" x14ac:dyDescent="0.3">
      <c r="E2355" s="5" t="s">
        <v>152</v>
      </c>
      <c r="F2355" s="5" t="s">
        <v>153</v>
      </c>
      <c r="G2355" s="5" t="s">
        <v>218</v>
      </c>
      <c r="H2355" s="5" t="s">
        <v>2447</v>
      </c>
    </row>
    <row r="2356" spans="5:8" x14ac:dyDescent="0.3">
      <c r="E2356" s="5" t="s">
        <v>152</v>
      </c>
      <c r="F2356" s="5" t="s">
        <v>153</v>
      </c>
      <c r="G2356" s="5" t="s">
        <v>220</v>
      </c>
      <c r="H2356" s="5" t="s">
        <v>2448</v>
      </c>
    </row>
    <row r="2357" spans="5:8" x14ac:dyDescent="0.3">
      <c r="E2357" s="5" t="s">
        <v>152</v>
      </c>
      <c r="F2357" s="5" t="s">
        <v>153</v>
      </c>
      <c r="G2357" s="5" t="s">
        <v>222</v>
      </c>
      <c r="H2357" s="5" t="s">
        <v>2449</v>
      </c>
    </row>
    <row r="2358" spans="5:8" x14ac:dyDescent="0.3">
      <c r="E2358" s="5" t="s">
        <v>152</v>
      </c>
      <c r="F2358" s="5" t="s">
        <v>153</v>
      </c>
      <c r="G2358" s="5" t="s">
        <v>224</v>
      </c>
      <c r="H2358" s="5" t="s">
        <v>2450</v>
      </c>
    </row>
    <row r="2359" spans="5:8" x14ac:dyDescent="0.3">
      <c r="E2359" s="5" t="s">
        <v>152</v>
      </c>
      <c r="F2359" s="5" t="s">
        <v>153</v>
      </c>
      <c r="G2359" s="5" t="s">
        <v>226</v>
      </c>
      <c r="H2359" s="5" t="s">
        <v>2451</v>
      </c>
    </row>
    <row r="2360" spans="5:8" x14ac:dyDescent="0.3">
      <c r="E2360" s="5" t="s">
        <v>152</v>
      </c>
      <c r="F2360" s="5" t="s">
        <v>153</v>
      </c>
      <c r="G2360" s="5" t="s">
        <v>228</v>
      </c>
      <c r="H2360" s="5" t="s">
        <v>2452</v>
      </c>
    </row>
    <row r="2361" spans="5:8" x14ac:dyDescent="0.3">
      <c r="E2361" s="5" t="s">
        <v>152</v>
      </c>
      <c r="F2361" s="5" t="s">
        <v>153</v>
      </c>
      <c r="G2361" s="5" t="s">
        <v>230</v>
      </c>
      <c r="H2361" s="5" t="s">
        <v>2453</v>
      </c>
    </row>
    <row r="2362" spans="5:8" x14ac:dyDescent="0.3">
      <c r="E2362" s="5" t="s">
        <v>152</v>
      </c>
      <c r="F2362" s="5" t="s">
        <v>153</v>
      </c>
      <c r="G2362" s="5" t="s">
        <v>232</v>
      </c>
      <c r="H2362" s="5" t="s">
        <v>2454</v>
      </c>
    </row>
    <row r="2363" spans="5:8" x14ac:dyDescent="0.3">
      <c r="E2363" s="5" t="s">
        <v>152</v>
      </c>
      <c r="F2363" s="5" t="s">
        <v>153</v>
      </c>
      <c r="G2363" s="5" t="s">
        <v>234</v>
      </c>
      <c r="H2363" s="5" t="s">
        <v>2455</v>
      </c>
    </row>
    <row r="2364" spans="5:8" x14ac:dyDescent="0.3">
      <c r="E2364" s="5" t="s">
        <v>152</v>
      </c>
      <c r="F2364" s="5" t="s">
        <v>153</v>
      </c>
      <c r="G2364" s="5" t="s">
        <v>236</v>
      </c>
      <c r="H2364" s="5" t="s">
        <v>2456</v>
      </c>
    </row>
    <row r="2365" spans="5:8" x14ac:dyDescent="0.3">
      <c r="E2365" s="5" t="s">
        <v>152</v>
      </c>
      <c r="F2365" s="5" t="s">
        <v>153</v>
      </c>
      <c r="G2365" s="5" t="s">
        <v>238</v>
      </c>
      <c r="H2365" s="5" t="s">
        <v>2457</v>
      </c>
    </row>
    <row r="2366" spans="5:8" x14ac:dyDescent="0.3">
      <c r="E2366" s="5" t="s">
        <v>152</v>
      </c>
      <c r="F2366" s="5" t="s">
        <v>153</v>
      </c>
      <c r="G2366" s="5" t="s">
        <v>240</v>
      </c>
      <c r="H2366" s="5" t="s">
        <v>2458</v>
      </c>
    </row>
    <row r="2367" spans="5:8" x14ac:dyDescent="0.3">
      <c r="E2367" s="5" t="s">
        <v>152</v>
      </c>
      <c r="F2367" s="5" t="s">
        <v>153</v>
      </c>
      <c r="G2367" s="5" t="s">
        <v>242</v>
      </c>
      <c r="H2367" s="5" t="s">
        <v>2459</v>
      </c>
    </row>
    <row r="2368" spans="5:8" x14ac:dyDescent="0.3">
      <c r="E2368" s="5" t="s">
        <v>152</v>
      </c>
      <c r="F2368" s="5" t="s">
        <v>153</v>
      </c>
      <c r="G2368" s="5" t="s">
        <v>244</v>
      </c>
      <c r="H2368" s="5" t="s">
        <v>2460</v>
      </c>
    </row>
    <row r="2369" spans="5:8" x14ac:dyDescent="0.3">
      <c r="E2369" s="5" t="s">
        <v>152</v>
      </c>
      <c r="F2369" s="5" t="s">
        <v>153</v>
      </c>
      <c r="G2369" s="5" t="s">
        <v>246</v>
      </c>
      <c r="H2369" s="5" t="s">
        <v>2461</v>
      </c>
    </row>
    <row r="2370" spans="5:8" x14ac:dyDescent="0.3">
      <c r="E2370" s="5" t="s">
        <v>152</v>
      </c>
      <c r="F2370" s="5" t="s">
        <v>153</v>
      </c>
      <c r="G2370" s="5" t="s">
        <v>248</v>
      </c>
      <c r="H2370" s="5" t="s">
        <v>2462</v>
      </c>
    </row>
    <row r="2371" spans="5:8" x14ac:dyDescent="0.3">
      <c r="E2371" s="5" t="s">
        <v>152</v>
      </c>
      <c r="F2371" s="5" t="s">
        <v>153</v>
      </c>
      <c r="G2371" s="5" t="s">
        <v>250</v>
      </c>
      <c r="H2371" s="5" t="s">
        <v>2463</v>
      </c>
    </row>
    <row r="2372" spans="5:8" x14ac:dyDescent="0.3">
      <c r="E2372" s="5" t="s">
        <v>152</v>
      </c>
      <c r="F2372" s="5" t="s">
        <v>153</v>
      </c>
      <c r="G2372" s="5" t="s">
        <v>252</v>
      </c>
      <c r="H2372" s="5" t="s">
        <v>2464</v>
      </c>
    </row>
    <row r="2373" spans="5:8" x14ac:dyDescent="0.3">
      <c r="E2373" s="5" t="s">
        <v>152</v>
      </c>
      <c r="F2373" s="5" t="s">
        <v>153</v>
      </c>
      <c r="G2373" s="5" t="s">
        <v>254</v>
      </c>
      <c r="H2373" s="5" t="s">
        <v>2465</v>
      </c>
    </row>
    <row r="2374" spans="5:8" x14ac:dyDescent="0.3">
      <c r="E2374" s="5" t="s">
        <v>152</v>
      </c>
      <c r="F2374" s="5" t="s">
        <v>153</v>
      </c>
      <c r="G2374" s="5" t="s">
        <v>256</v>
      </c>
      <c r="H2374" s="5" t="s">
        <v>2466</v>
      </c>
    </row>
    <row r="2375" spans="5:8" x14ac:dyDescent="0.3">
      <c r="E2375" s="5" t="s">
        <v>152</v>
      </c>
      <c r="F2375" s="5" t="s">
        <v>153</v>
      </c>
      <c r="G2375" s="5" t="s">
        <v>258</v>
      </c>
      <c r="H2375" s="5" t="s">
        <v>2467</v>
      </c>
    </row>
    <row r="2376" spans="5:8" x14ac:dyDescent="0.3">
      <c r="E2376" s="5" t="s">
        <v>152</v>
      </c>
      <c r="F2376" s="5" t="s">
        <v>153</v>
      </c>
      <c r="G2376" s="5" t="s">
        <v>260</v>
      </c>
      <c r="H2376" s="5" t="s">
        <v>2468</v>
      </c>
    </row>
    <row r="2377" spans="5:8" x14ac:dyDescent="0.3">
      <c r="E2377" s="5" t="s">
        <v>152</v>
      </c>
      <c r="F2377" s="5" t="s">
        <v>153</v>
      </c>
      <c r="G2377" s="5" t="s">
        <v>262</v>
      </c>
      <c r="H2377" s="5" t="s">
        <v>2469</v>
      </c>
    </row>
    <row r="2378" spans="5:8" x14ac:dyDescent="0.3">
      <c r="E2378" s="5" t="s">
        <v>152</v>
      </c>
      <c r="F2378" s="5" t="s">
        <v>153</v>
      </c>
      <c r="G2378" s="5" t="s">
        <v>264</v>
      </c>
      <c r="H2378" s="5" t="s">
        <v>2470</v>
      </c>
    </row>
    <row r="2379" spans="5:8" x14ac:dyDescent="0.3">
      <c r="E2379" s="5" t="s">
        <v>152</v>
      </c>
      <c r="F2379" s="5" t="s">
        <v>153</v>
      </c>
      <c r="G2379" s="5" t="s">
        <v>266</v>
      </c>
      <c r="H2379" s="5" t="s">
        <v>2471</v>
      </c>
    </row>
    <row r="2380" spans="5:8" x14ac:dyDescent="0.3">
      <c r="E2380" s="5" t="s">
        <v>152</v>
      </c>
      <c r="F2380" s="5" t="s">
        <v>153</v>
      </c>
      <c r="G2380" s="5" t="s">
        <v>268</v>
      </c>
      <c r="H2380" s="5" t="s">
        <v>2472</v>
      </c>
    </row>
    <row r="2381" spans="5:8" x14ac:dyDescent="0.3">
      <c r="E2381" s="5" t="s">
        <v>152</v>
      </c>
      <c r="F2381" s="5" t="s">
        <v>153</v>
      </c>
      <c r="G2381" s="5" t="s">
        <v>270</v>
      </c>
      <c r="H2381" s="5" t="s">
        <v>2473</v>
      </c>
    </row>
    <row r="2382" spans="5:8" x14ac:dyDescent="0.3">
      <c r="E2382" s="5" t="s">
        <v>152</v>
      </c>
      <c r="F2382" s="5" t="s">
        <v>153</v>
      </c>
      <c r="G2382" s="5" t="s">
        <v>272</v>
      </c>
      <c r="H2382" s="5" t="s">
        <v>2474</v>
      </c>
    </row>
    <row r="2383" spans="5:8" x14ac:dyDescent="0.3">
      <c r="E2383" s="5" t="s">
        <v>152</v>
      </c>
      <c r="F2383" s="5" t="s">
        <v>153</v>
      </c>
      <c r="G2383" s="5" t="s">
        <v>274</v>
      </c>
      <c r="H2383" s="5" t="s">
        <v>2475</v>
      </c>
    </row>
    <row r="2384" spans="5:8" x14ac:dyDescent="0.3">
      <c r="E2384" s="5" t="s">
        <v>152</v>
      </c>
      <c r="F2384" s="5" t="s">
        <v>153</v>
      </c>
      <c r="G2384" s="5" t="s">
        <v>276</v>
      </c>
      <c r="H2384" s="5" t="s">
        <v>2476</v>
      </c>
    </row>
    <row r="2385" spans="5:8" x14ac:dyDescent="0.3">
      <c r="E2385" s="5" t="s">
        <v>152</v>
      </c>
      <c r="F2385" s="5" t="s">
        <v>153</v>
      </c>
      <c r="G2385" s="5" t="s">
        <v>278</v>
      </c>
      <c r="H2385" s="5" t="s">
        <v>2477</v>
      </c>
    </row>
    <row r="2386" spans="5:8" x14ac:dyDescent="0.3">
      <c r="E2386" s="5" t="s">
        <v>152</v>
      </c>
      <c r="F2386" s="5" t="s">
        <v>153</v>
      </c>
      <c r="G2386" s="5" t="s">
        <v>280</v>
      </c>
      <c r="H2386" s="5" t="s">
        <v>2478</v>
      </c>
    </row>
    <row r="2387" spans="5:8" x14ac:dyDescent="0.3">
      <c r="E2387" s="5" t="s">
        <v>152</v>
      </c>
      <c r="F2387" s="5" t="s">
        <v>153</v>
      </c>
      <c r="G2387" s="5" t="s">
        <v>282</v>
      </c>
      <c r="H2387" s="5" t="s">
        <v>2479</v>
      </c>
    </row>
    <row r="2388" spans="5:8" x14ac:dyDescent="0.3">
      <c r="E2388" s="5" t="s">
        <v>152</v>
      </c>
      <c r="F2388" s="5" t="s">
        <v>153</v>
      </c>
      <c r="G2388" s="5" t="s">
        <v>284</v>
      </c>
      <c r="H2388" s="5" t="s">
        <v>2480</v>
      </c>
    </row>
    <row r="2389" spans="5:8" x14ac:dyDescent="0.3">
      <c r="E2389" s="5" t="s">
        <v>152</v>
      </c>
      <c r="F2389" s="5" t="s">
        <v>153</v>
      </c>
      <c r="G2389" s="5" t="s">
        <v>286</v>
      </c>
      <c r="H2389" s="5" t="s">
        <v>2481</v>
      </c>
    </row>
    <row r="2390" spans="5:8" x14ac:dyDescent="0.3">
      <c r="E2390" s="5" t="s">
        <v>152</v>
      </c>
      <c r="F2390" s="5" t="s">
        <v>153</v>
      </c>
      <c r="G2390" s="5" t="s">
        <v>288</v>
      </c>
      <c r="H2390" s="5" t="s">
        <v>2482</v>
      </c>
    </row>
    <row r="2391" spans="5:8" x14ac:dyDescent="0.3">
      <c r="E2391" s="5" t="s">
        <v>152</v>
      </c>
      <c r="F2391" s="5" t="s">
        <v>153</v>
      </c>
      <c r="G2391" s="5" t="s">
        <v>290</v>
      </c>
      <c r="H2391" s="5" t="s">
        <v>2483</v>
      </c>
    </row>
    <row r="2392" spans="5:8" x14ac:dyDescent="0.3">
      <c r="E2392" s="5" t="s">
        <v>152</v>
      </c>
      <c r="F2392" s="5" t="s">
        <v>153</v>
      </c>
      <c r="G2392" s="5" t="s">
        <v>292</v>
      </c>
      <c r="H2392" s="5" t="s">
        <v>2484</v>
      </c>
    </row>
    <row r="2393" spans="5:8" x14ac:dyDescent="0.3">
      <c r="E2393" s="5" t="s">
        <v>152</v>
      </c>
      <c r="F2393" s="5" t="s">
        <v>153</v>
      </c>
      <c r="G2393" s="5" t="s">
        <v>416</v>
      </c>
      <c r="H2393" s="5" t="s">
        <v>2485</v>
      </c>
    </row>
    <row r="2394" spans="5:8" x14ac:dyDescent="0.3">
      <c r="E2394" s="5" t="s">
        <v>152</v>
      </c>
      <c r="F2394" s="5" t="s">
        <v>153</v>
      </c>
      <c r="G2394" s="5" t="s">
        <v>418</v>
      </c>
      <c r="H2394" s="5" t="s">
        <v>2486</v>
      </c>
    </row>
    <row r="2395" spans="5:8" x14ac:dyDescent="0.3">
      <c r="E2395" s="5" t="s">
        <v>152</v>
      </c>
      <c r="F2395" s="5" t="s">
        <v>153</v>
      </c>
      <c r="G2395" s="5" t="s">
        <v>420</v>
      </c>
      <c r="H2395" s="5" t="s">
        <v>2487</v>
      </c>
    </row>
    <row r="2396" spans="5:8" x14ac:dyDescent="0.3">
      <c r="E2396" s="5" t="s">
        <v>152</v>
      </c>
      <c r="F2396" s="5" t="s">
        <v>153</v>
      </c>
      <c r="G2396" s="5" t="s">
        <v>422</v>
      </c>
      <c r="H2396" s="5" t="s">
        <v>2488</v>
      </c>
    </row>
    <row r="2397" spans="5:8" x14ac:dyDescent="0.3">
      <c r="E2397" s="5" t="s">
        <v>152</v>
      </c>
      <c r="F2397" s="5" t="s">
        <v>153</v>
      </c>
      <c r="G2397" s="5" t="s">
        <v>424</v>
      </c>
      <c r="H2397" s="5" t="s">
        <v>2489</v>
      </c>
    </row>
    <row r="2398" spans="5:8" x14ac:dyDescent="0.3">
      <c r="E2398" s="5" t="s">
        <v>152</v>
      </c>
      <c r="F2398" s="5" t="s">
        <v>153</v>
      </c>
      <c r="G2398" s="5" t="s">
        <v>425</v>
      </c>
      <c r="H2398" s="5" t="s">
        <v>2490</v>
      </c>
    </row>
    <row r="2399" spans="5:8" x14ac:dyDescent="0.3">
      <c r="E2399" s="5" t="s">
        <v>152</v>
      </c>
      <c r="F2399" s="5" t="s">
        <v>153</v>
      </c>
      <c r="G2399" s="5" t="s">
        <v>427</v>
      </c>
      <c r="H2399" s="5" t="s">
        <v>2491</v>
      </c>
    </row>
    <row r="2400" spans="5:8" x14ac:dyDescent="0.3">
      <c r="E2400" s="5" t="s">
        <v>152</v>
      </c>
      <c r="F2400" s="5" t="s">
        <v>153</v>
      </c>
      <c r="G2400" s="5" t="s">
        <v>429</v>
      </c>
      <c r="H2400" s="5" t="s">
        <v>2492</v>
      </c>
    </row>
    <row r="2401" spans="5:8" x14ac:dyDescent="0.3">
      <c r="E2401" s="5" t="s">
        <v>152</v>
      </c>
      <c r="F2401" s="5" t="s">
        <v>153</v>
      </c>
      <c r="G2401" s="5" t="s">
        <v>664</v>
      </c>
      <c r="H2401" s="5" t="s">
        <v>2493</v>
      </c>
    </row>
    <row r="2402" spans="5:8" x14ac:dyDescent="0.3">
      <c r="E2402" s="5" t="s">
        <v>152</v>
      </c>
      <c r="F2402" s="5" t="s">
        <v>153</v>
      </c>
      <c r="G2402" s="5" t="s">
        <v>665</v>
      </c>
      <c r="H2402" s="5" t="s">
        <v>2494</v>
      </c>
    </row>
    <row r="2403" spans="5:8" x14ac:dyDescent="0.3">
      <c r="E2403" s="5" t="s">
        <v>149</v>
      </c>
      <c r="F2403" s="5" t="s">
        <v>150</v>
      </c>
      <c r="G2403" s="5" t="s">
        <v>2614</v>
      </c>
      <c r="H2403" s="5" t="s">
        <v>2615</v>
      </c>
    </row>
    <row r="2404" spans="5:8" x14ac:dyDescent="0.3">
      <c r="E2404" s="5" t="s">
        <v>1811</v>
      </c>
      <c r="F2404" s="5" t="s">
        <v>103</v>
      </c>
      <c r="G2404" s="5" t="s">
        <v>160</v>
      </c>
      <c r="H2404" s="5" t="s">
        <v>1202</v>
      </c>
    </row>
    <row r="2405" spans="5:8" x14ac:dyDescent="0.3">
      <c r="E2405" s="5" t="s">
        <v>1811</v>
      </c>
      <c r="F2405" s="5" t="s">
        <v>103</v>
      </c>
      <c r="G2405" s="5" t="s">
        <v>162</v>
      </c>
      <c r="H2405" s="5" t="s">
        <v>552</v>
      </c>
    </row>
    <row r="2406" spans="5:8" x14ac:dyDescent="0.3">
      <c r="E2406" s="5" t="s">
        <v>1811</v>
      </c>
      <c r="F2406" s="5" t="s">
        <v>103</v>
      </c>
      <c r="G2406" s="5" t="s">
        <v>164</v>
      </c>
      <c r="H2406" s="5" t="s">
        <v>1812</v>
      </c>
    </row>
    <row r="2407" spans="5:8" x14ac:dyDescent="0.3">
      <c r="E2407" s="5" t="s">
        <v>1811</v>
      </c>
      <c r="F2407" s="5" t="s">
        <v>103</v>
      </c>
      <c r="G2407" s="5" t="s">
        <v>166</v>
      </c>
      <c r="H2407" s="5" t="s">
        <v>1813</v>
      </c>
    </row>
    <row r="2408" spans="5:8" x14ac:dyDescent="0.3">
      <c r="E2408" s="5" t="s">
        <v>1811</v>
      </c>
      <c r="F2408" s="5" t="s">
        <v>103</v>
      </c>
      <c r="G2408" s="5" t="s">
        <v>168</v>
      </c>
      <c r="H2408" s="5" t="s">
        <v>289</v>
      </c>
    </row>
    <row r="2409" spans="5:8" x14ac:dyDescent="0.3">
      <c r="E2409" s="5" t="s">
        <v>1814</v>
      </c>
      <c r="F2409" s="5" t="s">
        <v>105</v>
      </c>
      <c r="G2409" s="5" t="s">
        <v>160</v>
      </c>
      <c r="H2409" s="5" t="s">
        <v>1815</v>
      </c>
    </row>
    <row r="2410" spans="5:8" x14ac:dyDescent="0.3">
      <c r="E2410" s="5" t="s">
        <v>1814</v>
      </c>
      <c r="F2410" s="5" t="s">
        <v>105</v>
      </c>
      <c r="G2410" s="5" t="s">
        <v>162</v>
      </c>
      <c r="H2410" s="5" t="s">
        <v>1816</v>
      </c>
    </row>
    <row r="2411" spans="5:8" x14ac:dyDescent="0.3">
      <c r="E2411" s="5" t="s">
        <v>1814</v>
      </c>
      <c r="F2411" s="5" t="s">
        <v>105</v>
      </c>
      <c r="G2411" s="5" t="s">
        <v>164</v>
      </c>
      <c r="H2411" s="5" t="s">
        <v>1817</v>
      </c>
    </row>
    <row r="2412" spans="5:8" x14ac:dyDescent="0.3">
      <c r="E2412" s="5" t="s">
        <v>1814</v>
      </c>
      <c r="F2412" s="5" t="s">
        <v>105</v>
      </c>
      <c r="G2412" s="5" t="s">
        <v>166</v>
      </c>
      <c r="H2412" s="5" t="s">
        <v>982</v>
      </c>
    </row>
    <row r="2413" spans="5:8" x14ac:dyDescent="0.3">
      <c r="E2413" s="5" t="s">
        <v>1814</v>
      </c>
      <c r="F2413" s="5" t="s">
        <v>105</v>
      </c>
      <c r="G2413" s="5" t="s">
        <v>168</v>
      </c>
      <c r="H2413" s="5" t="s">
        <v>1818</v>
      </c>
    </row>
    <row r="2414" spans="5:8" x14ac:dyDescent="0.3">
      <c r="E2414" s="5" t="s">
        <v>1814</v>
      </c>
      <c r="F2414" s="5" t="s">
        <v>105</v>
      </c>
      <c r="G2414" s="5" t="s">
        <v>170</v>
      </c>
      <c r="H2414" s="5" t="s">
        <v>1819</v>
      </c>
    </row>
    <row r="2415" spans="5:8" x14ac:dyDescent="0.3">
      <c r="E2415" s="5" t="s">
        <v>1814</v>
      </c>
      <c r="F2415" s="5" t="s">
        <v>105</v>
      </c>
      <c r="G2415" s="5" t="s">
        <v>172</v>
      </c>
      <c r="H2415" s="5" t="s">
        <v>1590</v>
      </c>
    </row>
    <row r="2416" spans="5:8" x14ac:dyDescent="0.3">
      <c r="E2416" s="5" t="s">
        <v>1814</v>
      </c>
      <c r="F2416" s="5" t="s">
        <v>105</v>
      </c>
      <c r="G2416" s="5" t="s">
        <v>174</v>
      </c>
      <c r="H2416" s="5" t="s">
        <v>1820</v>
      </c>
    </row>
    <row r="2417" spans="5:8" x14ac:dyDescent="0.3">
      <c r="E2417" s="5" t="s">
        <v>1814</v>
      </c>
      <c r="F2417" s="5" t="s">
        <v>105</v>
      </c>
      <c r="G2417" s="5" t="s">
        <v>176</v>
      </c>
      <c r="H2417" s="5" t="s">
        <v>175</v>
      </c>
    </row>
    <row r="2418" spans="5:8" x14ac:dyDescent="0.3">
      <c r="E2418" s="5" t="s">
        <v>1814</v>
      </c>
      <c r="F2418" s="5" t="s">
        <v>105</v>
      </c>
      <c r="G2418" s="5" t="s">
        <v>178</v>
      </c>
      <c r="H2418" s="5" t="s">
        <v>1821</v>
      </c>
    </row>
    <row r="2419" spans="5:8" x14ac:dyDescent="0.3">
      <c r="E2419" s="5" t="s">
        <v>1814</v>
      </c>
      <c r="F2419" s="5" t="s">
        <v>105</v>
      </c>
      <c r="G2419" s="5" t="s">
        <v>180</v>
      </c>
      <c r="H2419" s="5" t="s">
        <v>179</v>
      </c>
    </row>
    <row r="2420" spans="5:8" x14ac:dyDescent="0.3">
      <c r="E2420" s="5" t="s">
        <v>1814</v>
      </c>
      <c r="F2420" s="5" t="s">
        <v>105</v>
      </c>
      <c r="G2420" s="5" t="s">
        <v>182</v>
      </c>
      <c r="H2420" s="5" t="s">
        <v>1787</v>
      </c>
    </row>
    <row r="2421" spans="5:8" x14ac:dyDescent="0.3">
      <c r="E2421" s="5" t="s">
        <v>1814</v>
      </c>
      <c r="F2421" s="5" t="s">
        <v>105</v>
      </c>
      <c r="G2421" s="5" t="s">
        <v>184</v>
      </c>
      <c r="H2421" s="5" t="s">
        <v>1822</v>
      </c>
    </row>
    <row r="2422" spans="5:8" x14ac:dyDescent="0.3">
      <c r="E2422" s="5" t="s">
        <v>1814</v>
      </c>
      <c r="F2422" s="5" t="s">
        <v>105</v>
      </c>
      <c r="G2422" s="5" t="s">
        <v>186</v>
      </c>
      <c r="H2422" s="5" t="s">
        <v>1823</v>
      </c>
    </row>
    <row r="2423" spans="5:8" x14ac:dyDescent="0.3">
      <c r="E2423" s="5" t="s">
        <v>1814</v>
      </c>
      <c r="F2423" s="5" t="s">
        <v>105</v>
      </c>
      <c r="G2423" s="5" t="s">
        <v>188</v>
      </c>
      <c r="H2423" s="5" t="s">
        <v>1824</v>
      </c>
    </row>
    <row r="2424" spans="5:8" x14ac:dyDescent="0.3">
      <c r="E2424" s="5" t="s">
        <v>1814</v>
      </c>
      <c r="F2424" s="5" t="s">
        <v>105</v>
      </c>
      <c r="G2424" s="5" t="s">
        <v>190</v>
      </c>
      <c r="H2424" s="5" t="s">
        <v>1825</v>
      </c>
    </row>
    <row r="2425" spans="5:8" x14ac:dyDescent="0.3">
      <c r="E2425" s="5" t="s">
        <v>1814</v>
      </c>
      <c r="F2425" s="5" t="s">
        <v>105</v>
      </c>
      <c r="G2425" s="5" t="s">
        <v>192</v>
      </c>
      <c r="H2425" s="5" t="s">
        <v>1826</v>
      </c>
    </row>
    <row r="2426" spans="5:8" x14ac:dyDescent="0.3">
      <c r="E2426" s="5" t="s">
        <v>1814</v>
      </c>
      <c r="F2426" s="5" t="s">
        <v>105</v>
      </c>
      <c r="G2426" s="5" t="s">
        <v>194</v>
      </c>
      <c r="H2426" s="5" t="s">
        <v>1189</v>
      </c>
    </row>
    <row r="2427" spans="5:8" x14ac:dyDescent="0.3">
      <c r="E2427" s="5" t="s">
        <v>1814</v>
      </c>
      <c r="F2427" s="5" t="s">
        <v>105</v>
      </c>
      <c r="G2427" s="5" t="s">
        <v>196</v>
      </c>
      <c r="H2427" s="5" t="s">
        <v>1827</v>
      </c>
    </row>
    <row r="2428" spans="5:8" x14ac:dyDescent="0.3">
      <c r="E2428" s="5" t="s">
        <v>1814</v>
      </c>
      <c r="F2428" s="5" t="s">
        <v>105</v>
      </c>
      <c r="G2428" s="5" t="s">
        <v>198</v>
      </c>
      <c r="H2428" s="5" t="s">
        <v>543</v>
      </c>
    </row>
    <row r="2429" spans="5:8" x14ac:dyDescent="0.3">
      <c r="E2429" s="5" t="s">
        <v>1814</v>
      </c>
      <c r="F2429" s="5" t="s">
        <v>105</v>
      </c>
      <c r="G2429" s="5" t="s">
        <v>200</v>
      </c>
      <c r="H2429" s="5" t="s">
        <v>1828</v>
      </c>
    </row>
    <row r="2430" spans="5:8" x14ac:dyDescent="0.3">
      <c r="E2430" s="5" t="s">
        <v>1814</v>
      </c>
      <c r="F2430" s="5" t="s">
        <v>105</v>
      </c>
      <c r="G2430" s="5" t="s">
        <v>202</v>
      </c>
      <c r="H2430" s="5" t="s">
        <v>1829</v>
      </c>
    </row>
    <row r="2431" spans="5:8" x14ac:dyDescent="0.3">
      <c r="E2431" s="5" t="s">
        <v>1814</v>
      </c>
      <c r="F2431" s="5" t="s">
        <v>105</v>
      </c>
      <c r="G2431" s="5" t="s">
        <v>204</v>
      </c>
      <c r="H2431" s="5" t="s">
        <v>1830</v>
      </c>
    </row>
    <row r="2432" spans="5:8" x14ac:dyDescent="0.3">
      <c r="E2432" s="5" t="s">
        <v>1814</v>
      </c>
      <c r="F2432" s="5" t="s">
        <v>105</v>
      </c>
      <c r="G2432" s="5" t="s">
        <v>206</v>
      </c>
      <c r="H2432" s="5" t="s">
        <v>1002</v>
      </c>
    </row>
    <row r="2433" spans="5:8" x14ac:dyDescent="0.3">
      <c r="E2433" s="5" t="s">
        <v>1814</v>
      </c>
      <c r="F2433" s="5" t="s">
        <v>105</v>
      </c>
      <c r="G2433" s="5" t="s">
        <v>208</v>
      </c>
      <c r="H2433" s="5" t="s">
        <v>1831</v>
      </c>
    </row>
    <row r="2434" spans="5:8" x14ac:dyDescent="0.3">
      <c r="E2434" s="5" t="s">
        <v>1814</v>
      </c>
      <c r="F2434" s="5" t="s">
        <v>105</v>
      </c>
      <c r="G2434" s="5" t="s">
        <v>210</v>
      </c>
      <c r="H2434" s="5" t="s">
        <v>1832</v>
      </c>
    </row>
    <row r="2435" spans="5:8" x14ac:dyDescent="0.3">
      <c r="E2435" s="5" t="s">
        <v>1814</v>
      </c>
      <c r="F2435" s="5" t="s">
        <v>105</v>
      </c>
      <c r="G2435" s="5" t="s">
        <v>212</v>
      </c>
      <c r="H2435" s="5" t="s">
        <v>670</v>
      </c>
    </row>
    <row r="2436" spans="5:8" x14ac:dyDescent="0.3">
      <c r="E2436" s="5" t="s">
        <v>1814</v>
      </c>
      <c r="F2436" s="5" t="s">
        <v>105</v>
      </c>
      <c r="G2436" s="5" t="s">
        <v>214</v>
      </c>
      <c r="H2436" s="5" t="s">
        <v>1833</v>
      </c>
    </row>
    <row r="2437" spans="5:8" x14ac:dyDescent="0.3">
      <c r="E2437" s="5" t="s">
        <v>1814</v>
      </c>
      <c r="F2437" s="5" t="s">
        <v>105</v>
      </c>
      <c r="G2437" s="5" t="s">
        <v>216</v>
      </c>
      <c r="H2437" s="5" t="s">
        <v>1478</v>
      </c>
    </row>
    <row r="2438" spans="5:8" x14ac:dyDescent="0.3">
      <c r="E2438" s="5" t="s">
        <v>1814</v>
      </c>
      <c r="F2438" s="5" t="s">
        <v>105</v>
      </c>
      <c r="G2438" s="5" t="s">
        <v>218</v>
      </c>
      <c r="H2438" s="5" t="s">
        <v>683</v>
      </c>
    </row>
    <row r="2439" spans="5:8" x14ac:dyDescent="0.3">
      <c r="E2439" s="5" t="s">
        <v>1814</v>
      </c>
      <c r="F2439" s="5" t="s">
        <v>105</v>
      </c>
      <c r="G2439" s="5" t="s">
        <v>220</v>
      </c>
      <c r="H2439" s="5" t="s">
        <v>241</v>
      </c>
    </row>
    <row r="2440" spans="5:8" x14ac:dyDescent="0.3">
      <c r="E2440" s="5" t="s">
        <v>1814</v>
      </c>
      <c r="F2440" s="5" t="s">
        <v>105</v>
      </c>
      <c r="G2440" s="5" t="s">
        <v>222</v>
      </c>
      <c r="H2440" s="5" t="s">
        <v>1834</v>
      </c>
    </row>
    <row r="2441" spans="5:8" x14ac:dyDescent="0.3">
      <c r="E2441" s="5" t="s">
        <v>1814</v>
      </c>
      <c r="F2441" s="5" t="s">
        <v>105</v>
      </c>
      <c r="G2441" s="5" t="s">
        <v>226</v>
      </c>
      <c r="H2441" s="5" t="s">
        <v>253</v>
      </c>
    </row>
    <row r="2442" spans="5:8" x14ac:dyDescent="0.3">
      <c r="E2442" s="5" t="s">
        <v>1814</v>
      </c>
      <c r="F2442" s="5" t="s">
        <v>105</v>
      </c>
      <c r="G2442" s="5" t="s">
        <v>228</v>
      </c>
      <c r="H2442" s="5" t="s">
        <v>1836</v>
      </c>
    </row>
    <row r="2443" spans="5:8" x14ac:dyDescent="0.3">
      <c r="E2443" s="5" t="s">
        <v>1814</v>
      </c>
      <c r="F2443" s="5" t="s">
        <v>105</v>
      </c>
      <c r="G2443" s="5" t="s">
        <v>224</v>
      </c>
      <c r="H2443" s="5" t="s">
        <v>1835</v>
      </c>
    </row>
    <row r="2444" spans="5:8" x14ac:dyDescent="0.3">
      <c r="E2444" s="5" t="s">
        <v>1814</v>
      </c>
      <c r="F2444" s="5" t="s">
        <v>105</v>
      </c>
      <c r="G2444" s="5" t="s">
        <v>230</v>
      </c>
      <c r="H2444" s="5" t="s">
        <v>1837</v>
      </c>
    </row>
    <row r="2445" spans="5:8" x14ac:dyDescent="0.3">
      <c r="E2445" s="5" t="s">
        <v>1814</v>
      </c>
      <c r="F2445" s="5" t="s">
        <v>105</v>
      </c>
      <c r="G2445" s="5" t="s">
        <v>232</v>
      </c>
      <c r="H2445" s="5" t="s">
        <v>711</v>
      </c>
    </row>
    <row r="2446" spans="5:8" x14ac:dyDescent="0.3">
      <c r="E2446" s="5" t="s">
        <v>1814</v>
      </c>
      <c r="F2446" s="5" t="s">
        <v>105</v>
      </c>
      <c r="G2446" s="5" t="s">
        <v>234</v>
      </c>
      <c r="H2446" s="5" t="s">
        <v>1838</v>
      </c>
    </row>
    <row r="2447" spans="5:8" x14ac:dyDescent="0.3">
      <c r="E2447" s="5" t="s">
        <v>1814</v>
      </c>
      <c r="F2447" s="5" t="s">
        <v>105</v>
      </c>
      <c r="G2447" s="5" t="s">
        <v>236</v>
      </c>
      <c r="H2447" s="5" t="s">
        <v>267</v>
      </c>
    </row>
    <row r="2448" spans="5:8" x14ac:dyDescent="0.3">
      <c r="E2448" s="5" t="s">
        <v>1814</v>
      </c>
      <c r="F2448" s="5" t="s">
        <v>105</v>
      </c>
      <c r="G2448" s="5" t="s">
        <v>238</v>
      </c>
      <c r="H2448" s="5" t="s">
        <v>878</v>
      </c>
    </row>
    <row r="2449" spans="5:8" x14ac:dyDescent="0.3">
      <c r="E2449" s="5" t="s">
        <v>1814</v>
      </c>
      <c r="F2449" s="5" t="s">
        <v>105</v>
      </c>
      <c r="G2449" s="5" t="s">
        <v>240</v>
      </c>
      <c r="H2449" s="5" t="s">
        <v>1839</v>
      </c>
    </row>
    <row r="2450" spans="5:8" x14ac:dyDescent="0.3">
      <c r="E2450" s="5" t="s">
        <v>1814</v>
      </c>
      <c r="F2450" s="5" t="s">
        <v>105</v>
      </c>
      <c r="G2450" s="5" t="s">
        <v>242</v>
      </c>
      <c r="H2450" s="5" t="s">
        <v>1840</v>
      </c>
    </row>
    <row r="2451" spans="5:8" x14ac:dyDescent="0.3">
      <c r="E2451" s="5" t="s">
        <v>1814</v>
      </c>
      <c r="F2451" s="5" t="s">
        <v>105</v>
      </c>
      <c r="G2451" s="5" t="s">
        <v>244</v>
      </c>
      <c r="H2451" s="5" t="s">
        <v>279</v>
      </c>
    </row>
    <row r="2452" spans="5:8" x14ac:dyDescent="0.3">
      <c r="E2452" s="5" t="s">
        <v>1814</v>
      </c>
      <c r="F2452" s="5" t="s">
        <v>105</v>
      </c>
      <c r="G2452" s="5" t="s">
        <v>246</v>
      </c>
      <c r="H2452" s="5" t="s">
        <v>421</v>
      </c>
    </row>
    <row r="2453" spans="5:8" x14ac:dyDescent="0.3">
      <c r="E2453" s="5" t="s">
        <v>1814</v>
      </c>
      <c r="F2453" s="5" t="s">
        <v>105</v>
      </c>
      <c r="G2453" s="5" t="s">
        <v>248</v>
      </c>
      <c r="H2453" s="5" t="s">
        <v>1841</v>
      </c>
    </row>
    <row r="2454" spans="5:8" x14ac:dyDescent="0.3">
      <c r="E2454" s="5" t="s">
        <v>1814</v>
      </c>
      <c r="F2454" s="5" t="s">
        <v>105</v>
      </c>
      <c r="G2454" s="5" t="s">
        <v>250</v>
      </c>
      <c r="H2454" s="5" t="s">
        <v>1180</v>
      </c>
    </row>
    <row r="2455" spans="5:8" x14ac:dyDescent="0.3">
      <c r="E2455" s="5" t="s">
        <v>1842</v>
      </c>
      <c r="F2455" s="5" t="s">
        <v>107</v>
      </c>
      <c r="G2455" s="5" t="s">
        <v>162</v>
      </c>
      <c r="H2455" s="5" t="s">
        <v>1843</v>
      </c>
    </row>
    <row r="2456" spans="5:8" x14ac:dyDescent="0.3">
      <c r="E2456" s="5" t="s">
        <v>1842</v>
      </c>
      <c r="F2456" s="5" t="s">
        <v>107</v>
      </c>
      <c r="G2456" s="5" t="s">
        <v>164</v>
      </c>
      <c r="H2456" s="5" t="s">
        <v>1844</v>
      </c>
    </row>
    <row r="2457" spans="5:8" x14ac:dyDescent="0.3">
      <c r="E2457" s="5" t="s">
        <v>1842</v>
      </c>
      <c r="F2457" s="5" t="s">
        <v>107</v>
      </c>
      <c r="G2457" s="5" t="s">
        <v>166</v>
      </c>
      <c r="H2457" s="5" t="s">
        <v>1845</v>
      </c>
    </row>
    <row r="2458" spans="5:8" x14ac:dyDescent="0.3">
      <c r="E2458" s="5" t="s">
        <v>1842</v>
      </c>
      <c r="F2458" s="5" t="s">
        <v>107</v>
      </c>
      <c r="G2458" s="5" t="s">
        <v>168</v>
      </c>
      <c r="H2458" s="5" t="s">
        <v>1846</v>
      </c>
    </row>
    <row r="2459" spans="5:8" x14ac:dyDescent="0.3">
      <c r="E2459" s="5" t="s">
        <v>1842</v>
      </c>
      <c r="F2459" s="5" t="s">
        <v>107</v>
      </c>
      <c r="G2459" s="5" t="s">
        <v>170</v>
      </c>
      <c r="H2459" s="5" t="s">
        <v>1847</v>
      </c>
    </row>
    <row r="2460" spans="5:8" x14ac:dyDescent="0.3">
      <c r="E2460" s="5" t="s">
        <v>1842</v>
      </c>
      <c r="F2460" s="5" t="s">
        <v>107</v>
      </c>
      <c r="G2460" s="5" t="s">
        <v>172</v>
      </c>
      <c r="H2460" s="5" t="s">
        <v>840</v>
      </c>
    </row>
    <row r="2461" spans="5:8" x14ac:dyDescent="0.3">
      <c r="E2461" s="5" t="s">
        <v>1842</v>
      </c>
      <c r="F2461" s="5" t="s">
        <v>107</v>
      </c>
      <c r="G2461" s="5" t="s">
        <v>174</v>
      </c>
      <c r="H2461" s="5" t="s">
        <v>1848</v>
      </c>
    </row>
    <row r="2462" spans="5:8" x14ac:dyDescent="0.3">
      <c r="E2462" s="5" t="s">
        <v>1842</v>
      </c>
      <c r="F2462" s="5" t="s">
        <v>107</v>
      </c>
      <c r="G2462" s="5" t="s">
        <v>176</v>
      </c>
      <c r="H2462" s="5" t="s">
        <v>1457</v>
      </c>
    </row>
    <row r="2463" spans="5:8" x14ac:dyDescent="0.3">
      <c r="E2463" s="5" t="s">
        <v>1842</v>
      </c>
      <c r="F2463" s="5" t="s">
        <v>107</v>
      </c>
      <c r="G2463" s="5" t="s">
        <v>178</v>
      </c>
      <c r="H2463" s="5" t="s">
        <v>434</v>
      </c>
    </row>
    <row r="2464" spans="5:8" x14ac:dyDescent="0.3">
      <c r="E2464" s="5" t="s">
        <v>1842</v>
      </c>
      <c r="F2464" s="5" t="s">
        <v>107</v>
      </c>
      <c r="G2464" s="5" t="s">
        <v>180</v>
      </c>
      <c r="H2464" s="5" t="s">
        <v>1062</v>
      </c>
    </row>
    <row r="2465" spans="5:8" x14ac:dyDescent="0.3">
      <c r="E2465" s="5" t="s">
        <v>1842</v>
      </c>
      <c r="F2465" s="5" t="s">
        <v>107</v>
      </c>
      <c r="G2465" s="5" t="s">
        <v>182</v>
      </c>
      <c r="H2465" s="5" t="s">
        <v>1849</v>
      </c>
    </row>
    <row r="2466" spans="5:8" x14ac:dyDescent="0.3">
      <c r="E2466" s="5" t="s">
        <v>1842</v>
      </c>
      <c r="F2466" s="5" t="s">
        <v>107</v>
      </c>
      <c r="G2466" s="5" t="s">
        <v>184</v>
      </c>
      <c r="H2466" s="5" t="s">
        <v>374</v>
      </c>
    </row>
    <row r="2467" spans="5:8" x14ac:dyDescent="0.3">
      <c r="E2467" s="5" t="s">
        <v>1842</v>
      </c>
      <c r="F2467" s="5" t="s">
        <v>107</v>
      </c>
      <c r="G2467" s="5" t="s">
        <v>186</v>
      </c>
      <c r="H2467" s="5" t="s">
        <v>187</v>
      </c>
    </row>
    <row r="2468" spans="5:8" x14ac:dyDescent="0.3">
      <c r="E2468" s="5" t="s">
        <v>1842</v>
      </c>
      <c r="F2468" s="5" t="s">
        <v>107</v>
      </c>
      <c r="G2468" s="5" t="s">
        <v>188</v>
      </c>
      <c r="H2468" s="5" t="s">
        <v>1850</v>
      </c>
    </row>
    <row r="2469" spans="5:8" x14ac:dyDescent="0.3">
      <c r="E2469" s="5" t="s">
        <v>1842</v>
      </c>
      <c r="F2469" s="5" t="s">
        <v>107</v>
      </c>
      <c r="G2469" s="5" t="s">
        <v>190</v>
      </c>
      <c r="H2469" s="5" t="s">
        <v>1851</v>
      </c>
    </row>
    <row r="2470" spans="5:8" x14ac:dyDescent="0.3">
      <c r="E2470" s="5" t="s">
        <v>1842</v>
      </c>
      <c r="F2470" s="5" t="s">
        <v>107</v>
      </c>
      <c r="G2470" s="5" t="s">
        <v>192</v>
      </c>
      <c r="H2470" s="5" t="s">
        <v>502</v>
      </c>
    </row>
    <row r="2471" spans="5:8" x14ac:dyDescent="0.3">
      <c r="E2471" s="5" t="s">
        <v>1842</v>
      </c>
      <c r="F2471" s="5" t="s">
        <v>107</v>
      </c>
      <c r="G2471" s="5" t="s">
        <v>194</v>
      </c>
      <c r="H2471" s="5" t="s">
        <v>1852</v>
      </c>
    </row>
    <row r="2472" spans="5:8" x14ac:dyDescent="0.3">
      <c r="E2472" s="5" t="s">
        <v>1842</v>
      </c>
      <c r="F2472" s="5" t="s">
        <v>107</v>
      </c>
      <c r="G2472" s="5" t="s">
        <v>196</v>
      </c>
      <c r="H2472" s="5" t="s">
        <v>1853</v>
      </c>
    </row>
    <row r="2473" spans="5:8" x14ac:dyDescent="0.3">
      <c r="E2473" s="5" t="s">
        <v>1842</v>
      </c>
      <c r="F2473" s="5" t="s">
        <v>107</v>
      </c>
      <c r="G2473" s="5" t="s">
        <v>198</v>
      </c>
      <c r="H2473" s="5" t="s">
        <v>1463</v>
      </c>
    </row>
    <row r="2474" spans="5:8" x14ac:dyDescent="0.3">
      <c r="E2474" s="5" t="s">
        <v>1842</v>
      </c>
      <c r="F2474" s="5" t="s">
        <v>107</v>
      </c>
      <c r="G2474" s="5" t="s">
        <v>200</v>
      </c>
      <c r="H2474" s="5" t="s">
        <v>1729</v>
      </c>
    </row>
    <row r="2475" spans="5:8" x14ac:dyDescent="0.3">
      <c r="E2475" s="5" t="s">
        <v>1842</v>
      </c>
      <c r="F2475" s="5" t="s">
        <v>107</v>
      </c>
      <c r="G2475" s="5" t="s">
        <v>202</v>
      </c>
      <c r="H2475" s="5" t="s">
        <v>506</v>
      </c>
    </row>
    <row r="2476" spans="5:8" x14ac:dyDescent="0.3">
      <c r="E2476" s="5" t="s">
        <v>1842</v>
      </c>
      <c r="F2476" s="5" t="s">
        <v>107</v>
      </c>
      <c r="G2476" s="5" t="s">
        <v>204</v>
      </c>
      <c r="H2476" s="5" t="s">
        <v>1854</v>
      </c>
    </row>
    <row r="2477" spans="5:8" x14ac:dyDescent="0.3">
      <c r="E2477" s="5" t="s">
        <v>1842</v>
      </c>
      <c r="F2477" s="5" t="s">
        <v>107</v>
      </c>
      <c r="G2477" s="5" t="s">
        <v>206</v>
      </c>
      <c r="H2477" s="5" t="s">
        <v>1855</v>
      </c>
    </row>
    <row r="2478" spans="5:8" x14ac:dyDescent="0.3">
      <c r="E2478" s="5" t="s">
        <v>1842</v>
      </c>
      <c r="F2478" s="5" t="s">
        <v>107</v>
      </c>
      <c r="G2478" s="5" t="s">
        <v>208</v>
      </c>
      <c r="H2478" s="5" t="s">
        <v>1856</v>
      </c>
    </row>
    <row r="2479" spans="5:8" x14ac:dyDescent="0.3">
      <c r="E2479" s="5" t="s">
        <v>1842</v>
      </c>
      <c r="F2479" s="5" t="s">
        <v>107</v>
      </c>
      <c r="G2479" s="5" t="s">
        <v>210</v>
      </c>
      <c r="H2479" s="5" t="s">
        <v>387</v>
      </c>
    </row>
    <row r="2480" spans="5:8" x14ac:dyDescent="0.3">
      <c r="E2480" s="5" t="s">
        <v>1842</v>
      </c>
      <c r="F2480" s="5" t="s">
        <v>107</v>
      </c>
      <c r="G2480" s="5" t="s">
        <v>212</v>
      </c>
      <c r="H2480" s="5" t="s">
        <v>1857</v>
      </c>
    </row>
    <row r="2481" spans="5:8" x14ac:dyDescent="0.3">
      <c r="E2481" s="5" t="s">
        <v>1842</v>
      </c>
      <c r="F2481" s="5" t="s">
        <v>107</v>
      </c>
      <c r="G2481" s="5" t="s">
        <v>214</v>
      </c>
      <c r="H2481" s="5" t="s">
        <v>1858</v>
      </c>
    </row>
    <row r="2482" spans="5:8" x14ac:dyDescent="0.3">
      <c r="E2482" s="5" t="s">
        <v>1842</v>
      </c>
      <c r="F2482" s="5" t="s">
        <v>107</v>
      </c>
      <c r="G2482" s="5" t="s">
        <v>216</v>
      </c>
      <c r="H2482" s="5" t="s">
        <v>1859</v>
      </c>
    </row>
    <row r="2483" spans="5:8" x14ac:dyDescent="0.3">
      <c r="E2483" s="5" t="s">
        <v>1842</v>
      </c>
      <c r="F2483" s="5" t="s">
        <v>107</v>
      </c>
      <c r="G2483" s="5" t="s">
        <v>218</v>
      </c>
      <c r="H2483" s="5" t="s">
        <v>1860</v>
      </c>
    </row>
    <row r="2484" spans="5:8" x14ac:dyDescent="0.3">
      <c r="E2484" s="5" t="s">
        <v>1842</v>
      </c>
      <c r="F2484" s="5" t="s">
        <v>107</v>
      </c>
      <c r="G2484" s="5" t="s">
        <v>220</v>
      </c>
      <c r="H2484" s="5" t="s">
        <v>1861</v>
      </c>
    </row>
    <row r="2485" spans="5:8" x14ac:dyDescent="0.3">
      <c r="E2485" s="5" t="s">
        <v>1842</v>
      </c>
      <c r="F2485" s="5" t="s">
        <v>107</v>
      </c>
      <c r="G2485" s="5" t="s">
        <v>222</v>
      </c>
      <c r="H2485" s="5" t="s">
        <v>1536</v>
      </c>
    </row>
    <row r="2486" spans="5:8" x14ac:dyDescent="0.3">
      <c r="E2486" s="5" t="s">
        <v>1842</v>
      </c>
      <c r="F2486" s="5" t="s">
        <v>107</v>
      </c>
      <c r="G2486" s="5" t="s">
        <v>224</v>
      </c>
      <c r="H2486" s="5" t="s">
        <v>1733</v>
      </c>
    </row>
    <row r="2487" spans="5:8" x14ac:dyDescent="0.3">
      <c r="E2487" s="5" t="s">
        <v>1842</v>
      </c>
      <c r="F2487" s="5" t="s">
        <v>107</v>
      </c>
      <c r="G2487" s="5" t="s">
        <v>226</v>
      </c>
      <c r="H2487" s="5" t="s">
        <v>1862</v>
      </c>
    </row>
    <row r="2488" spans="5:8" x14ac:dyDescent="0.3">
      <c r="E2488" s="5" t="s">
        <v>1842</v>
      </c>
      <c r="F2488" s="5" t="s">
        <v>107</v>
      </c>
      <c r="G2488" s="5" t="s">
        <v>228</v>
      </c>
      <c r="H2488" s="5" t="s">
        <v>1618</v>
      </c>
    </row>
    <row r="2489" spans="5:8" x14ac:dyDescent="0.3">
      <c r="E2489" s="5" t="s">
        <v>1842</v>
      </c>
      <c r="F2489" s="5" t="s">
        <v>107</v>
      </c>
      <c r="G2489" s="5" t="s">
        <v>230</v>
      </c>
      <c r="H2489" s="5" t="s">
        <v>231</v>
      </c>
    </row>
    <row r="2490" spans="5:8" x14ac:dyDescent="0.3">
      <c r="E2490" s="5" t="s">
        <v>1842</v>
      </c>
      <c r="F2490" s="5" t="s">
        <v>107</v>
      </c>
      <c r="G2490" s="5" t="s">
        <v>232</v>
      </c>
      <c r="H2490" s="5" t="s">
        <v>1863</v>
      </c>
    </row>
    <row r="2491" spans="5:8" x14ac:dyDescent="0.3">
      <c r="E2491" s="5" t="s">
        <v>1842</v>
      </c>
      <c r="F2491" s="5" t="s">
        <v>107</v>
      </c>
      <c r="G2491" s="5" t="s">
        <v>234</v>
      </c>
      <c r="H2491" s="5" t="s">
        <v>678</v>
      </c>
    </row>
    <row r="2492" spans="5:8" x14ac:dyDescent="0.3">
      <c r="E2492" s="5" t="s">
        <v>1842</v>
      </c>
      <c r="F2492" s="5" t="s">
        <v>107</v>
      </c>
      <c r="G2492" s="5" t="s">
        <v>236</v>
      </c>
      <c r="H2492" s="5" t="s">
        <v>1864</v>
      </c>
    </row>
    <row r="2493" spans="5:8" x14ac:dyDescent="0.3">
      <c r="E2493" s="5" t="s">
        <v>1842</v>
      </c>
      <c r="F2493" s="5" t="s">
        <v>107</v>
      </c>
      <c r="G2493" s="5" t="s">
        <v>238</v>
      </c>
      <c r="H2493" s="5" t="s">
        <v>447</v>
      </c>
    </row>
    <row r="2494" spans="5:8" x14ac:dyDescent="0.3">
      <c r="E2494" s="5" t="s">
        <v>1842</v>
      </c>
      <c r="F2494" s="5" t="s">
        <v>107</v>
      </c>
      <c r="G2494" s="5" t="s">
        <v>240</v>
      </c>
      <c r="H2494" s="5" t="s">
        <v>239</v>
      </c>
    </row>
    <row r="2495" spans="5:8" x14ac:dyDescent="0.3">
      <c r="E2495" s="5" t="s">
        <v>1842</v>
      </c>
      <c r="F2495" s="5" t="s">
        <v>107</v>
      </c>
      <c r="G2495" s="5" t="s">
        <v>242</v>
      </c>
      <c r="H2495" s="5" t="s">
        <v>395</v>
      </c>
    </row>
    <row r="2496" spans="5:8" x14ac:dyDescent="0.3">
      <c r="E2496" s="5" t="s">
        <v>1842</v>
      </c>
      <c r="F2496" s="5" t="s">
        <v>107</v>
      </c>
      <c r="G2496" s="5" t="s">
        <v>244</v>
      </c>
      <c r="H2496" s="5" t="s">
        <v>1865</v>
      </c>
    </row>
    <row r="2497" spans="5:8" x14ac:dyDescent="0.3">
      <c r="E2497" s="5" t="s">
        <v>1842</v>
      </c>
      <c r="F2497" s="5" t="s">
        <v>107</v>
      </c>
      <c r="G2497" s="5" t="s">
        <v>250</v>
      </c>
      <c r="H2497" s="5" t="s">
        <v>255</v>
      </c>
    </row>
    <row r="2498" spans="5:8" x14ac:dyDescent="0.3">
      <c r="E2498" s="5" t="s">
        <v>1842</v>
      </c>
      <c r="F2498" s="5" t="s">
        <v>107</v>
      </c>
      <c r="G2498" s="5" t="s">
        <v>246</v>
      </c>
      <c r="H2498" s="5" t="s">
        <v>1866</v>
      </c>
    </row>
    <row r="2499" spans="5:8" x14ac:dyDescent="0.3">
      <c r="E2499" s="5" t="s">
        <v>1842</v>
      </c>
      <c r="F2499" s="5" t="s">
        <v>107</v>
      </c>
      <c r="G2499" s="5" t="s">
        <v>248</v>
      </c>
      <c r="H2499" s="5" t="s">
        <v>1013</v>
      </c>
    </row>
    <row r="2500" spans="5:8" x14ac:dyDescent="0.3">
      <c r="E2500" s="5" t="s">
        <v>1842</v>
      </c>
      <c r="F2500" s="5" t="s">
        <v>107</v>
      </c>
      <c r="G2500" s="5" t="s">
        <v>252</v>
      </c>
      <c r="H2500" s="5" t="s">
        <v>1014</v>
      </c>
    </row>
    <row r="2501" spans="5:8" x14ac:dyDescent="0.3">
      <c r="E2501" s="5" t="s">
        <v>1842</v>
      </c>
      <c r="F2501" s="5" t="s">
        <v>107</v>
      </c>
      <c r="G2501" s="5" t="s">
        <v>254</v>
      </c>
      <c r="H2501" s="5" t="s">
        <v>1867</v>
      </c>
    </row>
    <row r="2502" spans="5:8" x14ac:dyDescent="0.3">
      <c r="E2502" s="5" t="s">
        <v>1842</v>
      </c>
      <c r="F2502" s="5" t="s">
        <v>107</v>
      </c>
      <c r="G2502" s="5" t="s">
        <v>256</v>
      </c>
      <c r="H2502" s="5" t="s">
        <v>1868</v>
      </c>
    </row>
    <row r="2503" spans="5:8" x14ac:dyDescent="0.3">
      <c r="E2503" s="5" t="s">
        <v>1842</v>
      </c>
      <c r="F2503" s="5" t="s">
        <v>107</v>
      </c>
      <c r="G2503" s="5" t="s">
        <v>258</v>
      </c>
      <c r="H2503" s="5" t="s">
        <v>1869</v>
      </c>
    </row>
    <row r="2504" spans="5:8" x14ac:dyDescent="0.3">
      <c r="E2504" s="5" t="s">
        <v>1842</v>
      </c>
      <c r="F2504" s="5" t="s">
        <v>107</v>
      </c>
      <c r="G2504" s="5" t="s">
        <v>260</v>
      </c>
      <c r="H2504" s="5" t="s">
        <v>1870</v>
      </c>
    </row>
    <row r="2505" spans="5:8" x14ac:dyDescent="0.3">
      <c r="E2505" s="5" t="s">
        <v>1842</v>
      </c>
      <c r="F2505" s="5" t="s">
        <v>107</v>
      </c>
      <c r="G2505" s="5" t="s">
        <v>262</v>
      </c>
      <c r="H2505" s="5" t="s">
        <v>1312</v>
      </c>
    </row>
    <row r="2506" spans="5:8" x14ac:dyDescent="0.3">
      <c r="E2506" s="5" t="s">
        <v>1842</v>
      </c>
      <c r="F2506" s="5" t="s">
        <v>107</v>
      </c>
      <c r="G2506" s="5" t="s">
        <v>264</v>
      </c>
      <c r="H2506" s="5" t="s">
        <v>1485</v>
      </c>
    </row>
    <row r="2507" spans="5:8" x14ac:dyDescent="0.3">
      <c r="E2507" s="5" t="s">
        <v>1842</v>
      </c>
      <c r="F2507" s="5" t="s">
        <v>107</v>
      </c>
      <c r="G2507" s="5" t="s">
        <v>266</v>
      </c>
      <c r="H2507" s="5" t="s">
        <v>1805</v>
      </c>
    </row>
    <row r="2508" spans="5:8" x14ac:dyDescent="0.3">
      <c r="E2508" s="5" t="s">
        <v>1842</v>
      </c>
      <c r="F2508" s="5" t="s">
        <v>107</v>
      </c>
      <c r="G2508" s="5" t="s">
        <v>268</v>
      </c>
      <c r="H2508" s="5" t="s">
        <v>1871</v>
      </c>
    </row>
    <row r="2509" spans="5:8" x14ac:dyDescent="0.3">
      <c r="E2509" s="5" t="s">
        <v>1842</v>
      </c>
      <c r="F2509" s="5" t="s">
        <v>107</v>
      </c>
      <c r="G2509" s="5" t="s">
        <v>270</v>
      </c>
      <c r="H2509" s="5" t="s">
        <v>1872</v>
      </c>
    </row>
    <row r="2510" spans="5:8" x14ac:dyDescent="0.3">
      <c r="E2510" s="5" t="s">
        <v>1842</v>
      </c>
      <c r="F2510" s="5" t="s">
        <v>107</v>
      </c>
      <c r="G2510" s="5" t="s">
        <v>272</v>
      </c>
      <c r="H2510" s="5" t="s">
        <v>1409</v>
      </c>
    </row>
    <row r="2511" spans="5:8" x14ac:dyDescent="0.3">
      <c r="E2511" s="5" t="s">
        <v>1842</v>
      </c>
      <c r="F2511" s="5" t="s">
        <v>107</v>
      </c>
      <c r="G2511" s="5" t="s">
        <v>274</v>
      </c>
      <c r="H2511" s="5" t="s">
        <v>1873</v>
      </c>
    </row>
    <row r="2512" spans="5:8" x14ac:dyDescent="0.3">
      <c r="E2512" s="5" t="s">
        <v>1842</v>
      </c>
      <c r="F2512" s="5" t="s">
        <v>107</v>
      </c>
      <c r="G2512" s="5" t="s">
        <v>276</v>
      </c>
      <c r="H2512" s="5" t="s">
        <v>1874</v>
      </c>
    </row>
    <row r="2513" spans="5:8" x14ac:dyDescent="0.3">
      <c r="E2513" s="5" t="s">
        <v>1842</v>
      </c>
      <c r="F2513" s="5" t="s">
        <v>107</v>
      </c>
      <c r="G2513" s="5" t="s">
        <v>278</v>
      </c>
      <c r="H2513" s="5" t="s">
        <v>1875</v>
      </c>
    </row>
    <row r="2514" spans="5:8" x14ac:dyDescent="0.3">
      <c r="E2514" s="5" t="s">
        <v>1842</v>
      </c>
      <c r="F2514" s="5" t="s">
        <v>107</v>
      </c>
      <c r="G2514" s="5" t="s">
        <v>280</v>
      </c>
      <c r="H2514" s="5" t="s">
        <v>1101</v>
      </c>
    </row>
    <row r="2515" spans="5:8" x14ac:dyDescent="0.3">
      <c r="E2515" s="5" t="s">
        <v>1842</v>
      </c>
      <c r="F2515" s="5" t="s">
        <v>107</v>
      </c>
      <c r="G2515" s="5" t="s">
        <v>282</v>
      </c>
      <c r="H2515" s="5" t="s">
        <v>1876</v>
      </c>
    </row>
    <row r="2516" spans="5:8" x14ac:dyDescent="0.3">
      <c r="E2516" s="5" t="s">
        <v>1842</v>
      </c>
      <c r="F2516" s="5" t="s">
        <v>107</v>
      </c>
      <c r="G2516" s="5" t="s">
        <v>284</v>
      </c>
      <c r="H2516" s="5" t="s">
        <v>768</v>
      </c>
    </row>
    <row r="2517" spans="5:8" x14ac:dyDescent="0.3">
      <c r="E2517" s="5" t="s">
        <v>1842</v>
      </c>
      <c r="F2517" s="5" t="s">
        <v>107</v>
      </c>
      <c r="G2517" s="5" t="s">
        <v>286</v>
      </c>
      <c r="H2517" s="5" t="s">
        <v>421</v>
      </c>
    </row>
    <row r="2518" spans="5:8" x14ac:dyDescent="0.3">
      <c r="E2518" s="5" t="s">
        <v>1842</v>
      </c>
      <c r="F2518" s="5" t="s">
        <v>107</v>
      </c>
      <c r="G2518" s="5" t="s">
        <v>288</v>
      </c>
      <c r="H2518" s="5" t="s">
        <v>1877</v>
      </c>
    </row>
    <row r="2519" spans="5:8" x14ac:dyDescent="0.3">
      <c r="E2519" s="5" t="s">
        <v>1842</v>
      </c>
      <c r="F2519" s="5" t="s">
        <v>107</v>
      </c>
      <c r="G2519" s="5" t="s">
        <v>416</v>
      </c>
      <c r="H2519" s="5" t="s">
        <v>1878</v>
      </c>
    </row>
    <row r="2520" spans="5:8" x14ac:dyDescent="0.3">
      <c r="E2520" s="5" t="s">
        <v>1842</v>
      </c>
      <c r="F2520" s="5" t="s">
        <v>107</v>
      </c>
      <c r="G2520" s="5" t="s">
        <v>418</v>
      </c>
      <c r="H2520" s="5" t="s">
        <v>1879</v>
      </c>
    </row>
    <row r="2521" spans="5:8" x14ac:dyDescent="0.3">
      <c r="E2521" s="5" t="s">
        <v>1880</v>
      </c>
      <c r="F2521" s="5" t="s">
        <v>109</v>
      </c>
      <c r="G2521" s="5" t="s">
        <v>160</v>
      </c>
      <c r="H2521" s="5" t="s">
        <v>982</v>
      </c>
    </row>
    <row r="2522" spans="5:8" x14ac:dyDescent="0.3">
      <c r="E2522" s="5" t="s">
        <v>1880</v>
      </c>
      <c r="F2522" s="5" t="s">
        <v>109</v>
      </c>
      <c r="G2522" s="5" t="s">
        <v>162</v>
      </c>
      <c r="H2522" s="5" t="s">
        <v>1780</v>
      </c>
    </row>
    <row r="2523" spans="5:8" x14ac:dyDescent="0.3">
      <c r="E2523" s="5" t="s">
        <v>1880</v>
      </c>
      <c r="F2523" s="5" t="s">
        <v>109</v>
      </c>
      <c r="G2523" s="5" t="s">
        <v>164</v>
      </c>
      <c r="H2523" s="5" t="s">
        <v>369</v>
      </c>
    </row>
    <row r="2524" spans="5:8" x14ac:dyDescent="0.3">
      <c r="E2524" s="5" t="s">
        <v>1880</v>
      </c>
      <c r="F2524" s="5" t="s">
        <v>109</v>
      </c>
      <c r="G2524" s="5" t="s">
        <v>166</v>
      </c>
      <c r="H2524" s="5" t="s">
        <v>1881</v>
      </c>
    </row>
    <row r="2525" spans="5:8" x14ac:dyDescent="0.3">
      <c r="E2525" s="5" t="s">
        <v>1880</v>
      </c>
      <c r="F2525" s="5" t="s">
        <v>109</v>
      </c>
      <c r="G2525" s="5" t="s">
        <v>168</v>
      </c>
      <c r="H2525" s="5" t="s">
        <v>169</v>
      </c>
    </row>
    <row r="2526" spans="5:8" x14ac:dyDescent="0.3">
      <c r="E2526" s="5" t="s">
        <v>1880</v>
      </c>
      <c r="F2526" s="5" t="s">
        <v>109</v>
      </c>
      <c r="G2526" s="5" t="s">
        <v>170</v>
      </c>
      <c r="H2526" s="5" t="s">
        <v>371</v>
      </c>
    </row>
    <row r="2527" spans="5:8" x14ac:dyDescent="0.3">
      <c r="E2527" s="5" t="s">
        <v>1880</v>
      </c>
      <c r="F2527" s="5" t="s">
        <v>109</v>
      </c>
      <c r="G2527" s="5" t="s">
        <v>172</v>
      </c>
      <c r="H2527" s="5" t="s">
        <v>1062</v>
      </c>
    </row>
    <row r="2528" spans="5:8" x14ac:dyDescent="0.3">
      <c r="E2528" s="5" t="s">
        <v>1880</v>
      </c>
      <c r="F2528" s="5" t="s">
        <v>109</v>
      </c>
      <c r="G2528" s="5" t="s">
        <v>174</v>
      </c>
      <c r="H2528" s="5" t="s">
        <v>1882</v>
      </c>
    </row>
    <row r="2529" spans="5:8" x14ac:dyDescent="0.3">
      <c r="E2529" s="5" t="s">
        <v>1880</v>
      </c>
      <c r="F2529" s="5" t="s">
        <v>109</v>
      </c>
      <c r="G2529" s="5" t="s">
        <v>176</v>
      </c>
      <c r="H2529" s="5" t="s">
        <v>372</v>
      </c>
    </row>
    <row r="2530" spans="5:8" x14ac:dyDescent="0.3">
      <c r="E2530" s="5" t="s">
        <v>1880</v>
      </c>
      <c r="F2530" s="5" t="s">
        <v>109</v>
      </c>
      <c r="G2530" s="5" t="s">
        <v>178</v>
      </c>
      <c r="H2530" s="5" t="s">
        <v>1064</v>
      </c>
    </row>
    <row r="2531" spans="5:8" x14ac:dyDescent="0.3">
      <c r="E2531" s="5" t="s">
        <v>1880</v>
      </c>
      <c r="F2531" s="5" t="s">
        <v>109</v>
      </c>
      <c r="G2531" s="5" t="s">
        <v>180</v>
      </c>
      <c r="H2531" s="5" t="s">
        <v>1883</v>
      </c>
    </row>
    <row r="2532" spans="5:8" x14ac:dyDescent="0.3">
      <c r="E2532" s="5" t="s">
        <v>1880</v>
      </c>
      <c r="F2532" s="5" t="s">
        <v>109</v>
      </c>
      <c r="G2532" s="5" t="s">
        <v>182</v>
      </c>
      <c r="H2532" s="5" t="s">
        <v>1787</v>
      </c>
    </row>
    <row r="2533" spans="5:8" x14ac:dyDescent="0.3">
      <c r="E2533" s="5" t="s">
        <v>1880</v>
      </c>
      <c r="F2533" s="5" t="s">
        <v>109</v>
      </c>
      <c r="G2533" s="5" t="s">
        <v>184</v>
      </c>
      <c r="H2533" s="5" t="s">
        <v>1340</v>
      </c>
    </row>
    <row r="2534" spans="5:8" x14ac:dyDescent="0.3">
      <c r="E2534" s="5" t="s">
        <v>1880</v>
      </c>
      <c r="F2534" s="5" t="s">
        <v>109</v>
      </c>
      <c r="G2534" s="5" t="s">
        <v>186</v>
      </c>
      <c r="H2534" s="5" t="s">
        <v>187</v>
      </c>
    </row>
    <row r="2535" spans="5:8" x14ac:dyDescent="0.3">
      <c r="E2535" s="5" t="s">
        <v>1880</v>
      </c>
      <c r="F2535" s="5" t="s">
        <v>109</v>
      </c>
      <c r="G2535" s="5" t="s">
        <v>188</v>
      </c>
      <c r="H2535" s="5" t="s">
        <v>1884</v>
      </c>
    </row>
    <row r="2536" spans="5:8" x14ac:dyDescent="0.3">
      <c r="E2536" s="5" t="s">
        <v>1880</v>
      </c>
      <c r="F2536" s="5" t="s">
        <v>109</v>
      </c>
      <c r="G2536" s="5" t="s">
        <v>190</v>
      </c>
      <c r="H2536" s="5" t="s">
        <v>191</v>
      </c>
    </row>
    <row r="2537" spans="5:8" x14ac:dyDescent="0.3">
      <c r="E2537" s="5" t="s">
        <v>1880</v>
      </c>
      <c r="F2537" s="5" t="s">
        <v>109</v>
      </c>
      <c r="G2537" s="5" t="s">
        <v>192</v>
      </c>
      <c r="H2537" s="5" t="s">
        <v>1885</v>
      </c>
    </row>
    <row r="2538" spans="5:8" x14ac:dyDescent="0.3">
      <c r="E2538" s="5" t="s">
        <v>1880</v>
      </c>
      <c r="F2538" s="5" t="s">
        <v>109</v>
      </c>
      <c r="G2538" s="5" t="s">
        <v>194</v>
      </c>
      <c r="H2538" s="5" t="s">
        <v>847</v>
      </c>
    </row>
    <row r="2539" spans="5:8" x14ac:dyDescent="0.3">
      <c r="E2539" s="5" t="s">
        <v>1880</v>
      </c>
      <c r="F2539" s="5" t="s">
        <v>109</v>
      </c>
      <c r="G2539" s="5" t="s">
        <v>196</v>
      </c>
      <c r="H2539" s="5" t="s">
        <v>1604</v>
      </c>
    </row>
    <row r="2540" spans="5:8" x14ac:dyDescent="0.3">
      <c r="E2540" s="5" t="s">
        <v>1880</v>
      </c>
      <c r="F2540" s="5" t="s">
        <v>109</v>
      </c>
      <c r="G2540" s="5" t="s">
        <v>198</v>
      </c>
      <c r="H2540" s="5" t="s">
        <v>639</v>
      </c>
    </row>
    <row r="2541" spans="5:8" x14ac:dyDescent="0.3">
      <c r="E2541" s="5" t="s">
        <v>1880</v>
      </c>
      <c r="F2541" s="5" t="s">
        <v>109</v>
      </c>
      <c r="G2541" s="5" t="s">
        <v>200</v>
      </c>
      <c r="H2541" s="5" t="s">
        <v>209</v>
      </c>
    </row>
    <row r="2542" spans="5:8" x14ac:dyDescent="0.3">
      <c r="E2542" s="5" t="s">
        <v>1880</v>
      </c>
      <c r="F2542" s="5" t="s">
        <v>109</v>
      </c>
      <c r="G2542" s="5" t="s">
        <v>202</v>
      </c>
      <c r="H2542" s="5" t="s">
        <v>1886</v>
      </c>
    </row>
    <row r="2543" spans="5:8" x14ac:dyDescent="0.3">
      <c r="E2543" s="5" t="s">
        <v>1880</v>
      </c>
      <c r="F2543" s="5" t="s">
        <v>109</v>
      </c>
      <c r="G2543" s="5" t="s">
        <v>204</v>
      </c>
      <c r="H2543" s="5" t="s">
        <v>1887</v>
      </c>
    </row>
    <row r="2544" spans="5:8" x14ac:dyDescent="0.3">
      <c r="E2544" s="5" t="s">
        <v>1880</v>
      </c>
      <c r="F2544" s="5" t="s">
        <v>109</v>
      </c>
      <c r="G2544" s="5" t="s">
        <v>206</v>
      </c>
      <c r="H2544" s="5" t="s">
        <v>217</v>
      </c>
    </row>
    <row r="2545" spans="5:8" x14ac:dyDescent="0.3">
      <c r="E2545" s="5" t="s">
        <v>1880</v>
      </c>
      <c r="F2545" s="5" t="s">
        <v>109</v>
      </c>
      <c r="G2545" s="5" t="s">
        <v>208</v>
      </c>
      <c r="H2545" s="5" t="s">
        <v>1888</v>
      </c>
    </row>
    <row r="2546" spans="5:8" x14ac:dyDescent="0.3">
      <c r="E2546" s="5" t="s">
        <v>1880</v>
      </c>
      <c r="F2546" s="5" t="s">
        <v>109</v>
      </c>
      <c r="G2546" s="5" t="s">
        <v>210</v>
      </c>
      <c r="H2546" s="5" t="s">
        <v>219</v>
      </c>
    </row>
    <row r="2547" spans="5:8" x14ac:dyDescent="0.3">
      <c r="E2547" s="5" t="s">
        <v>1880</v>
      </c>
      <c r="F2547" s="5" t="s">
        <v>109</v>
      </c>
      <c r="G2547" s="5" t="s">
        <v>212</v>
      </c>
      <c r="H2547" s="5" t="s">
        <v>903</v>
      </c>
    </row>
    <row r="2548" spans="5:8" x14ac:dyDescent="0.3">
      <c r="E2548" s="5" t="s">
        <v>1880</v>
      </c>
      <c r="F2548" s="5" t="s">
        <v>109</v>
      </c>
      <c r="G2548" s="5" t="s">
        <v>214</v>
      </c>
      <c r="H2548" s="5" t="s">
        <v>1889</v>
      </c>
    </row>
    <row r="2549" spans="5:8" x14ac:dyDescent="0.3">
      <c r="E2549" s="5" t="s">
        <v>1880</v>
      </c>
      <c r="F2549" s="5" t="s">
        <v>109</v>
      </c>
      <c r="G2549" s="5" t="s">
        <v>216</v>
      </c>
      <c r="H2549" s="5" t="s">
        <v>1890</v>
      </c>
    </row>
    <row r="2550" spans="5:8" x14ac:dyDescent="0.3">
      <c r="E2550" s="5" t="s">
        <v>1880</v>
      </c>
      <c r="F2550" s="5" t="s">
        <v>109</v>
      </c>
      <c r="G2550" s="5" t="s">
        <v>218</v>
      </c>
      <c r="H2550" s="5" t="s">
        <v>223</v>
      </c>
    </row>
    <row r="2551" spans="5:8" x14ac:dyDescent="0.3">
      <c r="E2551" s="5" t="s">
        <v>1880</v>
      </c>
      <c r="F2551" s="5" t="s">
        <v>109</v>
      </c>
      <c r="G2551" s="5" t="s">
        <v>220</v>
      </c>
      <c r="H2551" s="5" t="s">
        <v>854</v>
      </c>
    </row>
    <row r="2552" spans="5:8" x14ac:dyDescent="0.3">
      <c r="E2552" s="5" t="s">
        <v>1880</v>
      </c>
      <c r="F2552" s="5" t="s">
        <v>109</v>
      </c>
      <c r="G2552" s="5" t="s">
        <v>222</v>
      </c>
      <c r="H2552" s="5" t="s">
        <v>1891</v>
      </c>
    </row>
    <row r="2553" spans="5:8" x14ac:dyDescent="0.3">
      <c r="E2553" s="5" t="s">
        <v>1880</v>
      </c>
      <c r="F2553" s="5" t="s">
        <v>109</v>
      </c>
      <c r="G2553" s="5" t="s">
        <v>224</v>
      </c>
      <c r="H2553" s="5" t="s">
        <v>574</v>
      </c>
    </row>
    <row r="2554" spans="5:8" x14ac:dyDescent="0.3">
      <c r="E2554" s="5" t="s">
        <v>1880</v>
      </c>
      <c r="F2554" s="5" t="s">
        <v>109</v>
      </c>
      <c r="G2554" s="5" t="s">
        <v>226</v>
      </c>
      <c r="H2554" s="5" t="s">
        <v>659</v>
      </c>
    </row>
    <row r="2555" spans="5:8" x14ac:dyDescent="0.3">
      <c r="E2555" s="5" t="s">
        <v>1880</v>
      </c>
      <c r="F2555" s="5" t="s">
        <v>109</v>
      </c>
      <c r="G2555" s="5" t="s">
        <v>228</v>
      </c>
      <c r="H2555" s="5" t="s">
        <v>1892</v>
      </c>
    </row>
    <row r="2556" spans="5:8" x14ac:dyDescent="0.3">
      <c r="E2556" s="5" t="s">
        <v>1880</v>
      </c>
      <c r="F2556" s="5" t="s">
        <v>109</v>
      </c>
      <c r="G2556" s="5" t="s">
        <v>230</v>
      </c>
      <c r="H2556" s="5" t="s">
        <v>855</v>
      </c>
    </row>
    <row r="2557" spans="5:8" x14ac:dyDescent="0.3">
      <c r="E2557" s="5" t="s">
        <v>1880</v>
      </c>
      <c r="F2557" s="5" t="s">
        <v>109</v>
      </c>
      <c r="G2557" s="5" t="s">
        <v>232</v>
      </c>
      <c r="H2557" s="5" t="s">
        <v>1893</v>
      </c>
    </row>
    <row r="2558" spans="5:8" x14ac:dyDescent="0.3">
      <c r="E2558" s="5" t="s">
        <v>1880</v>
      </c>
      <c r="F2558" s="5" t="s">
        <v>109</v>
      </c>
      <c r="G2558" s="5" t="s">
        <v>234</v>
      </c>
      <c r="H2558" s="5" t="s">
        <v>1615</v>
      </c>
    </row>
    <row r="2559" spans="5:8" x14ac:dyDescent="0.3">
      <c r="E2559" s="5" t="s">
        <v>1880</v>
      </c>
      <c r="F2559" s="5" t="s">
        <v>109</v>
      </c>
      <c r="G2559" s="5" t="s">
        <v>236</v>
      </c>
      <c r="H2559" s="5" t="s">
        <v>856</v>
      </c>
    </row>
    <row r="2560" spans="5:8" x14ac:dyDescent="0.3">
      <c r="E2560" s="5" t="s">
        <v>1880</v>
      </c>
      <c r="F2560" s="5" t="s">
        <v>109</v>
      </c>
      <c r="G2560" s="5" t="s">
        <v>238</v>
      </c>
      <c r="H2560" s="5" t="s">
        <v>227</v>
      </c>
    </row>
    <row r="2561" spans="5:8" x14ac:dyDescent="0.3">
      <c r="E2561" s="5" t="s">
        <v>1880</v>
      </c>
      <c r="F2561" s="5" t="s">
        <v>109</v>
      </c>
      <c r="G2561" s="5" t="s">
        <v>240</v>
      </c>
      <c r="H2561" s="5" t="s">
        <v>1076</v>
      </c>
    </row>
    <row r="2562" spans="5:8" x14ac:dyDescent="0.3">
      <c r="E2562" s="5" t="s">
        <v>1880</v>
      </c>
      <c r="F2562" s="5" t="s">
        <v>109</v>
      </c>
      <c r="G2562" s="5" t="s">
        <v>242</v>
      </c>
      <c r="H2562" s="5" t="s">
        <v>229</v>
      </c>
    </row>
    <row r="2563" spans="5:8" x14ac:dyDescent="0.3">
      <c r="E2563" s="5" t="s">
        <v>1880</v>
      </c>
      <c r="F2563" s="5" t="s">
        <v>109</v>
      </c>
      <c r="G2563" s="5" t="s">
        <v>244</v>
      </c>
      <c r="H2563" s="5" t="s">
        <v>1347</v>
      </c>
    </row>
    <row r="2564" spans="5:8" x14ac:dyDescent="0.3">
      <c r="E2564" s="5" t="s">
        <v>1880</v>
      </c>
      <c r="F2564" s="5" t="s">
        <v>109</v>
      </c>
      <c r="G2564" s="5" t="s">
        <v>246</v>
      </c>
      <c r="H2564" s="5" t="s">
        <v>231</v>
      </c>
    </row>
    <row r="2565" spans="5:8" x14ac:dyDescent="0.3">
      <c r="E2565" s="5" t="s">
        <v>1880</v>
      </c>
      <c r="F2565" s="5" t="s">
        <v>109</v>
      </c>
      <c r="G2565" s="5" t="s">
        <v>248</v>
      </c>
      <c r="H2565" s="5" t="s">
        <v>233</v>
      </c>
    </row>
    <row r="2566" spans="5:8" x14ac:dyDescent="0.3">
      <c r="E2566" s="5" t="s">
        <v>1880</v>
      </c>
      <c r="F2566" s="5" t="s">
        <v>109</v>
      </c>
      <c r="G2566" s="5" t="s">
        <v>250</v>
      </c>
      <c r="H2566" s="5" t="s">
        <v>393</v>
      </c>
    </row>
    <row r="2567" spans="5:8" x14ac:dyDescent="0.3">
      <c r="E2567" s="5" t="s">
        <v>1880</v>
      </c>
      <c r="F2567" s="5" t="s">
        <v>109</v>
      </c>
      <c r="G2567" s="5" t="s">
        <v>252</v>
      </c>
      <c r="H2567" s="5" t="s">
        <v>863</v>
      </c>
    </row>
    <row r="2568" spans="5:8" x14ac:dyDescent="0.3">
      <c r="E2568" s="5" t="s">
        <v>1880</v>
      </c>
      <c r="F2568" s="5" t="s">
        <v>109</v>
      </c>
      <c r="G2568" s="5" t="s">
        <v>254</v>
      </c>
      <c r="H2568" s="5" t="s">
        <v>447</v>
      </c>
    </row>
    <row r="2569" spans="5:8" x14ac:dyDescent="0.3">
      <c r="E2569" s="5" t="s">
        <v>1880</v>
      </c>
      <c r="F2569" s="5" t="s">
        <v>109</v>
      </c>
      <c r="G2569" s="5" t="s">
        <v>256</v>
      </c>
      <c r="H2569" s="5" t="s">
        <v>237</v>
      </c>
    </row>
    <row r="2570" spans="5:8" x14ac:dyDescent="0.3">
      <c r="E2570" s="5" t="s">
        <v>1880</v>
      </c>
      <c r="F2570" s="5" t="s">
        <v>109</v>
      </c>
      <c r="G2570" s="5" t="s">
        <v>258</v>
      </c>
      <c r="H2570" s="5" t="s">
        <v>239</v>
      </c>
    </row>
    <row r="2571" spans="5:8" x14ac:dyDescent="0.3">
      <c r="E2571" s="5" t="s">
        <v>1880</v>
      </c>
      <c r="F2571" s="5" t="s">
        <v>109</v>
      </c>
      <c r="G2571" s="5" t="s">
        <v>260</v>
      </c>
      <c r="H2571" s="5" t="s">
        <v>826</v>
      </c>
    </row>
    <row r="2572" spans="5:8" x14ac:dyDescent="0.3">
      <c r="E2572" s="5" t="s">
        <v>1880</v>
      </c>
      <c r="F2572" s="5" t="s">
        <v>109</v>
      </c>
      <c r="G2572" s="5" t="s">
        <v>262</v>
      </c>
      <c r="H2572" s="5" t="s">
        <v>395</v>
      </c>
    </row>
    <row r="2573" spans="5:8" x14ac:dyDescent="0.3">
      <c r="E2573" s="5" t="s">
        <v>1880</v>
      </c>
      <c r="F2573" s="5" t="s">
        <v>109</v>
      </c>
      <c r="G2573" s="5" t="s">
        <v>264</v>
      </c>
      <c r="H2573" s="5" t="s">
        <v>1894</v>
      </c>
    </row>
    <row r="2574" spans="5:8" x14ac:dyDescent="0.3">
      <c r="E2574" s="5" t="s">
        <v>1880</v>
      </c>
      <c r="F2574" s="5" t="s">
        <v>109</v>
      </c>
      <c r="G2574" s="5" t="s">
        <v>270</v>
      </c>
      <c r="H2574" s="5" t="s">
        <v>247</v>
      </c>
    </row>
    <row r="2575" spans="5:8" x14ac:dyDescent="0.3">
      <c r="E2575" s="5" t="s">
        <v>1880</v>
      </c>
      <c r="F2575" s="5" t="s">
        <v>109</v>
      </c>
      <c r="G2575" s="5" t="s">
        <v>272</v>
      </c>
      <c r="H2575" s="5" t="s">
        <v>249</v>
      </c>
    </row>
    <row r="2576" spans="5:8" x14ac:dyDescent="0.3">
      <c r="E2576" s="5" t="s">
        <v>1880</v>
      </c>
      <c r="F2576" s="5" t="s">
        <v>109</v>
      </c>
      <c r="G2576" s="5" t="s">
        <v>274</v>
      </c>
      <c r="H2576" s="5" t="s">
        <v>253</v>
      </c>
    </row>
    <row r="2577" spans="5:8" x14ac:dyDescent="0.3">
      <c r="E2577" s="5" t="s">
        <v>1880</v>
      </c>
      <c r="F2577" s="5" t="s">
        <v>109</v>
      </c>
      <c r="G2577" s="5" t="s">
        <v>276</v>
      </c>
      <c r="H2577" s="5" t="s">
        <v>255</v>
      </c>
    </row>
    <row r="2578" spans="5:8" x14ac:dyDescent="0.3">
      <c r="E2578" s="5" t="s">
        <v>1880</v>
      </c>
      <c r="F2578" s="5" t="s">
        <v>109</v>
      </c>
      <c r="G2578" s="5" t="s">
        <v>278</v>
      </c>
      <c r="H2578" s="5" t="s">
        <v>1897</v>
      </c>
    </row>
    <row r="2579" spans="5:8" x14ac:dyDescent="0.3">
      <c r="E2579" s="5" t="s">
        <v>1880</v>
      </c>
      <c r="F2579" s="5" t="s">
        <v>109</v>
      </c>
      <c r="G2579" s="5" t="s">
        <v>266</v>
      </c>
      <c r="H2579" s="5" t="s">
        <v>1895</v>
      </c>
    </row>
    <row r="2580" spans="5:8" x14ac:dyDescent="0.3">
      <c r="E2580" s="5" t="s">
        <v>1880</v>
      </c>
      <c r="F2580" s="5" t="s">
        <v>109</v>
      </c>
      <c r="G2580" s="5" t="s">
        <v>268</v>
      </c>
      <c r="H2580" s="5" t="s">
        <v>1896</v>
      </c>
    </row>
    <row r="2581" spans="5:8" x14ac:dyDescent="0.3">
      <c r="E2581" s="5" t="s">
        <v>1880</v>
      </c>
      <c r="F2581" s="5" t="s">
        <v>109</v>
      </c>
      <c r="G2581" s="5" t="s">
        <v>280</v>
      </c>
      <c r="H2581" s="5" t="s">
        <v>1702</v>
      </c>
    </row>
    <row r="2582" spans="5:8" x14ac:dyDescent="0.3">
      <c r="E2582" s="5" t="s">
        <v>1880</v>
      </c>
      <c r="F2582" s="5" t="s">
        <v>109</v>
      </c>
      <c r="G2582" s="5" t="s">
        <v>282</v>
      </c>
      <c r="H2582" s="5" t="s">
        <v>259</v>
      </c>
    </row>
    <row r="2583" spans="5:8" x14ac:dyDescent="0.3">
      <c r="E2583" s="5" t="s">
        <v>1880</v>
      </c>
      <c r="F2583" s="5" t="s">
        <v>109</v>
      </c>
      <c r="G2583" s="5" t="s">
        <v>284</v>
      </c>
      <c r="H2583" s="5" t="s">
        <v>261</v>
      </c>
    </row>
    <row r="2584" spans="5:8" x14ac:dyDescent="0.3">
      <c r="E2584" s="5" t="s">
        <v>1880</v>
      </c>
      <c r="F2584" s="5" t="s">
        <v>109</v>
      </c>
      <c r="G2584" s="5" t="s">
        <v>286</v>
      </c>
      <c r="H2584" s="5" t="s">
        <v>1624</v>
      </c>
    </row>
    <row r="2585" spans="5:8" x14ac:dyDescent="0.3">
      <c r="E2585" s="5" t="s">
        <v>1880</v>
      </c>
      <c r="F2585" s="5" t="s">
        <v>109</v>
      </c>
      <c r="G2585" s="5" t="s">
        <v>288</v>
      </c>
      <c r="H2585" s="5" t="s">
        <v>263</v>
      </c>
    </row>
    <row r="2586" spans="5:8" x14ac:dyDescent="0.3">
      <c r="E2586" s="5" t="s">
        <v>1880</v>
      </c>
      <c r="F2586" s="5" t="s">
        <v>109</v>
      </c>
      <c r="G2586" s="5" t="s">
        <v>290</v>
      </c>
      <c r="H2586" s="5" t="s">
        <v>1898</v>
      </c>
    </row>
    <row r="2587" spans="5:8" x14ac:dyDescent="0.3">
      <c r="E2587" s="5" t="s">
        <v>1880</v>
      </c>
      <c r="F2587" s="5" t="s">
        <v>109</v>
      </c>
      <c r="G2587" s="5" t="s">
        <v>292</v>
      </c>
      <c r="H2587" s="5" t="s">
        <v>1899</v>
      </c>
    </row>
    <row r="2588" spans="5:8" x14ac:dyDescent="0.3">
      <c r="E2588" s="5" t="s">
        <v>1880</v>
      </c>
      <c r="F2588" s="5" t="s">
        <v>109</v>
      </c>
      <c r="G2588" s="5" t="s">
        <v>416</v>
      </c>
      <c r="H2588" s="5" t="s">
        <v>265</v>
      </c>
    </row>
    <row r="2589" spans="5:8" x14ac:dyDescent="0.3">
      <c r="E2589" s="5" t="s">
        <v>1880</v>
      </c>
      <c r="F2589" s="5" t="s">
        <v>109</v>
      </c>
      <c r="G2589" s="5" t="s">
        <v>418</v>
      </c>
      <c r="H2589" s="5" t="s">
        <v>1900</v>
      </c>
    </row>
    <row r="2590" spans="5:8" x14ac:dyDescent="0.3">
      <c r="E2590" s="5" t="s">
        <v>1880</v>
      </c>
      <c r="F2590" s="5" t="s">
        <v>109</v>
      </c>
      <c r="G2590" s="5" t="s">
        <v>420</v>
      </c>
      <c r="H2590" s="5" t="s">
        <v>406</v>
      </c>
    </row>
    <row r="2591" spans="5:8" x14ac:dyDescent="0.3">
      <c r="E2591" s="5" t="s">
        <v>1880</v>
      </c>
      <c r="F2591" s="5" t="s">
        <v>109</v>
      </c>
      <c r="G2591" s="5" t="s">
        <v>422</v>
      </c>
      <c r="H2591" s="5" t="s">
        <v>596</v>
      </c>
    </row>
    <row r="2592" spans="5:8" x14ac:dyDescent="0.3">
      <c r="E2592" s="5" t="s">
        <v>1880</v>
      </c>
      <c r="F2592" s="5" t="s">
        <v>109</v>
      </c>
      <c r="G2592" s="5" t="s">
        <v>424</v>
      </c>
      <c r="H2592" s="5" t="s">
        <v>1901</v>
      </c>
    </row>
    <row r="2593" spans="5:8" x14ac:dyDescent="0.3">
      <c r="E2593" s="5" t="s">
        <v>1880</v>
      </c>
      <c r="F2593" s="5" t="s">
        <v>109</v>
      </c>
      <c r="G2593" s="5" t="s">
        <v>425</v>
      </c>
      <c r="H2593" s="5" t="s">
        <v>1902</v>
      </c>
    </row>
    <row r="2594" spans="5:8" x14ac:dyDescent="0.3">
      <c r="E2594" s="5" t="s">
        <v>1880</v>
      </c>
      <c r="F2594" s="5" t="s">
        <v>109</v>
      </c>
      <c r="G2594" s="5" t="s">
        <v>427</v>
      </c>
      <c r="H2594" s="5" t="s">
        <v>1097</v>
      </c>
    </row>
    <row r="2595" spans="5:8" x14ac:dyDescent="0.3">
      <c r="E2595" s="5" t="s">
        <v>1880</v>
      </c>
      <c r="F2595" s="5" t="s">
        <v>109</v>
      </c>
      <c r="G2595" s="5" t="s">
        <v>429</v>
      </c>
      <c r="H2595" s="5" t="s">
        <v>1636</v>
      </c>
    </row>
    <row r="2596" spans="5:8" x14ac:dyDescent="0.3">
      <c r="E2596" s="5" t="s">
        <v>1880</v>
      </c>
      <c r="F2596" s="5" t="s">
        <v>109</v>
      </c>
      <c r="G2596" s="5" t="s">
        <v>664</v>
      </c>
      <c r="H2596" s="5" t="s">
        <v>412</v>
      </c>
    </row>
    <row r="2597" spans="5:8" x14ac:dyDescent="0.3">
      <c r="E2597" s="5" t="s">
        <v>1880</v>
      </c>
      <c r="F2597" s="5" t="s">
        <v>109</v>
      </c>
      <c r="G2597" s="5" t="s">
        <v>665</v>
      </c>
      <c r="H2597" s="5" t="s">
        <v>1903</v>
      </c>
    </row>
    <row r="2598" spans="5:8" x14ac:dyDescent="0.3">
      <c r="E2598" s="5" t="s">
        <v>1880</v>
      </c>
      <c r="F2598" s="5" t="s">
        <v>109</v>
      </c>
      <c r="G2598" s="5" t="s">
        <v>666</v>
      </c>
      <c r="H2598" s="5" t="s">
        <v>415</v>
      </c>
    </row>
    <row r="2599" spans="5:8" x14ac:dyDescent="0.3">
      <c r="E2599" s="5" t="s">
        <v>1880</v>
      </c>
      <c r="F2599" s="5" t="s">
        <v>109</v>
      </c>
      <c r="G2599" s="5" t="s">
        <v>668</v>
      </c>
      <c r="H2599" s="5" t="s">
        <v>277</v>
      </c>
    </row>
    <row r="2600" spans="5:8" x14ac:dyDescent="0.3">
      <c r="E2600" s="5" t="s">
        <v>1880</v>
      </c>
      <c r="F2600" s="5" t="s">
        <v>109</v>
      </c>
      <c r="G2600" s="5" t="s">
        <v>669</v>
      </c>
      <c r="H2600" s="5" t="s">
        <v>1037</v>
      </c>
    </row>
    <row r="2601" spans="5:8" x14ac:dyDescent="0.3">
      <c r="E2601" s="5" t="s">
        <v>1880</v>
      </c>
      <c r="F2601" s="5" t="s">
        <v>109</v>
      </c>
      <c r="G2601" s="5" t="s">
        <v>671</v>
      </c>
      <c r="H2601" s="5" t="s">
        <v>744</v>
      </c>
    </row>
    <row r="2602" spans="5:8" x14ac:dyDescent="0.3">
      <c r="E2602" s="5" t="s">
        <v>1880</v>
      </c>
      <c r="F2602" s="5" t="s">
        <v>109</v>
      </c>
      <c r="G2602" s="5" t="s">
        <v>673</v>
      </c>
      <c r="H2602" s="5" t="s">
        <v>925</v>
      </c>
    </row>
    <row r="2603" spans="5:8" x14ac:dyDescent="0.3">
      <c r="E2603" s="5" t="s">
        <v>1880</v>
      </c>
      <c r="F2603" s="5" t="s">
        <v>109</v>
      </c>
      <c r="G2603" s="5" t="s">
        <v>674</v>
      </c>
      <c r="H2603" s="5" t="s">
        <v>1041</v>
      </c>
    </row>
    <row r="2604" spans="5:8" x14ac:dyDescent="0.3">
      <c r="E2604" s="5" t="s">
        <v>1880</v>
      </c>
      <c r="F2604" s="5" t="s">
        <v>109</v>
      </c>
      <c r="G2604" s="5" t="s">
        <v>676</v>
      </c>
      <c r="H2604" s="5" t="s">
        <v>928</v>
      </c>
    </row>
    <row r="2605" spans="5:8" x14ac:dyDescent="0.3">
      <c r="E2605" s="5" t="s">
        <v>1880</v>
      </c>
      <c r="F2605" s="5" t="s">
        <v>109</v>
      </c>
      <c r="G2605" s="5" t="s">
        <v>677</v>
      </c>
      <c r="H2605" s="5" t="s">
        <v>1904</v>
      </c>
    </row>
    <row r="2606" spans="5:8" x14ac:dyDescent="0.3">
      <c r="E2606" s="5" t="s">
        <v>1880</v>
      </c>
      <c r="F2606" s="5" t="s">
        <v>109</v>
      </c>
      <c r="G2606" s="5" t="s">
        <v>679</v>
      </c>
      <c r="H2606" s="5" t="s">
        <v>1905</v>
      </c>
    </row>
    <row r="2607" spans="5:8" x14ac:dyDescent="0.3">
      <c r="E2607" s="5" t="s">
        <v>1880</v>
      </c>
      <c r="F2607" s="5" t="s">
        <v>109</v>
      </c>
      <c r="G2607" s="5" t="s">
        <v>680</v>
      </c>
      <c r="H2607" s="5" t="s">
        <v>421</v>
      </c>
    </row>
    <row r="2608" spans="5:8" x14ac:dyDescent="0.3">
      <c r="E2608" s="5" t="s">
        <v>1880</v>
      </c>
      <c r="F2608" s="5" t="s">
        <v>109</v>
      </c>
      <c r="G2608" s="5" t="s">
        <v>682</v>
      </c>
      <c r="H2608" s="5" t="s">
        <v>423</v>
      </c>
    </row>
    <row r="2609" spans="5:8" x14ac:dyDescent="0.3">
      <c r="E2609" s="5" t="s">
        <v>1880</v>
      </c>
      <c r="F2609" s="5" t="s">
        <v>109</v>
      </c>
      <c r="G2609" s="5" t="s">
        <v>684</v>
      </c>
      <c r="H2609" s="5" t="s">
        <v>779</v>
      </c>
    </row>
    <row r="2610" spans="5:8" x14ac:dyDescent="0.3">
      <c r="E2610" s="5" t="s">
        <v>1880</v>
      </c>
      <c r="F2610" s="5" t="s">
        <v>109</v>
      </c>
      <c r="G2610" s="5" t="s">
        <v>685</v>
      </c>
      <c r="H2610" s="5" t="s">
        <v>289</v>
      </c>
    </row>
    <row r="2611" spans="5:8" x14ac:dyDescent="0.3">
      <c r="E2611" s="5" t="s">
        <v>1880</v>
      </c>
      <c r="F2611" s="5" t="s">
        <v>109</v>
      </c>
      <c r="G2611" s="5" t="s">
        <v>686</v>
      </c>
      <c r="H2611" s="5" t="s">
        <v>782</v>
      </c>
    </row>
    <row r="2612" spans="5:8" x14ac:dyDescent="0.3">
      <c r="E2612" s="5" t="s">
        <v>1880</v>
      </c>
      <c r="F2612" s="5" t="s">
        <v>109</v>
      </c>
      <c r="G2612" s="5" t="s">
        <v>687</v>
      </c>
      <c r="H2612" s="5" t="s">
        <v>1906</v>
      </c>
    </row>
    <row r="2613" spans="5:8" x14ac:dyDescent="0.3">
      <c r="E2613" s="5" t="s">
        <v>1880</v>
      </c>
      <c r="F2613" s="5" t="s">
        <v>109</v>
      </c>
      <c r="G2613" s="5" t="s">
        <v>326</v>
      </c>
      <c r="H2613" s="5" t="s">
        <v>426</v>
      </c>
    </row>
    <row r="2614" spans="5:8" x14ac:dyDescent="0.3">
      <c r="E2614" s="5" t="s">
        <v>1880</v>
      </c>
      <c r="F2614" s="5" t="s">
        <v>109</v>
      </c>
      <c r="G2614" s="5" t="s">
        <v>689</v>
      </c>
      <c r="H2614" s="5" t="s">
        <v>889</v>
      </c>
    </row>
    <row r="2615" spans="5:8" x14ac:dyDescent="0.3">
      <c r="E2615" s="5" t="s">
        <v>1880</v>
      </c>
      <c r="F2615" s="5" t="s">
        <v>109</v>
      </c>
      <c r="G2615" s="5" t="s">
        <v>691</v>
      </c>
      <c r="H2615" s="5" t="s">
        <v>1046</v>
      </c>
    </row>
    <row r="2616" spans="5:8" x14ac:dyDescent="0.3">
      <c r="E2616" s="5" t="s">
        <v>1907</v>
      </c>
      <c r="F2616" s="5" t="s">
        <v>111</v>
      </c>
      <c r="G2616" s="5" t="s">
        <v>160</v>
      </c>
      <c r="H2616" s="5" t="s">
        <v>982</v>
      </c>
    </row>
    <row r="2617" spans="5:8" x14ac:dyDescent="0.3">
      <c r="E2617" s="5" t="s">
        <v>1907</v>
      </c>
      <c r="F2617" s="5" t="s">
        <v>111</v>
      </c>
      <c r="G2617" s="5" t="s">
        <v>162</v>
      </c>
      <c r="H2617" s="5" t="s">
        <v>1908</v>
      </c>
    </row>
    <row r="2618" spans="5:8" x14ac:dyDescent="0.3">
      <c r="E2618" s="5" t="s">
        <v>1907</v>
      </c>
      <c r="F2618" s="5" t="s">
        <v>111</v>
      </c>
      <c r="G2618" s="5" t="s">
        <v>164</v>
      </c>
      <c r="H2618" s="5" t="s">
        <v>1909</v>
      </c>
    </row>
    <row r="2619" spans="5:8" x14ac:dyDescent="0.3">
      <c r="E2619" s="5" t="s">
        <v>1907</v>
      </c>
      <c r="F2619" s="5" t="s">
        <v>111</v>
      </c>
      <c r="G2619" s="5" t="s">
        <v>166</v>
      </c>
      <c r="H2619" s="5" t="s">
        <v>1910</v>
      </c>
    </row>
    <row r="2620" spans="5:8" x14ac:dyDescent="0.3">
      <c r="E2620" s="5" t="s">
        <v>1907</v>
      </c>
      <c r="F2620" s="5" t="s">
        <v>111</v>
      </c>
      <c r="G2620" s="5" t="s">
        <v>168</v>
      </c>
      <c r="H2620" s="5" t="s">
        <v>1911</v>
      </c>
    </row>
    <row r="2621" spans="5:8" x14ac:dyDescent="0.3">
      <c r="E2621" s="5" t="s">
        <v>1907</v>
      </c>
      <c r="F2621" s="5" t="s">
        <v>111</v>
      </c>
      <c r="G2621" s="5" t="s">
        <v>170</v>
      </c>
      <c r="H2621" s="5" t="s">
        <v>1779</v>
      </c>
    </row>
    <row r="2622" spans="5:8" x14ac:dyDescent="0.3">
      <c r="E2622" s="5" t="s">
        <v>1907</v>
      </c>
      <c r="F2622" s="5" t="s">
        <v>111</v>
      </c>
      <c r="G2622" s="5" t="s">
        <v>172</v>
      </c>
      <c r="H2622" s="5" t="s">
        <v>1912</v>
      </c>
    </row>
    <row r="2623" spans="5:8" x14ac:dyDescent="0.3">
      <c r="E2623" s="5" t="s">
        <v>1907</v>
      </c>
      <c r="F2623" s="5" t="s">
        <v>111</v>
      </c>
      <c r="G2623" s="5" t="s">
        <v>174</v>
      </c>
      <c r="H2623" s="5" t="s">
        <v>1913</v>
      </c>
    </row>
    <row r="2624" spans="5:8" x14ac:dyDescent="0.3">
      <c r="E2624" s="5" t="s">
        <v>1907</v>
      </c>
      <c r="F2624" s="5" t="s">
        <v>111</v>
      </c>
      <c r="G2624" s="5" t="s">
        <v>176</v>
      </c>
      <c r="H2624" s="5" t="s">
        <v>1914</v>
      </c>
    </row>
    <row r="2625" spans="5:8" x14ac:dyDescent="0.3">
      <c r="E2625" s="5" t="s">
        <v>1907</v>
      </c>
      <c r="F2625" s="5" t="s">
        <v>111</v>
      </c>
      <c r="G2625" s="5" t="s">
        <v>178</v>
      </c>
      <c r="H2625" s="5" t="s">
        <v>1915</v>
      </c>
    </row>
    <row r="2626" spans="5:8" x14ac:dyDescent="0.3">
      <c r="E2626" s="5" t="s">
        <v>1907</v>
      </c>
      <c r="F2626" s="5" t="s">
        <v>111</v>
      </c>
      <c r="G2626" s="5" t="s">
        <v>180</v>
      </c>
      <c r="H2626" s="5" t="s">
        <v>1916</v>
      </c>
    </row>
    <row r="2627" spans="5:8" x14ac:dyDescent="0.3">
      <c r="E2627" s="5" t="s">
        <v>1907</v>
      </c>
      <c r="F2627" s="5" t="s">
        <v>111</v>
      </c>
      <c r="G2627" s="5" t="s">
        <v>182</v>
      </c>
      <c r="H2627" s="5" t="s">
        <v>1917</v>
      </c>
    </row>
    <row r="2628" spans="5:8" x14ac:dyDescent="0.3">
      <c r="E2628" s="5" t="s">
        <v>1907</v>
      </c>
      <c r="F2628" s="5" t="s">
        <v>111</v>
      </c>
      <c r="G2628" s="5" t="s">
        <v>184</v>
      </c>
      <c r="H2628" s="5" t="s">
        <v>1918</v>
      </c>
    </row>
    <row r="2629" spans="5:8" x14ac:dyDescent="0.3">
      <c r="E2629" s="5" t="s">
        <v>1907</v>
      </c>
      <c r="F2629" s="5" t="s">
        <v>111</v>
      </c>
      <c r="G2629" s="5" t="s">
        <v>186</v>
      </c>
      <c r="H2629" s="5" t="s">
        <v>1053</v>
      </c>
    </row>
    <row r="2630" spans="5:8" x14ac:dyDescent="0.3">
      <c r="E2630" s="5" t="s">
        <v>1907</v>
      </c>
      <c r="F2630" s="5" t="s">
        <v>111</v>
      </c>
      <c r="G2630" s="5" t="s">
        <v>188</v>
      </c>
      <c r="H2630" s="5" t="s">
        <v>1919</v>
      </c>
    </row>
    <row r="2631" spans="5:8" x14ac:dyDescent="0.3">
      <c r="E2631" s="5" t="s">
        <v>1907</v>
      </c>
      <c r="F2631" s="5" t="s">
        <v>111</v>
      </c>
      <c r="G2631" s="5" t="s">
        <v>190</v>
      </c>
      <c r="H2631" s="5" t="s">
        <v>1920</v>
      </c>
    </row>
    <row r="2632" spans="5:8" x14ac:dyDescent="0.3">
      <c r="E2632" s="5" t="s">
        <v>1907</v>
      </c>
      <c r="F2632" s="5" t="s">
        <v>111</v>
      </c>
      <c r="G2632" s="5" t="s">
        <v>192</v>
      </c>
      <c r="H2632" s="5" t="s">
        <v>1921</v>
      </c>
    </row>
    <row r="2633" spans="5:8" x14ac:dyDescent="0.3">
      <c r="E2633" s="5" t="s">
        <v>1907</v>
      </c>
      <c r="F2633" s="5" t="s">
        <v>111</v>
      </c>
      <c r="G2633" s="5" t="s">
        <v>194</v>
      </c>
      <c r="H2633" s="5" t="s">
        <v>1922</v>
      </c>
    </row>
    <row r="2634" spans="5:8" x14ac:dyDescent="0.3">
      <c r="E2634" s="5" t="s">
        <v>1907</v>
      </c>
      <c r="F2634" s="5" t="s">
        <v>111</v>
      </c>
      <c r="G2634" s="5" t="s">
        <v>196</v>
      </c>
      <c r="H2634" s="5" t="s">
        <v>1923</v>
      </c>
    </row>
    <row r="2635" spans="5:8" x14ac:dyDescent="0.3">
      <c r="E2635" s="5" t="s">
        <v>1907</v>
      </c>
      <c r="F2635" s="5" t="s">
        <v>111</v>
      </c>
      <c r="G2635" s="5" t="s">
        <v>198</v>
      </c>
      <c r="H2635" s="5" t="s">
        <v>1924</v>
      </c>
    </row>
    <row r="2636" spans="5:8" x14ac:dyDescent="0.3">
      <c r="E2636" s="5" t="s">
        <v>1907</v>
      </c>
      <c r="F2636" s="5" t="s">
        <v>111</v>
      </c>
      <c r="G2636" s="5" t="s">
        <v>200</v>
      </c>
      <c r="H2636" s="5" t="s">
        <v>1925</v>
      </c>
    </row>
    <row r="2637" spans="5:8" x14ac:dyDescent="0.3">
      <c r="E2637" s="5" t="s">
        <v>1907</v>
      </c>
      <c r="F2637" s="5" t="s">
        <v>111</v>
      </c>
      <c r="G2637" s="5" t="s">
        <v>202</v>
      </c>
      <c r="H2637" s="5" t="s">
        <v>1926</v>
      </c>
    </row>
    <row r="2638" spans="5:8" x14ac:dyDescent="0.3">
      <c r="E2638" s="5" t="s">
        <v>1907</v>
      </c>
      <c r="F2638" s="5" t="s">
        <v>111</v>
      </c>
      <c r="G2638" s="5" t="s">
        <v>204</v>
      </c>
      <c r="H2638" s="5" t="s">
        <v>1927</v>
      </c>
    </row>
    <row r="2639" spans="5:8" x14ac:dyDescent="0.3">
      <c r="E2639" s="5" t="s">
        <v>1907</v>
      </c>
      <c r="F2639" s="5" t="s">
        <v>111</v>
      </c>
      <c r="G2639" s="5" t="s">
        <v>206</v>
      </c>
      <c r="H2639" s="5" t="s">
        <v>618</v>
      </c>
    </row>
    <row r="2640" spans="5:8" x14ac:dyDescent="0.3">
      <c r="E2640" s="5" t="s">
        <v>1907</v>
      </c>
      <c r="F2640" s="5" t="s">
        <v>111</v>
      </c>
      <c r="G2640" s="5" t="s">
        <v>208</v>
      </c>
      <c r="H2640" s="5" t="s">
        <v>840</v>
      </c>
    </row>
    <row r="2641" spans="5:8" x14ac:dyDescent="0.3">
      <c r="E2641" s="5" t="s">
        <v>1907</v>
      </c>
      <c r="F2641" s="5" t="s">
        <v>111</v>
      </c>
      <c r="G2641" s="5" t="s">
        <v>210</v>
      </c>
      <c r="H2641" s="5" t="s">
        <v>1928</v>
      </c>
    </row>
    <row r="2642" spans="5:8" x14ac:dyDescent="0.3">
      <c r="E2642" s="5" t="s">
        <v>1907</v>
      </c>
      <c r="F2642" s="5" t="s">
        <v>111</v>
      </c>
      <c r="G2642" s="5" t="s">
        <v>212</v>
      </c>
      <c r="H2642" s="5" t="s">
        <v>1929</v>
      </c>
    </row>
    <row r="2643" spans="5:8" x14ac:dyDescent="0.3">
      <c r="E2643" s="5" t="s">
        <v>1907</v>
      </c>
      <c r="F2643" s="5" t="s">
        <v>111</v>
      </c>
      <c r="G2643" s="5" t="s">
        <v>214</v>
      </c>
      <c r="H2643" s="5" t="s">
        <v>1060</v>
      </c>
    </row>
    <row r="2644" spans="5:8" x14ac:dyDescent="0.3">
      <c r="E2644" s="5" t="s">
        <v>1907</v>
      </c>
      <c r="F2644" s="5" t="s">
        <v>111</v>
      </c>
      <c r="G2644" s="5" t="s">
        <v>216</v>
      </c>
      <c r="H2644" s="5" t="s">
        <v>175</v>
      </c>
    </row>
    <row r="2645" spans="5:8" x14ac:dyDescent="0.3">
      <c r="E2645" s="5" t="s">
        <v>1907</v>
      </c>
      <c r="F2645" s="5" t="s">
        <v>111</v>
      </c>
      <c r="G2645" s="5" t="s">
        <v>218</v>
      </c>
      <c r="H2645" s="5" t="s">
        <v>1930</v>
      </c>
    </row>
    <row r="2646" spans="5:8" x14ac:dyDescent="0.3">
      <c r="E2646" s="5" t="s">
        <v>1907</v>
      </c>
      <c r="F2646" s="5" t="s">
        <v>111</v>
      </c>
      <c r="G2646" s="5" t="s">
        <v>220</v>
      </c>
      <c r="H2646" s="5" t="s">
        <v>1785</v>
      </c>
    </row>
    <row r="2647" spans="5:8" x14ac:dyDescent="0.3">
      <c r="E2647" s="5" t="s">
        <v>1907</v>
      </c>
      <c r="F2647" s="5" t="s">
        <v>111</v>
      </c>
      <c r="G2647" s="5" t="s">
        <v>222</v>
      </c>
      <c r="H2647" s="5" t="s">
        <v>1931</v>
      </c>
    </row>
    <row r="2648" spans="5:8" x14ac:dyDescent="0.3">
      <c r="E2648" s="5" t="s">
        <v>1907</v>
      </c>
      <c r="F2648" s="5" t="s">
        <v>111</v>
      </c>
      <c r="G2648" s="5" t="s">
        <v>224</v>
      </c>
      <c r="H2648" s="5" t="s">
        <v>1932</v>
      </c>
    </row>
    <row r="2649" spans="5:8" x14ac:dyDescent="0.3">
      <c r="E2649" s="5" t="s">
        <v>1907</v>
      </c>
      <c r="F2649" s="5" t="s">
        <v>111</v>
      </c>
      <c r="G2649" s="5" t="s">
        <v>226</v>
      </c>
      <c r="H2649" s="5" t="s">
        <v>842</v>
      </c>
    </row>
    <row r="2650" spans="5:8" x14ac:dyDescent="0.3">
      <c r="E2650" s="5" t="s">
        <v>1907</v>
      </c>
      <c r="F2650" s="5" t="s">
        <v>111</v>
      </c>
      <c r="G2650" s="5" t="s">
        <v>228</v>
      </c>
      <c r="H2650" s="5" t="s">
        <v>1933</v>
      </c>
    </row>
    <row r="2651" spans="5:8" x14ac:dyDescent="0.3">
      <c r="E2651" s="5" t="s">
        <v>1907</v>
      </c>
      <c r="F2651" s="5" t="s">
        <v>111</v>
      </c>
      <c r="G2651" s="5" t="s">
        <v>230</v>
      </c>
      <c r="H2651" s="5" t="s">
        <v>177</v>
      </c>
    </row>
    <row r="2652" spans="5:8" x14ac:dyDescent="0.3">
      <c r="E2652" s="5" t="s">
        <v>1907</v>
      </c>
      <c r="F2652" s="5" t="s">
        <v>111</v>
      </c>
      <c r="G2652" s="5" t="s">
        <v>232</v>
      </c>
      <c r="H2652" s="5" t="s">
        <v>179</v>
      </c>
    </row>
    <row r="2653" spans="5:8" x14ac:dyDescent="0.3">
      <c r="E2653" s="5" t="s">
        <v>1907</v>
      </c>
      <c r="F2653" s="5" t="s">
        <v>111</v>
      </c>
      <c r="G2653" s="5" t="s">
        <v>234</v>
      </c>
      <c r="H2653" s="5" t="s">
        <v>1934</v>
      </c>
    </row>
    <row r="2654" spans="5:8" x14ac:dyDescent="0.3">
      <c r="E2654" s="5" t="s">
        <v>1907</v>
      </c>
      <c r="F2654" s="5" t="s">
        <v>111</v>
      </c>
      <c r="G2654" s="5" t="s">
        <v>236</v>
      </c>
      <c r="H2654" s="5" t="s">
        <v>187</v>
      </c>
    </row>
    <row r="2655" spans="5:8" x14ac:dyDescent="0.3">
      <c r="E2655" s="5" t="s">
        <v>1907</v>
      </c>
      <c r="F2655" s="5" t="s">
        <v>111</v>
      </c>
      <c r="G2655" s="5" t="s">
        <v>238</v>
      </c>
      <c r="H2655" s="5" t="s">
        <v>1935</v>
      </c>
    </row>
    <row r="2656" spans="5:8" x14ac:dyDescent="0.3">
      <c r="E2656" s="5" t="s">
        <v>1907</v>
      </c>
      <c r="F2656" s="5" t="s">
        <v>111</v>
      </c>
      <c r="G2656" s="5" t="s">
        <v>240</v>
      </c>
      <c r="H2656" s="5" t="s">
        <v>1936</v>
      </c>
    </row>
    <row r="2657" spans="5:8" x14ac:dyDescent="0.3">
      <c r="E2657" s="5" t="s">
        <v>1907</v>
      </c>
      <c r="F2657" s="5" t="s">
        <v>111</v>
      </c>
      <c r="G2657" s="5" t="s">
        <v>242</v>
      </c>
      <c r="H2657" s="5" t="s">
        <v>1937</v>
      </c>
    </row>
    <row r="2658" spans="5:8" x14ac:dyDescent="0.3">
      <c r="E2658" s="5" t="s">
        <v>1907</v>
      </c>
      <c r="F2658" s="5" t="s">
        <v>111</v>
      </c>
      <c r="G2658" s="5" t="s">
        <v>244</v>
      </c>
      <c r="H2658" s="5" t="s">
        <v>1938</v>
      </c>
    </row>
    <row r="2659" spans="5:8" x14ac:dyDescent="0.3">
      <c r="E2659" s="5" t="s">
        <v>1907</v>
      </c>
      <c r="F2659" s="5" t="s">
        <v>111</v>
      </c>
      <c r="G2659" s="5" t="s">
        <v>246</v>
      </c>
      <c r="H2659" s="5" t="s">
        <v>1939</v>
      </c>
    </row>
    <row r="2660" spans="5:8" x14ac:dyDescent="0.3">
      <c r="E2660" s="5" t="s">
        <v>1907</v>
      </c>
      <c r="F2660" s="5" t="s">
        <v>111</v>
      </c>
      <c r="G2660" s="5" t="s">
        <v>248</v>
      </c>
      <c r="H2660" s="5" t="s">
        <v>1940</v>
      </c>
    </row>
    <row r="2661" spans="5:8" x14ac:dyDescent="0.3">
      <c r="E2661" s="5" t="s">
        <v>1907</v>
      </c>
      <c r="F2661" s="5" t="s">
        <v>111</v>
      </c>
      <c r="G2661" s="5" t="s">
        <v>250</v>
      </c>
      <c r="H2661" s="5" t="s">
        <v>1941</v>
      </c>
    </row>
    <row r="2662" spans="5:8" x14ac:dyDescent="0.3">
      <c r="E2662" s="5" t="s">
        <v>1907</v>
      </c>
      <c r="F2662" s="5" t="s">
        <v>111</v>
      </c>
      <c r="G2662" s="5" t="s">
        <v>252</v>
      </c>
      <c r="H2662" s="5" t="s">
        <v>991</v>
      </c>
    </row>
    <row r="2663" spans="5:8" x14ac:dyDescent="0.3">
      <c r="E2663" s="5" t="s">
        <v>1907</v>
      </c>
      <c r="F2663" s="5" t="s">
        <v>111</v>
      </c>
      <c r="G2663" s="5" t="s">
        <v>254</v>
      </c>
      <c r="H2663" s="5" t="s">
        <v>1942</v>
      </c>
    </row>
    <row r="2664" spans="5:8" x14ac:dyDescent="0.3">
      <c r="E2664" s="5" t="s">
        <v>1907</v>
      </c>
      <c r="F2664" s="5" t="s">
        <v>111</v>
      </c>
      <c r="G2664" s="5" t="s">
        <v>256</v>
      </c>
      <c r="H2664" s="5" t="s">
        <v>1943</v>
      </c>
    </row>
    <row r="2665" spans="5:8" x14ac:dyDescent="0.3">
      <c r="E2665" s="5" t="s">
        <v>1907</v>
      </c>
      <c r="F2665" s="5" t="s">
        <v>111</v>
      </c>
      <c r="G2665" s="5" t="s">
        <v>258</v>
      </c>
      <c r="H2665" s="5" t="s">
        <v>1944</v>
      </c>
    </row>
    <row r="2666" spans="5:8" x14ac:dyDescent="0.3">
      <c r="E2666" s="5" t="s">
        <v>1907</v>
      </c>
      <c r="F2666" s="5" t="s">
        <v>111</v>
      </c>
      <c r="G2666" s="5" t="s">
        <v>260</v>
      </c>
      <c r="H2666" s="5" t="s">
        <v>1945</v>
      </c>
    </row>
    <row r="2667" spans="5:8" x14ac:dyDescent="0.3">
      <c r="E2667" s="5" t="s">
        <v>1907</v>
      </c>
      <c r="F2667" s="5" t="s">
        <v>111</v>
      </c>
      <c r="G2667" s="5" t="s">
        <v>262</v>
      </c>
      <c r="H2667" s="5" t="s">
        <v>1946</v>
      </c>
    </row>
    <row r="2668" spans="5:8" x14ac:dyDescent="0.3">
      <c r="E2668" s="5" t="s">
        <v>1907</v>
      </c>
      <c r="F2668" s="5" t="s">
        <v>111</v>
      </c>
      <c r="G2668" s="5" t="s">
        <v>264</v>
      </c>
      <c r="H2668" s="5" t="s">
        <v>1885</v>
      </c>
    </row>
    <row r="2669" spans="5:8" x14ac:dyDescent="0.3">
      <c r="E2669" s="5" t="s">
        <v>1907</v>
      </c>
      <c r="F2669" s="5" t="s">
        <v>111</v>
      </c>
      <c r="G2669" s="5" t="s">
        <v>266</v>
      </c>
      <c r="H2669" s="5" t="s">
        <v>1947</v>
      </c>
    </row>
    <row r="2670" spans="5:8" x14ac:dyDescent="0.3">
      <c r="E2670" s="5" t="s">
        <v>1907</v>
      </c>
      <c r="F2670" s="5" t="s">
        <v>111</v>
      </c>
      <c r="G2670" s="5" t="s">
        <v>268</v>
      </c>
      <c r="H2670" s="5" t="s">
        <v>1948</v>
      </c>
    </row>
    <row r="2671" spans="5:8" x14ac:dyDescent="0.3">
      <c r="E2671" s="5" t="s">
        <v>1907</v>
      </c>
      <c r="F2671" s="5" t="s">
        <v>111</v>
      </c>
      <c r="G2671" s="5" t="s">
        <v>270</v>
      </c>
      <c r="H2671" s="5" t="s">
        <v>1949</v>
      </c>
    </row>
    <row r="2672" spans="5:8" x14ac:dyDescent="0.3">
      <c r="E2672" s="5" t="s">
        <v>1907</v>
      </c>
      <c r="F2672" s="5" t="s">
        <v>111</v>
      </c>
      <c r="G2672" s="5" t="s">
        <v>272</v>
      </c>
      <c r="H2672" s="5" t="s">
        <v>207</v>
      </c>
    </row>
    <row r="2673" spans="5:8" x14ac:dyDescent="0.3">
      <c r="E2673" s="5" t="s">
        <v>1907</v>
      </c>
      <c r="F2673" s="5" t="s">
        <v>111</v>
      </c>
      <c r="G2673" s="5" t="s">
        <v>274</v>
      </c>
      <c r="H2673" s="5" t="s">
        <v>638</v>
      </c>
    </row>
    <row r="2674" spans="5:8" x14ac:dyDescent="0.3">
      <c r="E2674" s="5" t="s">
        <v>1907</v>
      </c>
      <c r="F2674" s="5" t="s">
        <v>111</v>
      </c>
      <c r="G2674" s="5" t="s">
        <v>276</v>
      </c>
      <c r="H2674" s="5" t="s">
        <v>1950</v>
      </c>
    </row>
    <row r="2675" spans="5:8" x14ac:dyDescent="0.3">
      <c r="E2675" s="5" t="s">
        <v>1907</v>
      </c>
      <c r="F2675" s="5" t="s">
        <v>111</v>
      </c>
      <c r="G2675" s="5" t="s">
        <v>278</v>
      </c>
      <c r="H2675" s="5" t="s">
        <v>503</v>
      </c>
    </row>
    <row r="2676" spans="5:8" x14ac:dyDescent="0.3">
      <c r="E2676" s="5" t="s">
        <v>1907</v>
      </c>
      <c r="F2676" s="5" t="s">
        <v>111</v>
      </c>
      <c r="G2676" s="5" t="s">
        <v>280</v>
      </c>
      <c r="H2676" s="5" t="s">
        <v>1951</v>
      </c>
    </row>
    <row r="2677" spans="5:8" x14ac:dyDescent="0.3">
      <c r="E2677" s="5" t="s">
        <v>1907</v>
      </c>
      <c r="F2677" s="5" t="s">
        <v>111</v>
      </c>
      <c r="G2677" s="5" t="s">
        <v>282</v>
      </c>
      <c r="H2677" s="5" t="s">
        <v>1952</v>
      </c>
    </row>
    <row r="2678" spans="5:8" x14ac:dyDescent="0.3">
      <c r="E2678" s="5" t="s">
        <v>1907</v>
      </c>
      <c r="F2678" s="5" t="s">
        <v>111</v>
      </c>
      <c r="G2678" s="5" t="s">
        <v>284</v>
      </c>
      <c r="H2678" s="5" t="s">
        <v>1953</v>
      </c>
    </row>
    <row r="2679" spans="5:8" x14ac:dyDescent="0.3">
      <c r="E2679" s="5" t="s">
        <v>1907</v>
      </c>
      <c r="F2679" s="5" t="s">
        <v>111</v>
      </c>
      <c r="G2679" s="5" t="s">
        <v>286</v>
      </c>
      <c r="H2679" s="5" t="s">
        <v>1954</v>
      </c>
    </row>
    <row r="2680" spans="5:8" x14ac:dyDescent="0.3">
      <c r="E2680" s="5" t="s">
        <v>1907</v>
      </c>
      <c r="F2680" s="5" t="s">
        <v>111</v>
      </c>
      <c r="G2680" s="5" t="s">
        <v>288</v>
      </c>
      <c r="H2680" s="5" t="s">
        <v>1955</v>
      </c>
    </row>
    <row r="2681" spans="5:8" x14ac:dyDescent="0.3">
      <c r="E2681" s="5" t="s">
        <v>1907</v>
      </c>
      <c r="F2681" s="5" t="s">
        <v>111</v>
      </c>
      <c r="G2681" s="5" t="s">
        <v>290</v>
      </c>
      <c r="H2681" s="5" t="s">
        <v>568</v>
      </c>
    </row>
    <row r="2682" spans="5:8" x14ac:dyDescent="0.3">
      <c r="E2682" s="5" t="s">
        <v>1907</v>
      </c>
      <c r="F2682" s="5" t="s">
        <v>111</v>
      </c>
      <c r="G2682" s="5" t="s">
        <v>292</v>
      </c>
      <c r="H2682" s="5" t="s">
        <v>1956</v>
      </c>
    </row>
    <row r="2683" spans="5:8" x14ac:dyDescent="0.3">
      <c r="E2683" s="5" t="s">
        <v>1907</v>
      </c>
      <c r="F2683" s="5" t="s">
        <v>111</v>
      </c>
      <c r="G2683" s="5" t="s">
        <v>416</v>
      </c>
      <c r="H2683" s="5" t="s">
        <v>1957</v>
      </c>
    </row>
    <row r="2684" spans="5:8" x14ac:dyDescent="0.3">
      <c r="E2684" s="5" t="s">
        <v>1907</v>
      </c>
      <c r="F2684" s="5" t="s">
        <v>111</v>
      </c>
      <c r="G2684" s="5" t="s">
        <v>418</v>
      </c>
      <c r="H2684" s="5" t="s">
        <v>851</v>
      </c>
    </row>
    <row r="2685" spans="5:8" x14ac:dyDescent="0.3">
      <c r="E2685" s="5" t="s">
        <v>1907</v>
      </c>
      <c r="F2685" s="5" t="s">
        <v>111</v>
      </c>
      <c r="G2685" s="5" t="s">
        <v>422</v>
      </c>
      <c r="H2685" s="5" t="s">
        <v>509</v>
      </c>
    </row>
    <row r="2686" spans="5:8" x14ac:dyDescent="0.3">
      <c r="E2686" s="5" t="s">
        <v>1907</v>
      </c>
      <c r="F2686" s="5" t="s">
        <v>111</v>
      </c>
      <c r="G2686" s="5" t="s">
        <v>420</v>
      </c>
      <c r="H2686" s="5" t="s">
        <v>995</v>
      </c>
    </row>
    <row r="2687" spans="5:8" x14ac:dyDescent="0.3">
      <c r="E2687" s="5" t="s">
        <v>1907</v>
      </c>
      <c r="F2687" s="5" t="s">
        <v>111</v>
      </c>
      <c r="G2687" s="5" t="s">
        <v>424</v>
      </c>
      <c r="H2687" s="5" t="s">
        <v>1958</v>
      </c>
    </row>
    <row r="2688" spans="5:8" x14ac:dyDescent="0.3">
      <c r="E2688" s="5" t="s">
        <v>1907</v>
      </c>
      <c r="F2688" s="5" t="s">
        <v>111</v>
      </c>
      <c r="G2688" s="5" t="s">
        <v>425</v>
      </c>
      <c r="H2688" s="5" t="s">
        <v>1959</v>
      </c>
    </row>
    <row r="2689" spans="5:8" x14ac:dyDescent="0.3">
      <c r="E2689" s="5" t="s">
        <v>1907</v>
      </c>
      <c r="F2689" s="5" t="s">
        <v>111</v>
      </c>
      <c r="G2689" s="5" t="s">
        <v>427</v>
      </c>
      <c r="H2689" s="5" t="s">
        <v>648</v>
      </c>
    </row>
    <row r="2690" spans="5:8" x14ac:dyDescent="0.3">
      <c r="E2690" s="5" t="s">
        <v>1907</v>
      </c>
      <c r="F2690" s="5" t="s">
        <v>111</v>
      </c>
      <c r="G2690" s="5" t="s">
        <v>429</v>
      </c>
      <c r="H2690" s="5" t="s">
        <v>217</v>
      </c>
    </row>
    <row r="2691" spans="5:8" x14ac:dyDescent="0.3">
      <c r="E2691" s="5" t="s">
        <v>1907</v>
      </c>
      <c r="F2691" s="5" t="s">
        <v>111</v>
      </c>
      <c r="G2691" s="5" t="s">
        <v>664</v>
      </c>
      <c r="H2691" s="5" t="s">
        <v>1960</v>
      </c>
    </row>
    <row r="2692" spans="5:8" x14ac:dyDescent="0.3">
      <c r="E2692" s="5" t="s">
        <v>1907</v>
      </c>
      <c r="F2692" s="5" t="s">
        <v>111</v>
      </c>
      <c r="G2692" s="5" t="s">
        <v>665</v>
      </c>
      <c r="H2692" s="5" t="s">
        <v>649</v>
      </c>
    </row>
    <row r="2693" spans="5:8" x14ac:dyDescent="0.3">
      <c r="E2693" s="5" t="s">
        <v>1907</v>
      </c>
      <c r="F2693" s="5" t="s">
        <v>111</v>
      </c>
      <c r="G2693" s="5" t="s">
        <v>666</v>
      </c>
      <c r="H2693" s="5" t="s">
        <v>1961</v>
      </c>
    </row>
    <row r="2694" spans="5:8" x14ac:dyDescent="0.3">
      <c r="E2694" s="5" t="s">
        <v>1907</v>
      </c>
      <c r="F2694" s="5" t="s">
        <v>111</v>
      </c>
      <c r="G2694" s="5" t="s">
        <v>668</v>
      </c>
      <c r="H2694" s="5" t="s">
        <v>1962</v>
      </c>
    </row>
    <row r="2695" spans="5:8" x14ac:dyDescent="0.3">
      <c r="E2695" s="5" t="s">
        <v>1907</v>
      </c>
      <c r="F2695" s="5" t="s">
        <v>111</v>
      </c>
      <c r="G2695" s="5" t="s">
        <v>669</v>
      </c>
      <c r="H2695" s="5" t="s">
        <v>219</v>
      </c>
    </row>
    <row r="2696" spans="5:8" x14ac:dyDescent="0.3">
      <c r="E2696" s="5" t="s">
        <v>1907</v>
      </c>
      <c r="F2696" s="5" t="s">
        <v>111</v>
      </c>
      <c r="G2696" s="5" t="s">
        <v>671</v>
      </c>
      <c r="H2696" s="5" t="s">
        <v>1963</v>
      </c>
    </row>
    <row r="2697" spans="5:8" x14ac:dyDescent="0.3">
      <c r="E2697" s="5" t="s">
        <v>1907</v>
      </c>
      <c r="F2697" s="5" t="s">
        <v>111</v>
      </c>
      <c r="G2697" s="5" t="s">
        <v>673</v>
      </c>
      <c r="H2697" s="5" t="s">
        <v>1964</v>
      </c>
    </row>
    <row r="2698" spans="5:8" x14ac:dyDescent="0.3">
      <c r="E2698" s="5" t="s">
        <v>1907</v>
      </c>
      <c r="F2698" s="5" t="s">
        <v>111</v>
      </c>
      <c r="G2698" s="5" t="s">
        <v>674</v>
      </c>
      <c r="H2698" s="5" t="s">
        <v>1965</v>
      </c>
    </row>
    <row r="2699" spans="5:8" x14ac:dyDescent="0.3">
      <c r="E2699" s="5" t="s">
        <v>1907</v>
      </c>
      <c r="F2699" s="5" t="s">
        <v>111</v>
      </c>
      <c r="G2699" s="5" t="s">
        <v>676</v>
      </c>
      <c r="H2699" s="5" t="s">
        <v>1966</v>
      </c>
    </row>
    <row r="2700" spans="5:8" x14ac:dyDescent="0.3">
      <c r="E2700" s="5" t="s">
        <v>1907</v>
      </c>
      <c r="F2700" s="5" t="s">
        <v>111</v>
      </c>
      <c r="G2700" s="5" t="s">
        <v>677</v>
      </c>
      <c r="H2700" s="5" t="s">
        <v>1967</v>
      </c>
    </row>
    <row r="2701" spans="5:8" x14ac:dyDescent="0.3">
      <c r="E2701" s="5" t="s">
        <v>1907</v>
      </c>
      <c r="F2701" s="5" t="s">
        <v>111</v>
      </c>
      <c r="G2701" s="5" t="s">
        <v>679</v>
      </c>
      <c r="H2701" s="5" t="s">
        <v>1968</v>
      </c>
    </row>
    <row r="2702" spans="5:8" x14ac:dyDescent="0.3">
      <c r="E2702" s="5" t="s">
        <v>1907</v>
      </c>
      <c r="F2702" s="5" t="s">
        <v>111</v>
      </c>
      <c r="G2702" s="5" t="s">
        <v>680</v>
      </c>
      <c r="H2702" s="5" t="s">
        <v>1969</v>
      </c>
    </row>
    <row r="2703" spans="5:8" x14ac:dyDescent="0.3">
      <c r="E2703" s="5" t="s">
        <v>1907</v>
      </c>
      <c r="F2703" s="5" t="s">
        <v>111</v>
      </c>
      <c r="G2703" s="5" t="s">
        <v>682</v>
      </c>
      <c r="H2703" s="5" t="s">
        <v>1970</v>
      </c>
    </row>
    <row r="2704" spans="5:8" x14ac:dyDescent="0.3">
      <c r="E2704" s="5" t="s">
        <v>1907</v>
      </c>
      <c r="F2704" s="5" t="s">
        <v>111</v>
      </c>
      <c r="G2704" s="5" t="s">
        <v>684</v>
      </c>
      <c r="H2704" s="5" t="s">
        <v>1971</v>
      </c>
    </row>
    <row r="2705" spans="5:8" x14ac:dyDescent="0.3">
      <c r="E2705" s="5" t="s">
        <v>1907</v>
      </c>
      <c r="F2705" s="5" t="s">
        <v>111</v>
      </c>
      <c r="G2705" s="5" t="s">
        <v>685</v>
      </c>
      <c r="H2705" s="5" t="s">
        <v>1000</v>
      </c>
    </row>
    <row r="2706" spans="5:8" x14ac:dyDescent="0.3">
      <c r="E2706" s="5" t="s">
        <v>1907</v>
      </c>
      <c r="F2706" s="5" t="s">
        <v>111</v>
      </c>
      <c r="G2706" s="5" t="s">
        <v>686</v>
      </c>
      <c r="H2706" s="5" t="s">
        <v>1072</v>
      </c>
    </row>
    <row r="2707" spans="5:8" x14ac:dyDescent="0.3">
      <c r="E2707" s="5" t="s">
        <v>1907</v>
      </c>
      <c r="F2707" s="5" t="s">
        <v>111</v>
      </c>
      <c r="G2707" s="5" t="s">
        <v>687</v>
      </c>
      <c r="H2707" s="5" t="s">
        <v>1972</v>
      </c>
    </row>
    <row r="2708" spans="5:8" x14ac:dyDescent="0.3">
      <c r="E2708" s="5" t="s">
        <v>1907</v>
      </c>
      <c r="F2708" s="5" t="s">
        <v>111</v>
      </c>
      <c r="G2708" s="5" t="s">
        <v>326</v>
      </c>
      <c r="H2708" s="5" t="s">
        <v>1973</v>
      </c>
    </row>
    <row r="2709" spans="5:8" x14ac:dyDescent="0.3">
      <c r="E2709" s="5" t="s">
        <v>1907</v>
      </c>
      <c r="F2709" s="5" t="s">
        <v>111</v>
      </c>
      <c r="G2709" s="5" t="s">
        <v>689</v>
      </c>
      <c r="H2709" s="5" t="s">
        <v>1535</v>
      </c>
    </row>
    <row r="2710" spans="5:8" x14ac:dyDescent="0.3">
      <c r="E2710" s="5" t="s">
        <v>1907</v>
      </c>
      <c r="F2710" s="5" t="s">
        <v>111</v>
      </c>
      <c r="G2710" s="5" t="s">
        <v>691</v>
      </c>
      <c r="H2710" s="5" t="s">
        <v>225</v>
      </c>
    </row>
    <row r="2711" spans="5:8" x14ac:dyDescent="0.3">
      <c r="E2711" s="5" t="s">
        <v>1907</v>
      </c>
      <c r="F2711" s="5" t="s">
        <v>111</v>
      </c>
      <c r="G2711" s="5" t="s">
        <v>693</v>
      </c>
      <c r="H2711" s="5" t="s">
        <v>658</v>
      </c>
    </row>
    <row r="2712" spans="5:8" x14ac:dyDescent="0.3">
      <c r="E2712" s="5" t="s">
        <v>1907</v>
      </c>
      <c r="F2712" s="5" t="s">
        <v>111</v>
      </c>
      <c r="G2712" s="5" t="s">
        <v>695</v>
      </c>
      <c r="H2712" s="5" t="s">
        <v>574</v>
      </c>
    </row>
    <row r="2713" spans="5:8" x14ac:dyDescent="0.3">
      <c r="E2713" s="5" t="s">
        <v>1907</v>
      </c>
      <c r="F2713" s="5" t="s">
        <v>111</v>
      </c>
      <c r="G2713" s="5" t="s">
        <v>330</v>
      </c>
      <c r="H2713" s="5" t="s">
        <v>1974</v>
      </c>
    </row>
    <row r="2714" spans="5:8" x14ac:dyDescent="0.3">
      <c r="E2714" s="5" t="s">
        <v>1907</v>
      </c>
      <c r="F2714" s="5" t="s">
        <v>111</v>
      </c>
      <c r="G2714" s="5" t="s">
        <v>696</v>
      </c>
      <c r="H2714" s="5" t="s">
        <v>1892</v>
      </c>
    </row>
    <row r="2715" spans="5:8" x14ac:dyDescent="0.3">
      <c r="E2715" s="5" t="s">
        <v>1907</v>
      </c>
      <c r="F2715" s="5" t="s">
        <v>111</v>
      </c>
      <c r="G2715" s="5" t="s">
        <v>697</v>
      </c>
      <c r="H2715" s="5" t="s">
        <v>855</v>
      </c>
    </row>
    <row r="2716" spans="5:8" x14ac:dyDescent="0.3">
      <c r="E2716" s="5" t="s">
        <v>1907</v>
      </c>
      <c r="F2716" s="5" t="s">
        <v>111</v>
      </c>
      <c r="G2716" s="5" t="s">
        <v>699</v>
      </c>
      <c r="H2716" s="5" t="s">
        <v>661</v>
      </c>
    </row>
    <row r="2717" spans="5:8" x14ac:dyDescent="0.3">
      <c r="E2717" s="5" t="s">
        <v>1907</v>
      </c>
      <c r="F2717" s="5" t="s">
        <v>111</v>
      </c>
      <c r="G2717" s="5" t="s">
        <v>891</v>
      </c>
      <c r="H2717" s="5" t="s">
        <v>904</v>
      </c>
    </row>
    <row r="2718" spans="5:8" x14ac:dyDescent="0.3">
      <c r="E2718" s="5" t="s">
        <v>1907</v>
      </c>
      <c r="F2718" s="5" t="s">
        <v>111</v>
      </c>
      <c r="G2718" s="5" t="s">
        <v>700</v>
      </c>
      <c r="H2718" s="5" t="s">
        <v>1975</v>
      </c>
    </row>
    <row r="2719" spans="5:8" x14ac:dyDescent="0.3">
      <c r="E2719" s="5" t="s">
        <v>1907</v>
      </c>
      <c r="F2719" s="5" t="s">
        <v>111</v>
      </c>
      <c r="G2719" s="5" t="s">
        <v>702</v>
      </c>
      <c r="H2719" s="5" t="s">
        <v>1005</v>
      </c>
    </row>
    <row r="2720" spans="5:8" x14ac:dyDescent="0.3">
      <c r="E2720" s="5" t="s">
        <v>1907</v>
      </c>
      <c r="F2720" s="5" t="s">
        <v>111</v>
      </c>
      <c r="G2720" s="5" t="s">
        <v>703</v>
      </c>
      <c r="H2720" s="5" t="s">
        <v>1976</v>
      </c>
    </row>
    <row r="2721" spans="5:8" x14ac:dyDescent="0.3">
      <c r="E2721" s="5" t="s">
        <v>1907</v>
      </c>
      <c r="F2721" s="5" t="s">
        <v>111</v>
      </c>
      <c r="G2721" s="5" t="s">
        <v>704</v>
      </c>
      <c r="H2721" s="5" t="s">
        <v>1977</v>
      </c>
    </row>
    <row r="2722" spans="5:8" x14ac:dyDescent="0.3">
      <c r="E2722" s="5" t="s">
        <v>1907</v>
      </c>
      <c r="F2722" s="5" t="s">
        <v>111</v>
      </c>
      <c r="G2722" s="5" t="s">
        <v>705</v>
      </c>
      <c r="H2722" s="5" t="s">
        <v>856</v>
      </c>
    </row>
    <row r="2723" spans="5:8" x14ac:dyDescent="0.3">
      <c r="E2723" s="5" t="s">
        <v>1907</v>
      </c>
      <c r="F2723" s="5" t="s">
        <v>111</v>
      </c>
      <c r="G2723" s="5" t="s">
        <v>707</v>
      </c>
      <c r="H2723" s="5" t="s">
        <v>1537</v>
      </c>
    </row>
    <row r="2724" spans="5:8" x14ac:dyDescent="0.3">
      <c r="E2724" s="5" t="s">
        <v>1907</v>
      </c>
      <c r="F2724" s="5" t="s">
        <v>111</v>
      </c>
      <c r="G2724" s="5" t="s">
        <v>709</v>
      </c>
      <c r="H2724" s="5" t="s">
        <v>1430</v>
      </c>
    </row>
    <row r="2725" spans="5:8" x14ac:dyDescent="0.3">
      <c r="E2725" s="5" t="s">
        <v>1907</v>
      </c>
      <c r="F2725" s="5" t="s">
        <v>111</v>
      </c>
      <c r="G2725" s="5" t="s">
        <v>710</v>
      </c>
      <c r="H2725" s="5" t="s">
        <v>1978</v>
      </c>
    </row>
    <row r="2726" spans="5:8" x14ac:dyDescent="0.3">
      <c r="E2726" s="5" t="s">
        <v>1907</v>
      </c>
      <c r="F2726" s="5" t="s">
        <v>111</v>
      </c>
      <c r="G2726" s="5" t="s">
        <v>712</v>
      </c>
      <c r="H2726" s="5" t="s">
        <v>1979</v>
      </c>
    </row>
    <row r="2727" spans="5:8" x14ac:dyDescent="0.3">
      <c r="E2727" s="5" t="s">
        <v>1907</v>
      </c>
      <c r="F2727" s="5" t="s">
        <v>111</v>
      </c>
      <c r="G2727" s="5" t="s">
        <v>714</v>
      </c>
      <c r="H2727" s="5" t="s">
        <v>1077</v>
      </c>
    </row>
    <row r="2728" spans="5:8" x14ac:dyDescent="0.3">
      <c r="E2728" s="5" t="s">
        <v>1907</v>
      </c>
      <c r="F2728" s="5" t="s">
        <v>111</v>
      </c>
      <c r="G2728" s="5" t="s">
        <v>716</v>
      </c>
      <c r="H2728" s="5" t="s">
        <v>229</v>
      </c>
    </row>
    <row r="2729" spans="5:8" x14ac:dyDescent="0.3">
      <c r="E2729" s="5" t="s">
        <v>1907</v>
      </c>
      <c r="F2729" s="5" t="s">
        <v>111</v>
      </c>
      <c r="G2729" s="5" t="s">
        <v>718</v>
      </c>
      <c r="H2729" s="5" t="s">
        <v>390</v>
      </c>
    </row>
    <row r="2730" spans="5:8" x14ac:dyDescent="0.3">
      <c r="E2730" s="5" t="s">
        <v>1907</v>
      </c>
      <c r="F2730" s="5" t="s">
        <v>111</v>
      </c>
      <c r="G2730" s="5" t="s">
        <v>719</v>
      </c>
      <c r="H2730" s="5" t="s">
        <v>1980</v>
      </c>
    </row>
    <row r="2731" spans="5:8" x14ac:dyDescent="0.3">
      <c r="E2731" s="5" t="s">
        <v>1907</v>
      </c>
      <c r="F2731" s="5" t="s">
        <v>111</v>
      </c>
      <c r="G2731" s="5" t="s">
        <v>721</v>
      </c>
      <c r="H2731" s="5" t="s">
        <v>1981</v>
      </c>
    </row>
    <row r="2732" spans="5:8" x14ac:dyDescent="0.3">
      <c r="E2732" s="5" t="s">
        <v>1907</v>
      </c>
      <c r="F2732" s="5" t="s">
        <v>111</v>
      </c>
      <c r="G2732" s="5" t="s">
        <v>722</v>
      </c>
      <c r="H2732" s="5" t="s">
        <v>1862</v>
      </c>
    </row>
    <row r="2733" spans="5:8" x14ac:dyDescent="0.3">
      <c r="E2733" s="5" t="s">
        <v>1907</v>
      </c>
      <c r="F2733" s="5" t="s">
        <v>111</v>
      </c>
      <c r="G2733" s="5" t="s">
        <v>723</v>
      </c>
      <c r="H2733" s="5" t="s">
        <v>1982</v>
      </c>
    </row>
    <row r="2734" spans="5:8" x14ac:dyDescent="0.3">
      <c r="E2734" s="5" t="s">
        <v>1907</v>
      </c>
      <c r="F2734" s="5" t="s">
        <v>111</v>
      </c>
      <c r="G2734" s="5" t="s">
        <v>724</v>
      </c>
      <c r="H2734" s="5" t="s">
        <v>1983</v>
      </c>
    </row>
    <row r="2735" spans="5:8" x14ac:dyDescent="0.3">
      <c r="E2735" s="5" t="s">
        <v>1907</v>
      </c>
      <c r="F2735" s="5" t="s">
        <v>111</v>
      </c>
      <c r="G2735" s="5" t="s">
        <v>725</v>
      </c>
      <c r="H2735" s="5" t="s">
        <v>231</v>
      </c>
    </row>
    <row r="2736" spans="5:8" x14ac:dyDescent="0.3">
      <c r="E2736" s="5" t="s">
        <v>1907</v>
      </c>
      <c r="F2736" s="5" t="s">
        <v>111</v>
      </c>
      <c r="G2736" s="5" t="s">
        <v>727</v>
      </c>
      <c r="H2736" s="5" t="s">
        <v>670</v>
      </c>
    </row>
    <row r="2737" spans="5:8" x14ac:dyDescent="0.3">
      <c r="E2737" s="5" t="s">
        <v>1907</v>
      </c>
      <c r="F2737" s="5" t="s">
        <v>111</v>
      </c>
      <c r="G2737" s="5" t="s">
        <v>729</v>
      </c>
      <c r="H2737" s="5" t="s">
        <v>672</v>
      </c>
    </row>
    <row r="2738" spans="5:8" x14ac:dyDescent="0.3">
      <c r="E2738" s="5" t="s">
        <v>1907</v>
      </c>
      <c r="F2738" s="5" t="s">
        <v>111</v>
      </c>
      <c r="G2738" s="5" t="s">
        <v>730</v>
      </c>
      <c r="H2738" s="5" t="s">
        <v>233</v>
      </c>
    </row>
    <row r="2739" spans="5:8" x14ac:dyDescent="0.3">
      <c r="E2739" s="5" t="s">
        <v>1907</v>
      </c>
      <c r="F2739" s="5" t="s">
        <v>111</v>
      </c>
      <c r="G2739" s="5" t="s">
        <v>732</v>
      </c>
      <c r="H2739" s="5" t="s">
        <v>1984</v>
      </c>
    </row>
    <row r="2740" spans="5:8" x14ac:dyDescent="0.3">
      <c r="E2740" s="5" t="s">
        <v>1907</v>
      </c>
      <c r="F2740" s="5" t="s">
        <v>111</v>
      </c>
      <c r="G2740" s="5" t="s">
        <v>734</v>
      </c>
      <c r="H2740" s="5" t="s">
        <v>1985</v>
      </c>
    </row>
    <row r="2741" spans="5:8" x14ac:dyDescent="0.3">
      <c r="E2741" s="5" t="s">
        <v>1907</v>
      </c>
      <c r="F2741" s="5" t="s">
        <v>111</v>
      </c>
      <c r="G2741" s="5" t="s">
        <v>736</v>
      </c>
      <c r="H2741" s="5" t="s">
        <v>393</v>
      </c>
    </row>
    <row r="2742" spans="5:8" x14ac:dyDescent="0.3">
      <c r="E2742" s="5" t="s">
        <v>1907</v>
      </c>
      <c r="F2742" s="5" t="s">
        <v>111</v>
      </c>
      <c r="G2742" s="5" t="s">
        <v>738</v>
      </c>
      <c r="H2742" s="5" t="s">
        <v>678</v>
      </c>
    </row>
    <row r="2743" spans="5:8" x14ac:dyDescent="0.3">
      <c r="E2743" s="5" t="s">
        <v>1907</v>
      </c>
      <c r="F2743" s="5" t="s">
        <v>111</v>
      </c>
      <c r="G2743" s="5" t="s">
        <v>739</v>
      </c>
      <c r="H2743" s="5" t="s">
        <v>1986</v>
      </c>
    </row>
    <row r="2744" spans="5:8" x14ac:dyDescent="0.3">
      <c r="E2744" s="5" t="s">
        <v>1907</v>
      </c>
      <c r="F2744" s="5" t="s">
        <v>111</v>
      </c>
      <c r="G2744" s="5" t="s">
        <v>741</v>
      </c>
      <c r="H2744" s="5" t="s">
        <v>1987</v>
      </c>
    </row>
    <row r="2745" spans="5:8" x14ac:dyDescent="0.3">
      <c r="E2745" s="5" t="s">
        <v>1907</v>
      </c>
      <c r="F2745" s="5" t="s">
        <v>111</v>
      </c>
      <c r="G2745" s="5" t="s">
        <v>743</v>
      </c>
      <c r="H2745" s="5" t="s">
        <v>862</v>
      </c>
    </row>
    <row r="2746" spans="5:8" x14ac:dyDescent="0.3">
      <c r="E2746" s="5" t="s">
        <v>1907</v>
      </c>
      <c r="F2746" s="5" t="s">
        <v>111</v>
      </c>
      <c r="G2746" s="5" t="s">
        <v>340</v>
      </c>
      <c r="H2746" s="5" t="s">
        <v>1988</v>
      </c>
    </row>
    <row r="2747" spans="5:8" x14ac:dyDescent="0.3">
      <c r="E2747" s="5" t="s">
        <v>1907</v>
      </c>
      <c r="F2747" s="5" t="s">
        <v>111</v>
      </c>
      <c r="G2747" s="5" t="s">
        <v>745</v>
      </c>
      <c r="H2747" s="5" t="s">
        <v>552</v>
      </c>
    </row>
    <row r="2748" spans="5:8" x14ac:dyDescent="0.3">
      <c r="E2748" s="5" t="s">
        <v>1907</v>
      </c>
      <c r="F2748" s="5" t="s">
        <v>111</v>
      </c>
      <c r="G2748" s="5" t="s">
        <v>747</v>
      </c>
      <c r="H2748" s="5" t="s">
        <v>1989</v>
      </c>
    </row>
    <row r="2749" spans="5:8" x14ac:dyDescent="0.3">
      <c r="E2749" s="5" t="s">
        <v>1907</v>
      </c>
      <c r="F2749" s="5" t="s">
        <v>111</v>
      </c>
      <c r="G2749" s="5" t="s">
        <v>749</v>
      </c>
      <c r="H2749" s="5" t="s">
        <v>1990</v>
      </c>
    </row>
    <row r="2750" spans="5:8" x14ac:dyDescent="0.3">
      <c r="E2750" s="5" t="s">
        <v>1907</v>
      </c>
      <c r="F2750" s="5" t="s">
        <v>111</v>
      </c>
      <c r="G2750" s="5" t="s">
        <v>751</v>
      </c>
      <c r="H2750" s="5" t="s">
        <v>1991</v>
      </c>
    </row>
    <row r="2751" spans="5:8" x14ac:dyDescent="0.3">
      <c r="E2751" s="5" t="s">
        <v>1907</v>
      </c>
      <c r="F2751" s="5" t="s">
        <v>111</v>
      </c>
      <c r="G2751" s="5" t="s">
        <v>752</v>
      </c>
      <c r="H2751" s="5" t="s">
        <v>1992</v>
      </c>
    </row>
    <row r="2752" spans="5:8" x14ac:dyDescent="0.3">
      <c r="E2752" s="5" t="s">
        <v>1907</v>
      </c>
      <c r="F2752" s="5" t="s">
        <v>111</v>
      </c>
      <c r="G2752" s="5" t="s">
        <v>754</v>
      </c>
      <c r="H2752" s="5" t="s">
        <v>1993</v>
      </c>
    </row>
    <row r="2753" spans="5:8" x14ac:dyDescent="0.3">
      <c r="E2753" s="5" t="s">
        <v>1907</v>
      </c>
      <c r="F2753" s="5" t="s">
        <v>111</v>
      </c>
      <c r="G2753" s="5" t="s">
        <v>344</v>
      </c>
      <c r="H2753" s="5" t="s">
        <v>863</v>
      </c>
    </row>
    <row r="2754" spans="5:8" x14ac:dyDescent="0.3">
      <c r="E2754" s="5" t="s">
        <v>1907</v>
      </c>
      <c r="F2754" s="5" t="s">
        <v>111</v>
      </c>
      <c r="G2754" s="5" t="s">
        <v>763</v>
      </c>
      <c r="H2754" s="5" t="s">
        <v>1996</v>
      </c>
    </row>
    <row r="2755" spans="5:8" x14ac:dyDescent="0.3">
      <c r="E2755" s="5" t="s">
        <v>1907</v>
      </c>
      <c r="F2755" s="5" t="s">
        <v>111</v>
      </c>
      <c r="G2755" s="5" t="s">
        <v>757</v>
      </c>
      <c r="H2755" s="5" t="s">
        <v>235</v>
      </c>
    </row>
    <row r="2756" spans="5:8" x14ac:dyDescent="0.3">
      <c r="E2756" s="5" t="s">
        <v>1907</v>
      </c>
      <c r="F2756" s="5" t="s">
        <v>111</v>
      </c>
      <c r="G2756" s="5" t="s">
        <v>759</v>
      </c>
      <c r="H2756" s="5" t="s">
        <v>1994</v>
      </c>
    </row>
    <row r="2757" spans="5:8" x14ac:dyDescent="0.3">
      <c r="E2757" s="5" t="s">
        <v>1907</v>
      </c>
      <c r="F2757" s="5" t="s">
        <v>111</v>
      </c>
      <c r="G2757" s="5" t="s">
        <v>761</v>
      </c>
      <c r="H2757" s="5" t="s">
        <v>1995</v>
      </c>
    </row>
    <row r="2758" spans="5:8" x14ac:dyDescent="0.3">
      <c r="E2758" s="5" t="s">
        <v>1907</v>
      </c>
      <c r="F2758" s="5" t="s">
        <v>111</v>
      </c>
      <c r="G2758" s="5" t="s">
        <v>765</v>
      </c>
      <c r="H2758" s="5" t="s">
        <v>1997</v>
      </c>
    </row>
    <row r="2759" spans="5:8" x14ac:dyDescent="0.3">
      <c r="E2759" s="5" t="s">
        <v>1907</v>
      </c>
      <c r="F2759" s="5" t="s">
        <v>111</v>
      </c>
      <c r="G2759" s="5" t="s">
        <v>767</v>
      </c>
      <c r="H2759" s="5" t="s">
        <v>241</v>
      </c>
    </row>
    <row r="2760" spans="5:8" x14ac:dyDescent="0.3">
      <c r="E2760" s="5" t="s">
        <v>1907</v>
      </c>
      <c r="F2760" s="5" t="s">
        <v>111</v>
      </c>
      <c r="G2760" s="5" t="s">
        <v>769</v>
      </c>
      <c r="H2760" s="5" t="s">
        <v>582</v>
      </c>
    </row>
    <row r="2761" spans="5:8" x14ac:dyDescent="0.3">
      <c r="E2761" s="5" t="s">
        <v>1907</v>
      </c>
      <c r="F2761" s="5" t="s">
        <v>111</v>
      </c>
      <c r="G2761" s="5" t="s">
        <v>771</v>
      </c>
      <c r="H2761" s="5" t="s">
        <v>584</v>
      </c>
    </row>
    <row r="2762" spans="5:8" x14ac:dyDescent="0.3">
      <c r="E2762" s="5" t="s">
        <v>1907</v>
      </c>
      <c r="F2762" s="5" t="s">
        <v>111</v>
      </c>
      <c r="G2762" s="5" t="s">
        <v>772</v>
      </c>
      <c r="H2762" s="5" t="s">
        <v>243</v>
      </c>
    </row>
    <row r="2763" spans="5:8" x14ac:dyDescent="0.3">
      <c r="E2763" s="5" t="s">
        <v>1907</v>
      </c>
      <c r="F2763" s="5" t="s">
        <v>111</v>
      </c>
      <c r="G2763" s="5" t="s">
        <v>774</v>
      </c>
      <c r="H2763" s="5" t="s">
        <v>1998</v>
      </c>
    </row>
    <row r="2764" spans="5:8" x14ac:dyDescent="0.3">
      <c r="E2764" s="5" t="s">
        <v>1907</v>
      </c>
      <c r="F2764" s="5" t="s">
        <v>111</v>
      </c>
      <c r="G2764" s="5" t="s">
        <v>775</v>
      </c>
      <c r="H2764" s="5" t="s">
        <v>1999</v>
      </c>
    </row>
    <row r="2765" spans="5:8" x14ac:dyDescent="0.3">
      <c r="E2765" s="5" t="s">
        <v>1907</v>
      </c>
      <c r="F2765" s="5" t="s">
        <v>111</v>
      </c>
      <c r="G2765" s="5" t="s">
        <v>776</v>
      </c>
      <c r="H2765" s="5" t="s">
        <v>2000</v>
      </c>
    </row>
    <row r="2766" spans="5:8" x14ac:dyDescent="0.3">
      <c r="E2766" s="5" t="s">
        <v>1907</v>
      </c>
      <c r="F2766" s="5" t="s">
        <v>111</v>
      </c>
      <c r="G2766" s="5" t="s">
        <v>778</v>
      </c>
      <c r="H2766" s="5" t="s">
        <v>2001</v>
      </c>
    </row>
    <row r="2767" spans="5:8" x14ac:dyDescent="0.3">
      <c r="E2767" s="5" t="s">
        <v>1907</v>
      </c>
      <c r="F2767" s="5" t="s">
        <v>111</v>
      </c>
      <c r="G2767" s="5" t="s">
        <v>780</v>
      </c>
      <c r="H2767" s="5" t="s">
        <v>2002</v>
      </c>
    </row>
    <row r="2768" spans="5:8" x14ac:dyDescent="0.3">
      <c r="E2768" s="5" t="s">
        <v>1907</v>
      </c>
      <c r="F2768" s="5" t="s">
        <v>111</v>
      </c>
      <c r="G2768" s="5" t="s">
        <v>781</v>
      </c>
      <c r="H2768" s="5" t="s">
        <v>2003</v>
      </c>
    </row>
    <row r="2769" spans="5:8" x14ac:dyDescent="0.3">
      <c r="E2769" s="5" t="s">
        <v>1907</v>
      </c>
      <c r="F2769" s="5" t="s">
        <v>111</v>
      </c>
      <c r="G2769" s="5" t="s">
        <v>788</v>
      </c>
      <c r="H2769" s="5" t="s">
        <v>249</v>
      </c>
    </row>
    <row r="2770" spans="5:8" x14ac:dyDescent="0.3">
      <c r="E2770" s="5" t="s">
        <v>1907</v>
      </c>
      <c r="F2770" s="5" t="s">
        <v>111</v>
      </c>
      <c r="G2770" s="5" t="s">
        <v>790</v>
      </c>
      <c r="H2770" s="5" t="s">
        <v>253</v>
      </c>
    </row>
    <row r="2771" spans="5:8" x14ac:dyDescent="0.3">
      <c r="E2771" s="5" t="s">
        <v>1907</v>
      </c>
      <c r="F2771" s="5" t="s">
        <v>111</v>
      </c>
      <c r="G2771" s="5" t="s">
        <v>791</v>
      </c>
      <c r="H2771" s="5" t="s">
        <v>586</v>
      </c>
    </row>
    <row r="2772" spans="5:8" x14ac:dyDescent="0.3">
      <c r="E2772" s="5" t="s">
        <v>1907</v>
      </c>
      <c r="F2772" s="5" t="s">
        <v>111</v>
      </c>
      <c r="G2772" s="5" t="s">
        <v>793</v>
      </c>
      <c r="H2772" s="5" t="s">
        <v>870</v>
      </c>
    </row>
    <row r="2773" spans="5:8" x14ac:dyDescent="0.3">
      <c r="E2773" s="5" t="s">
        <v>1907</v>
      </c>
      <c r="F2773" s="5" t="s">
        <v>111</v>
      </c>
      <c r="G2773" s="5" t="s">
        <v>795</v>
      </c>
      <c r="H2773" s="5" t="s">
        <v>2007</v>
      </c>
    </row>
    <row r="2774" spans="5:8" x14ac:dyDescent="0.3">
      <c r="E2774" s="5" t="s">
        <v>1907</v>
      </c>
      <c r="F2774" s="5" t="s">
        <v>111</v>
      </c>
      <c r="G2774" s="5" t="s">
        <v>2008</v>
      </c>
      <c r="H2774" s="5" t="s">
        <v>2009</v>
      </c>
    </row>
    <row r="2775" spans="5:8" x14ac:dyDescent="0.3">
      <c r="E2775" s="5" t="s">
        <v>1907</v>
      </c>
      <c r="F2775" s="5" t="s">
        <v>111</v>
      </c>
      <c r="G2775" s="5" t="s">
        <v>783</v>
      </c>
      <c r="H2775" s="5" t="s">
        <v>2004</v>
      </c>
    </row>
    <row r="2776" spans="5:8" x14ac:dyDescent="0.3">
      <c r="E2776" s="5" t="s">
        <v>1907</v>
      </c>
      <c r="F2776" s="5" t="s">
        <v>111</v>
      </c>
      <c r="G2776" s="5" t="s">
        <v>785</v>
      </c>
      <c r="H2776" s="5" t="s">
        <v>2005</v>
      </c>
    </row>
    <row r="2777" spans="5:8" x14ac:dyDescent="0.3">
      <c r="E2777" s="5" t="s">
        <v>1907</v>
      </c>
      <c r="F2777" s="5" t="s">
        <v>111</v>
      </c>
      <c r="G2777" s="5" t="s">
        <v>787</v>
      </c>
      <c r="H2777" s="5" t="s">
        <v>2006</v>
      </c>
    </row>
    <row r="2778" spans="5:8" x14ac:dyDescent="0.3">
      <c r="E2778" s="5" t="s">
        <v>1907</v>
      </c>
      <c r="F2778" s="5" t="s">
        <v>111</v>
      </c>
      <c r="G2778" s="5" t="s">
        <v>2010</v>
      </c>
      <c r="H2778" s="5" t="s">
        <v>1701</v>
      </c>
    </row>
    <row r="2779" spans="5:8" x14ac:dyDescent="0.3">
      <c r="E2779" s="5" t="s">
        <v>1907</v>
      </c>
      <c r="F2779" s="5" t="s">
        <v>111</v>
      </c>
      <c r="G2779" s="5" t="s">
        <v>2011</v>
      </c>
      <c r="H2779" s="5" t="s">
        <v>872</v>
      </c>
    </row>
    <row r="2780" spans="5:8" x14ac:dyDescent="0.3">
      <c r="E2780" s="5" t="s">
        <v>1907</v>
      </c>
      <c r="F2780" s="5" t="s">
        <v>111</v>
      </c>
      <c r="G2780" s="5" t="s">
        <v>2012</v>
      </c>
      <c r="H2780" s="5" t="s">
        <v>1252</v>
      </c>
    </row>
    <row r="2781" spans="5:8" x14ac:dyDescent="0.3">
      <c r="E2781" s="5" t="s">
        <v>1907</v>
      </c>
      <c r="F2781" s="5" t="s">
        <v>111</v>
      </c>
      <c r="G2781" s="5" t="s">
        <v>2013</v>
      </c>
      <c r="H2781" s="5" t="s">
        <v>2014</v>
      </c>
    </row>
    <row r="2782" spans="5:8" x14ac:dyDescent="0.3">
      <c r="E2782" s="5" t="s">
        <v>1907</v>
      </c>
      <c r="F2782" s="5" t="s">
        <v>111</v>
      </c>
      <c r="G2782" s="5" t="s">
        <v>2015</v>
      </c>
      <c r="H2782" s="5" t="s">
        <v>962</v>
      </c>
    </row>
    <row r="2783" spans="5:8" x14ac:dyDescent="0.3">
      <c r="E2783" s="5" t="s">
        <v>1907</v>
      </c>
      <c r="F2783" s="5" t="s">
        <v>111</v>
      </c>
      <c r="G2783" s="5" t="s">
        <v>2016</v>
      </c>
      <c r="H2783" s="5" t="s">
        <v>701</v>
      </c>
    </row>
    <row r="2784" spans="5:8" x14ac:dyDescent="0.3">
      <c r="E2784" s="5" t="s">
        <v>1907</v>
      </c>
      <c r="F2784" s="5" t="s">
        <v>111</v>
      </c>
      <c r="G2784" s="5" t="s">
        <v>2017</v>
      </c>
      <c r="H2784" s="5" t="s">
        <v>2018</v>
      </c>
    </row>
    <row r="2785" spans="5:8" x14ac:dyDescent="0.3">
      <c r="E2785" s="5" t="s">
        <v>1907</v>
      </c>
      <c r="F2785" s="5" t="s">
        <v>111</v>
      </c>
      <c r="G2785" s="5" t="s">
        <v>2019</v>
      </c>
      <c r="H2785" s="5" t="s">
        <v>261</v>
      </c>
    </row>
    <row r="2786" spans="5:8" x14ac:dyDescent="0.3">
      <c r="E2786" s="5" t="s">
        <v>1907</v>
      </c>
      <c r="F2786" s="5" t="s">
        <v>111</v>
      </c>
      <c r="G2786" s="5" t="s">
        <v>2020</v>
      </c>
      <c r="H2786" s="5" t="s">
        <v>1624</v>
      </c>
    </row>
    <row r="2787" spans="5:8" x14ac:dyDescent="0.3">
      <c r="E2787" s="5" t="s">
        <v>1907</v>
      </c>
      <c r="F2787" s="5" t="s">
        <v>111</v>
      </c>
      <c r="G2787" s="5" t="s">
        <v>2021</v>
      </c>
      <c r="H2787" s="5" t="s">
        <v>1015</v>
      </c>
    </row>
    <row r="2788" spans="5:8" x14ac:dyDescent="0.3">
      <c r="E2788" s="5" t="s">
        <v>1907</v>
      </c>
      <c r="F2788" s="5" t="s">
        <v>111</v>
      </c>
      <c r="G2788" s="5" t="s">
        <v>2022</v>
      </c>
      <c r="H2788" s="5" t="s">
        <v>2023</v>
      </c>
    </row>
    <row r="2789" spans="5:8" x14ac:dyDescent="0.3">
      <c r="E2789" s="5" t="s">
        <v>1907</v>
      </c>
      <c r="F2789" s="5" t="s">
        <v>111</v>
      </c>
      <c r="G2789" s="5" t="s">
        <v>2024</v>
      </c>
      <c r="H2789" s="5" t="s">
        <v>2025</v>
      </c>
    </row>
    <row r="2790" spans="5:8" x14ac:dyDescent="0.3">
      <c r="E2790" s="5" t="s">
        <v>1907</v>
      </c>
      <c r="F2790" s="5" t="s">
        <v>111</v>
      </c>
      <c r="G2790" s="5" t="s">
        <v>2026</v>
      </c>
      <c r="H2790" s="5" t="s">
        <v>2027</v>
      </c>
    </row>
    <row r="2791" spans="5:8" x14ac:dyDescent="0.3">
      <c r="E2791" s="5" t="s">
        <v>1907</v>
      </c>
      <c r="F2791" s="5" t="s">
        <v>111</v>
      </c>
      <c r="G2791" s="5" t="s">
        <v>2028</v>
      </c>
      <c r="H2791" s="5" t="s">
        <v>402</v>
      </c>
    </row>
    <row r="2792" spans="5:8" x14ac:dyDescent="0.3">
      <c r="E2792" s="5" t="s">
        <v>1907</v>
      </c>
      <c r="F2792" s="5" t="s">
        <v>111</v>
      </c>
      <c r="G2792" s="5" t="s">
        <v>2029</v>
      </c>
      <c r="H2792" s="5" t="s">
        <v>2030</v>
      </c>
    </row>
    <row r="2793" spans="5:8" x14ac:dyDescent="0.3">
      <c r="E2793" s="5" t="s">
        <v>1907</v>
      </c>
      <c r="F2793" s="5" t="s">
        <v>111</v>
      </c>
      <c r="G2793" s="5" t="s">
        <v>2031</v>
      </c>
      <c r="H2793" s="5" t="s">
        <v>2032</v>
      </c>
    </row>
    <row r="2794" spans="5:8" x14ac:dyDescent="0.3">
      <c r="E2794" s="5" t="s">
        <v>1907</v>
      </c>
      <c r="F2794" s="5" t="s">
        <v>111</v>
      </c>
      <c r="G2794" s="5" t="s">
        <v>2033</v>
      </c>
      <c r="H2794" s="5" t="s">
        <v>2034</v>
      </c>
    </row>
    <row r="2795" spans="5:8" x14ac:dyDescent="0.3">
      <c r="E2795" s="5" t="s">
        <v>1907</v>
      </c>
      <c r="F2795" s="5" t="s">
        <v>111</v>
      </c>
      <c r="G2795" s="5" t="s">
        <v>2035</v>
      </c>
      <c r="H2795" s="5" t="s">
        <v>1093</v>
      </c>
    </row>
    <row r="2796" spans="5:8" x14ac:dyDescent="0.3">
      <c r="E2796" s="5" t="s">
        <v>1907</v>
      </c>
      <c r="F2796" s="5" t="s">
        <v>111</v>
      </c>
      <c r="G2796" s="5" t="s">
        <v>2036</v>
      </c>
      <c r="H2796" s="5" t="s">
        <v>459</v>
      </c>
    </row>
    <row r="2797" spans="5:8" x14ac:dyDescent="0.3">
      <c r="E2797" s="5" t="s">
        <v>1907</v>
      </c>
      <c r="F2797" s="5" t="s">
        <v>111</v>
      </c>
      <c r="G2797" s="5" t="s">
        <v>2037</v>
      </c>
      <c r="H2797" s="5" t="s">
        <v>2038</v>
      </c>
    </row>
    <row r="2798" spans="5:8" x14ac:dyDescent="0.3">
      <c r="E2798" s="5" t="s">
        <v>1907</v>
      </c>
      <c r="F2798" s="5" t="s">
        <v>111</v>
      </c>
      <c r="G2798" s="5" t="s">
        <v>2039</v>
      </c>
      <c r="H2798" s="5" t="s">
        <v>1357</v>
      </c>
    </row>
    <row r="2799" spans="5:8" x14ac:dyDescent="0.3">
      <c r="E2799" s="5" t="s">
        <v>1907</v>
      </c>
      <c r="F2799" s="5" t="s">
        <v>111</v>
      </c>
      <c r="G2799" s="5" t="s">
        <v>2040</v>
      </c>
      <c r="H2799" s="5" t="s">
        <v>2041</v>
      </c>
    </row>
    <row r="2800" spans="5:8" x14ac:dyDescent="0.3">
      <c r="E2800" s="5" t="s">
        <v>1907</v>
      </c>
      <c r="F2800" s="5" t="s">
        <v>111</v>
      </c>
      <c r="G2800" s="5" t="s">
        <v>2042</v>
      </c>
      <c r="H2800" s="5" t="s">
        <v>2043</v>
      </c>
    </row>
    <row r="2801" spans="5:8" x14ac:dyDescent="0.3">
      <c r="E2801" s="5" t="s">
        <v>1907</v>
      </c>
      <c r="F2801" s="5" t="s">
        <v>111</v>
      </c>
      <c r="G2801" s="5" t="s">
        <v>2044</v>
      </c>
      <c r="H2801" s="5" t="s">
        <v>2045</v>
      </c>
    </row>
    <row r="2802" spans="5:8" x14ac:dyDescent="0.3">
      <c r="E2802" s="5" t="s">
        <v>1907</v>
      </c>
      <c r="F2802" s="5" t="s">
        <v>111</v>
      </c>
      <c r="G2802" s="5" t="s">
        <v>2046</v>
      </c>
      <c r="H2802" s="5" t="s">
        <v>406</v>
      </c>
    </row>
    <row r="2803" spans="5:8" x14ac:dyDescent="0.3">
      <c r="E2803" s="5" t="s">
        <v>1907</v>
      </c>
      <c r="F2803" s="5" t="s">
        <v>111</v>
      </c>
      <c r="G2803" s="5" t="s">
        <v>2047</v>
      </c>
      <c r="H2803" s="5" t="s">
        <v>1805</v>
      </c>
    </row>
    <row r="2804" spans="5:8" x14ac:dyDescent="0.3">
      <c r="E2804" s="5" t="s">
        <v>1907</v>
      </c>
      <c r="F2804" s="5" t="s">
        <v>111</v>
      </c>
      <c r="G2804" s="5" t="s">
        <v>2048</v>
      </c>
      <c r="H2804" s="5" t="s">
        <v>2049</v>
      </c>
    </row>
    <row r="2805" spans="5:8" x14ac:dyDescent="0.3">
      <c r="E2805" s="5" t="s">
        <v>1907</v>
      </c>
      <c r="F2805" s="5" t="s">
        <v>111</v>
      </c>
      <c r="G2805" s="5" t="s">
        <v>2050</v>
      </c>
      <c r="H2805" s="5" t="s">
        <v>2051</v>
      </c>
    </row>
    <row r="2806" spans="5:8" x14ac:dyDescent="0.3">
      <c r="E2806" s="5" t="s">
        <v>1907</v>
      </c>
      <c r="F2806" s="5" t="s">
        <v>111</v>
      </c>
      <c r="G2806" s="5" t="s">
        <v>2052</v>
      </c>
      <c r="H2806" s="5" t="s">
        <v>2053</v>
      </c>
    </row>
    <row r="2807" spans="5:8" x14ac:dyDescent="0.3">
      <c r="E2807" s="5" t="s">
        <v>1907</v>
      </c>
      <c r="F2807" s="5" t="s">
        <v>111</v>
      </c>
      <c r="G2807" s="5" t="s">
        <v>2054</v>
      </c>
      <c r="H2807" s="5" t="s">
        <v>2055</v>
      </c>
    </row>
    <row r="2808" spans="5:8" x14ac:dyDescent="0.3">
      <c r="E2808" s="5" t="s">
        <v>1907</v>
      </c>
      <c r="F2808" s="5" t="s">
        <v>111</v>
      </c>
      <c r="G2808" s="5" t="s">
        <v>2056</v>
      </c>
      <c r="H2808" s="5" t="s">
        <v>2057</v>
      </c>
    </row>
    <row r="2809" spans="5:8" x14ac:dyDescent="0.3">
      <c r="E2809" s="5" t="s">
        <v>1907</v>
      </c>
      <c r="F2809" s="5" t="s">
        <v>111</v>
      </c>
      <c r="G2809" s="5" t="s">
        <v>2058</v>
      </c>
      <c r="H2809" s="5" t="s">
        <v>2059</v>
      </c>
    </row>
    <row r="2810" spans="5:8" x14ac:dyDescent="0.3">
      <c r="E2810" s="5" t="s">
        <v>1907</v>
      </c>
      <c r="F2810" s="5" t="s">
        <v>111</v>
      </c>
      <c r="G2810" s="5" t="s">
        <v>2060</v>
      </c>
      <c r="H2810" s="5" t="s">
        <v>2061</v>
      </c>
    </row>
    <row r="2811" spans="5:8" x14ac:dyDescent="0.3">
      <c r="E2811" s="5" t="s">
        <v>1907</v>
      </c>
      <c r="F2811" s="5" t="s">
        <v>111</v>
      </c>
      <c r="G2811" s="5" t="s">
        <v>2062</v>
      </c>
      <c r="H2811" s="5" t="s">
        <v>2063</v>
      </c>
    </row>
    <row r="2812" spans="5:8" x14ac:dyDescent="0.3">
      <c r="E2812" s="5" t="s">
        <v>1907</v>
      </c>
      <c r="F2812" s="5" t="s">
        <v>111</v>
      </c>
      <c r="G2812" s="5" t="s">
        <v>2064</v>
      </c>
      <c r="H2812" s="5" t="s">
        <v>1871</v>
      </c>
    </row>
    <row r="2813" spans="5:8" x14ac:dyDescent="0.3">
      <c r="E2813" s="5" t="s">
        <v>1907</v>
      </c>
      <c r="F2813" s="5" t="s">
        <v>111</v>
      </c>
      <c r="G2813" s="5" t="s">
        <v>2065</v>
      </c>
      <c r="H2813" s="5" t="s">
        <v>1097</v>
      </c>
    </row>
    <row r="2814" spans="5:8" x14ac:dyDescent="0.3">
      <c r="E2814" s="5" t="s">
        <v>1907</v>
      </c>
      <c r="F2814" s="5" t="s">
        <v>111</v>
      </c>
      <c r="G2814" s="5" t="s">
        <v>2066</v>
      </c>
      <c r="H2814" s="5" t="s">
        <v>2067</v>
      </c>
    </row>
    <row r="2815" spans="5:8" x14ac:dyDescent="0.3">
      <c r="E2815" s="5" t="s">
        <v>1907</v>
      </c>
      <c r="F2815" s="5" t="s">
        <v>111</v>
      </c>
      <c r="G2815" s="5" t="s">
        <v>2068</v>
      </c>
      <c r="H2815" s="5" t="s">
        <v>2069</v>
      </c>
    </row>
    <row r="2816" spans="5:8" x14ac:dyDescent="0.3">
      <c r="E2816" s="5" t="s">
        <v>1907</v>
      </c>
      <c r="F2816" s="5" t="s">
        <v>111</v>
      </c>
      <c r="G2816" s="5" t="s">
        <v>2070</v>
      </c>
      <c r="H2816" s="5" t="s">
        <v>2071</v>
      </c>
    </row>
    <row r="2817" spans="5:8" x14ac:dyDescent="0.3">
      <c r="E2817" s="5" t="s">
        <v>1907</v>
      </c>
      <c r="F2817" s="5" t="s">
        <v>111</v>
      </c>
      <c r="G2817" s="5" t="s">
        <v>2072</v>
      </c>
      <c r="H2817" s="5" t="s">
        <v>2073</v>
      </c>
    </row>
    <row r="2818" spans="5:8" x14ac:dyDescent="0.3">
      <c r="E2818" s="5" t="s">
        <v>1907</v>
      </c>
      <c r="F2818" s="5" t="s">
        <v>111</v>
      </c>
      <c r="G2818" s="5" t="s">
        <v>2074</v>
      </c>
      <c r="H2818" s="5" t="s">
        <v>2075</v>
      </c>
    </row>
    <row r="2819" spans="5:8" x14ac:dyDescent="0.3">
      <c r="E2819" s="5" t="s">
        <v>1907</v>
      </c>
      <c r="F2819" s="5" t="s">
        <v>111</v>
      </c>
      <c r="G2819" s="5" t="s">
        <v>2076</v>
      </c>
      <c r="H2819" s="5" t="s">
        <v>2077</v>
      </c>
    </row>
    <row r="2820" spans="5:8" x14ac:dyDescent="0.3">
      <c r="E2820" s="5" t="s">
        <v>1907</v>
      </c>
      <c r="F2820" s="5" t="s">
        <v>111</v>
      </c>
      <c r="G2820" s="5" t="s">
        <v>2078</v>
      </c>
      <c r="H2820" s="5" t="s">
        <v>2079</v>
      </c>
    </row>
    <row r="2821" spans="5:8" x14ac:dyDescent="0.3">
      <c r="E2821" s="5" t="s">
        <v>1907</v>
      </c>
      <c r="F2821" s="5" t="s">
        <v>111</v>
      </c>
      <c r="G2821" s="5" t="s">
        <v>2080</v>
      </c>
      <c r="H2821" s="5" t="s">
        <v>2081</v>
      </c>
    </row>
    <row r="2822" spans="5:8" x14ac:dyDescent="0.3">
      <c r="E2822" s="5" t="s">
        <v>1907</v>
      </c>
      <c r="F2822" s="5" t="s">
        <v>111</v>
      </c>
      <c r="G2822" s="5" t="s">
        <v>2082</v>
      </c>
      <c r="H2822" s="5" t="s">
        <v>2083</v>
      </c>
    </row>
    <row r="2823" spans="5:8" x14ac:dyDescent="0.3">
      <c r="E2823" s="5" t="s">
        <v>1907</v>
      </c>
      <c r="F2823" s="5" t="s">
        <v>111</v>
      </c>
      <c r="G2823" s="5" t="s">
        <v>2084</v>
      </c>
      <c r="H2823" s="5" t="s">
        <v>2085</v>
      </c>
    </row>
    <row r="2824" spans="5:8" x14ac:dyDescent="0.3">
      <c r="E2824" s="5" t="s">
        <v>1907</v>
      </c>
      <c r="F2824" s="5" t="s">
        <v>111</v>
      </c>
      <c r="G2824" s="5" t="s">
        <v>2086</v>
      </c>
      <c r="H2824" s="5" t="s">
        <v>2087</v>
      </c>
    </row>
    <row r="2825" spans="5:8" x14ac:dyDescent="0.3">
      <c r="E2825" s="5" t="s">
        <v>1907</v>
      </c>
      <c r="F2825" s="5" t="s">
        <v>111</v>
      </c>
      <c r="G2825" s="5" t="s">
        <v>2088</v>
      </c>
      <c r="H2825" s="5" t="s">
        <v>277</v>
      </c>
    </row>
    <row r="2826" spans="5:8" x14ac:dyDescent="0.3">
      <c r="E2826" s="5" t="s">
        <v>1907</v>
      </c>
      <c r="F2826" s="5" t="s">
        <v>111</v>
      </c>
      <c r="G2826" s="5" t="s">
        <v>2089</v>
      </c>
      <c r="H2826" s="5" t="s">
        <v>1036</v>
      </c>
    </row>
    <row r="2827" spans="5:8" x14ac:dyDescent="0.3">
      <c r="E2827" s="5" t="s">
        <v>1907</v>
      </c>
      <c r="F2827" s="5" t="s">
        <v>111</v>
      </c>
      <c r="G2827" s="5" t="s">
        <v>2090</v>
      </c>
      <c r="H2827" s="5" t="s">
        <v>1037</v>
      </c>
    </row>
    <row r="2828" spans="5:8" x14ac:dyDescent="0.3">
      <c r="E2828" s="5" t="s">
        <v>1907</v>
      </c>
      <c r="F2828" s="5" t="s">
        <v>111</v>
      </c>
      <c r="G2828" s="5" t="s">
        <v>2091</v>
      </c>
      <c r="H2828" s="5" t="s">
        <v>2092</v>
      </c>
    </row>
    <row r="2829" spans="5:8" x14ac:dyDescent="0.3">
      <c r="E2829" s="5" t="s">
        <v>1907</v>
      </c>
      <c r="F2829" s="5" t="s">
        <v>111</v>
      </c>
      <c r="G2829" s="5" t="s">
        <v>2093</v>
      </c>
      <c r="H2829" s="5" t="s">
        <v>2094</v>
      </c>
    </row>
    <row r="2830" spans="5:8" x14ac:dyDescent="0.3">
      <c r="E2830" s="5" t="s">
        <v>1907</v>
      </c>
      <c r="F2830" s="5" t="s">
        <v>111</v>
      </c>
      <c r="G2830" s="5" t="s">
        <v>2095</v>
      </c>
      <c r="H2830" s="5" t="s">
        <v>742</v>
      </c>
    </row>
    <row r="2831" spans="5:8" x14ac:dyDescent="0.3">
      <c r="E2831" s="5" t="s">
        <v>1907</v>
      </c>
      <c r="F2831" s="5" t="s">
        <v>111</v>
      </c>
      <c r="G2831" s="5" t="s">
        <v>2096</v>
      </c>
      <c r="H2831" s="5" t="s">
        <v>2097</v>
      </c>
    </row>
    <row r="2832" spans="5:8" x14ac:dyDescent="0.3">
      <c r="E2832" s="5" t="s">
        <v>1907</v>
      </c>
      <c r="F2832" s="5" t="s">
        <v>111</v>
      </c>
      <c r="G2832" s="5" t="s">
        <v>2098</v>
      </c>
      <c r="H2832" s="5" t="s">
        <v>2099</v>
      </c>
    </row>
    <row r="2833" spans="5:8" x14ac:dyDescent="0.3">
      <c r="E2833" s="5" t="s">
        <v>1907</v>
      </c>
      <c r="F2833" s="5" t="s">
        <v>111</v>
      </c>
      <c r="G2833" s="5" t="s">
        <v>2100</v>
      </c>
      <c r="H2833" s="5" t="s">
        <v>2101</v>
      </c>
    </row>
    <row r="2834" spans="5:8" x14ac:dyDescent="0.3">
      <c r="E2834" s="5" t="s">
        <v>1907</v>
      </c>
      <c r="F2834" s="5" t="s">
        <v>111</v>
      </c>
      <c r="G2834" s="5" t="s">
        <v>2102</v>
      </c>
      <c r="H2834" s="5" t="s">
        <v>2103</v>
      </c>
    </row>
    <row r="2835" spans="5:8" x14ac:dyDescent="0.3">
      <c r="E2835" s="5" t="s">
        <v>1907</v>
      </c>
      <c r="F2835" s="5" t="s">
        <v>111</v>
      </c>
      <c r="G2835" s="5" t="s">
        <v>2104</v>
      </c>
      <c r="H2835" s="5" t="s">
        <v>2105</v>
      </c>
    </row>
    <row r="2836" spans="5:8" x14ac:dyDescent="0.3">
      <c r="E2836" s="5" t="s">
        <v>1907</v>
      </c>
      <c r="F2836" s="5" t="s">
        <v>111</v>
      </c>
      <c r="G2836" s="5" t="s">
        <v>2106</v>
      </c>
      <c r="H2836" s="5" t="s">
        <v>603</v>
      </c>
    </row>
    <row r="2837" spans="5:8" x14ac:dyDescent="0.3">
      <c r="E2837" s="5" t="s">
        <v>1907</v>
      </c>
      <c r="F2837" s="5" t="s">
        <v>111</v>
      </c>
      <c r="G2837" s="5" t="s">
        <v>2107</v>
      </c>
      <c r="H2837" s="5" t="s">
        <v>755</v>
      </c>
    </row>
    <row r="2838" spans="5:8" x14ac:dyDescent="0.3">
      <c r="E2838" s="5" t="s">
        <v>1907</v>
      </c>
      <c r="F2838" s="5" t="s">
        <v>111</v>
      </c>
      <c r="G2838" s="5" t="s">
        <v>2108</v>
      </c>
      <c r="H2838" s="5" t="s">
        <v>2109</v>
      </c>
    </row>
    <row r="2839" spans="5:8" x14ac:dyDescent="0.3">
      <c r="E2839" s="5" t="s">
        <v>1907</v>
      </c>
      <c r="F2839" s="5" t="s">
        <v>111</v>
      </c>
      <c r="G2839" s="5" t="s">
        <v>2110</v>
      </c>
      <c r="H2839" s="5" t="s">
        <v>2111</v>
      </c>
    </row>
    <row r="2840" spans="5:8" x14ac:dyDescent="0.3">
      <c r="E2840" s="5" t="s">
        <v>1907</v>
      </c>
      <c r="F2840" s="5" t="s">
        <v>111</v>
      </c>
      <c r="G2840" s="5" t="s">
        <v>2112</v>
      </c>
      <c r="H2840" s="5" t="s">
        <v>2113</v>
      </c>
    </row>
    <row r="2841" spans="5:8" x14ac:dyDescent="0.3">
      <c r="E2841" s="5" t="s">
        <v>1907</v>
      </c>
      <c r="F2841" s="5" t="s">
        <v>111</v>
      </c>
      <c r="G2841" s="5" t="s">
        <v>2114</v>
      </c>
      <c r="H2841" s="5" t="s">
        <v>2115</v>
      </c>
    </row>
    <row r="2842" spans="5:8" x14ac:dyDescent="0.3">
      <c r="E2842" s="5" t="s">
        <v>1907</v>
      </c>
      <c r="F2842" s="5" t="s">
        <v>111</v>
      </c>
      <c r="G2842" s="5" t="s">
        <v>2116</v>
      </c>
      <c r="H2842" s="5" t="s">
        <v>2117</v>
      </c>
    </row>
    <row r="2843" spans="5:8" x14ac:dyDescent="0.3">
      <c r="E2843" s="5" t="s">
        <v>1907</v>
      </c>
      <c r="F2843" s="5" t="s">
        <v>111</v>
      </c>
      <c r="G2843" s="5" t="s">
        <v>2118</v>
      </c>
      <c r="H2843" s="5" t="s">
        <v>481</v>
      </c>
    </row>
    <row r="2844" spans="5:8" x14ac:dyDescent="0.3">
      <c r="E2844" s="5" t="s">
        <v>1907</v>
      </c>
      <c r="F2844" s="5" t="s">
        <v>111</v>
      </c>
      <c r="G2844" s="5" t="s">
        <v>2119</v>
      </c>
      <c r="H2844" s="5" t="s">
        <v>2120</v>
      </c>
    </row>
    <row r="2845" spans="5:8" x14ac:dyDescent="0.3">
      <c r="E2845" s="5" t="s">
        <v>1907</v>
      </c>
      <c r="F2845" s="5" t="s">
        <v>111</v>
      </c>
      <c r="G2845" s="5" t="s">
        <v>2121</v>
      </c>
      <c r="H2845" s="5" t="s">
        <v>2122</v>
      </c>
    </row>
    <row r="2846" spans="5:8" x14ac:dyDescent="0.3">
      <c r="E2846" s="5" t="s">
        <v>1907</v>
      </c>
      <c r="F2846" s="5" t="s">
        <v>111</v>
      </c>
      <c r="G2846" s="5" t="s">
        <v>2123</v>
      </c>
      <c r="H2846" s="5" t="s">
        <v>2124</v>
      </c>
    </row>
    <row r="2847" spans="5:8" x14ac:dyDescent="0.3">
      <c r="E2847" s="5" t="s">
        <v>1907</v>
      </c>
      <c r="F2847" s="5" t="s">
        <v>111</v>
      </c>
      <c r="G2847" s="5" t="s">
        <v>2125</v>
      </c>
      <c r="H2847" s="5" t="s">
        <v>2126</v>
      </c>
    </row>
    <row r="2848" spans="5:8" x14ac:dyDescent="0.3">
      <c r="E2848" s="5" t="s">
        <v>1907</v>
      </c>
      <c r="F2848" s="5" t="s">
        <v>111</v>
      </c>
      <c r="G2848" s="5" t="s">
        <v>2127</v>
      </c>
      <c r="H2848" s="5" t="s">
        <v>2128</v>
      </c>
    </row>
    <row r="2849" spans="5:8" x14ac:dyDescent="0.3">
      <c r="E2849" s="5" t="s">
        <v>1907</v>
      </c>
      <c r="F2849" s="5" t="s">
        <v>111</v>
      </c>
      <c r="G2849" s="5" t="s">
        <v>2129</v>
      </c>
      <c r="H2849" s="5" t="s">
        <v>2130</v>
      </c>
    </row>
    <row r="2850" spans="5:8" x14ac:dyDescent="0.3">
      <c r="E2850" s="5" t="s">
        <v>1907</v>
      </c>
      <c r="F2850" s="5" t="s">
        <v>111</v>
      </c>
      <c r="G2850" s="5" t="s">
        <v>2131</v>
      </c>
      <c r="H2850" s="5" t="s">
        <v>2132</v>
      </c>
    </row>
    <row r="2851" spans="5:8" x14ac:dyDescent="0.3">
      <c r="E2851" s="5" t="s">
        <v>1907</v>
      </c>
      <c r="F2851" s="5" t="s">
        <v>111</v>
      </c>
      <c r="G2851" s="5" t="s">
        <v>2133</v>
      </c>
      <c r="H2851" s="5" t="s">
        <v>287</v>
      </c>
    </row>
    <row r="2852" spans="5:8" x14ac:dyDescent="0.3">
      <c r="E2852" s="5" t="s">
        <v>1907</v>
      </c>
      <c r="F2852" s="5" t="s">
        <v>111</v>
      </c>
      <c r="G2852" s="5" t="s">
        <v>2134</v>
      </c>
      <c r="H2852" s="5" t="s">
        <v>2135</v>
      </c>
    </row>
    <row r="2853" spans="5:8" x14ac:dyDescent="0.3">
      <c r="E2853" s="5" t="s">
        <v>1907</v>
      </c>
      <c r="F2853" s="5" t="s">
        <v>111</v>
      </c>
      <c r="G2853" s="5" t="s">
        <v>2136</v>
      </c>
      <c r="H2853" s="5" t="s">
        <v>1679</v>
      </c>
    </row>
    <row r="2854" spans="5:8" x14ac:dyDescent="0.3">
      <c r="E2854" s="5" t="s">
        <v>1907</v>
      </c>
      <c r="F2854" s="5" t="s">
        <v>111</v>
      </c>
      <c r="G2854" s="5" t="s">
        <v>2137</v>
      </c>
      <c r="H2854" s="5" t="s">
        <v>289</v>
      </c>
    </row>
    <row r="2855" spans="5:8" x14ac:dyDescent="0.3">
      <c r="E2855" s="5" t="s">
        <v>1907</v>
      </c>
      <c r="F2855" s="5" t="s">
        <v>111</v>
      </c>
      <c r="G2855" s="5" t="s">
        <v>2138</v>
      </c>
      <c r="H2855" s="5" t="s">
        <v>2139</v>
      </c>
    </row>
    <row r="2856" spans="5:8" x14ac:dyDescent="0.3">
      <c r="E2856" s="5" t="s">
        <v>1907</v>
      </c>
      <c r="F2856" s="5" t="s">
        <v>111</v>
      </c>
      <c r="G2856" s="5" t="s">
        <v>2140</v>
      </c>
      <c r="H2856" s="5" t="s">
        <v>2141</v>
      </c>
    </row>
    <row r="2857" spans="5:8" x14ac:dyDescent="0.3">
      <c r="E2857" s="5" t="s">
        <v>1907</v>
      </c>
      <c r="F2857" s="5" t="s">
        <v>111</v>
      </c>
      <c r="G2857" s="5" t="s">
        <v>2142</v>
      </c>
      <c r="H2857" s="5" t="s">
        <v>786</v>
      </c>
    </row>
    <row r="2858" spans="5:8" x14ac:dyDescent="0.3">
      <c r="E2858" s="5" t="s">
        <v>1907</v>
      </c>
      <c r="F2858" s="5" t="s">
        <v>111</v>
      </c>
      <c r="G2858" s="5" t="s">
        <v>2143</v>
      </c>
      <c r="H2858" s="5" t="s">
        <v>1045</v>
      </c>
    </row>
    <row r="2859" spans="5:8" x14ac:dyDescent="0.3">
      <c r="E2859" s="5" t="s">
        <v>1907</v>
      </c>
      <c r="F2859" s="5" t="s">
        <v>111</v>
      </c>
      <c r="G2859" s="5" t="s">
        <v>2144</v>
      </c>
      <c r="H2859" s="5" t="s">
        <v>2145</v>
      </c>
    </row>
    <row r="2860" spans="5:8" x14ac:dyDescent="0.3">
      <c r="E2860" s="5" t="s">
        <v>1907</v>
      </c>
      <c r="F2860" s="5" t="s">
        <v>111</v>
      </c>
      <c r="G2860" s="5" t="s">
        <v>2146</v>
      </c>
      <c r="H2860" s="5" t="s">
        <v>2147</v>
      </c>
    </row>
    <row r="2861" spans="5:8" x14ac:dyDescent="0.3">
      <c r="E2861" s="5" t="s">
        <v>1907</v>
      </c>
      <c r="F2861" s="5" t="s">
        <v>111</v>
      </c>
      <c r="G2861" s="5" t="s">
        <v>2148</v>
      </c>
      <c r="H2861" s="5" t="s">
        <v>889</v>
      </c>
    </row>
    <row r="2862" spans="5:8" x14ac:dyDescent="0.3">
      <c r="E2862" s="5" t="s">
        <v>1907</v>
      </c>
      <c r="F2862" s="5" t="s">
        <v>111</v>
      </c>
      <c r="G2862" s="5" t="s">
        <v>2149</v>
      </c>
      <c r="H2862" s="5" t="s">
        <v>1046</v>
      </c>
    </row>
    <row r="2863" spans="5:8" x14ac:dyDescent="0.3">
      <c r="E2863" s="5" t="s">
        <v>1907</v>
      </c>
      <c r="F2863" s="5" t="s">
        <v>111</v>
      </c>
      <c r="G2863" s="5" t="s">
        <v>2150</v>
      </c>
      <c r="H2863" s="5" t="s">
        <v>2151</v>
      </c>
    </row>
    <row r="2864" spans="5:8" x14ac:dyDescent="0.3">
      <c r="E2864" s="5" t="s">
        <v>1907</v>
      </c>
      <c r="F2864" s="5" t="s">
        <v>111</v>
      </c>
      <c r="G2864" s="5" t="s">
        <v>2152</v>
      </c>
      <c r="H2864" s="5" t="s">
        <v>2153</v>
      </c>
    </row>
    <row r="2865" spans="5:8" x14ac:dyDescent="0.3">
      <c r="E2865" s="5" t="s">
        <v>1907</v>
      </c>
      <c r="F2865" s="5" t="s">
        <v>111</v>
      </c>
      <c r="G2865" s="5" t="s">
        <v>2154</v>
      </c>
      <c r="H2865" s="5" t="s">
        <v>1715</v>
      </c>
    </row>
    <row r="2866" spans="5:8" x14ac:dyDescent="0.3">
      <c r="E2866" s="5" t="s">
        <v>1907</v>
      </c>
      <c r="F2866" s="5" t="s">
        <v>111</v>
      </c>
      <c r="G2866" s="5" t="s">
        <v>2155</v>
      </c>
      <c r="H2866" s="5" t="s">
        <v>2156</v>
      </c>
    </row>
    <row r="2867" spans="5:8" x14ac:dyDescent="0.3">
      <c r="E2867" s="5" t="s">
        <v>1907</v>
      </c>
      <c r="F2867" s="5" t="s">
        <v>111</v>
      </c>
      <c r="G2867" s="5" t="s">
        <v>2157</v>
      </c>
      <c r="H2867" s="5" t="s">
        <v>2158</v>
      </c>
    </row>
    <row r="2868" spans="5:8" x14ac:dyDescent="0.3">
      <c r="E2868" s="5" t="s">
        <v>1907</v>
      </c>
      <c r="F2868" s="5" t="s">
        <v>111</v>
      </c>
      <c r="G2868" s="5" t="s">
        <v>2159</v>
      </c>
      <c r="H2868" s="5" t="s">
        <v>2160</v>
      </c>
    </row>
    <row r="2869" spans="5:8" x14ac:dyDescent="0.3">
      <c r="E2869" s="5" t="s">
        <v>1907</v>
      </c>
      <c r="F2869" s="5" t="s">
        <v>111</v>
      </c>
      <c r="G2869" s="5" t="s">
        <v>2161</v>
      </c>
      <c r="H2869" s="5" t="s">
        <v>2162</v>
      </c>
    </row>
    <row r="2870" spans="5:8" x14ac:dyDescent="0.3">
      <c r="E2870" s="5" t="s">
        <v>158</v>
      </c>
      <c r="F2870" s="5" t="s">
        <v>159</v>
      </c>
      <c r="G2870" s="5" t="s">
        <v>2495</v>
      </c>
      <c r="H2870" s="5" t="s">
        <v>2496</v>
      </c>
    </row>
    <row r="2871" spans="5:8" x14ac:dyDescent="0.3">
      <c r="E2871" s="5" t="s">
        <v>2163</v>
      </c>
      <c r="F2871" s="5" t="s">
        <v>113</v>
      </c>
      <c r="G2871" s="5" t="s">
        <v>160</v>
      </c>
      <c r="H2871" s="5" t="s">
        <v>1720</v>
      </c>
    </row>
    <row r="2872" spans="5:8" x14ac:dyDescent="0.3">
      <c r="E2872" s="5" t="s">
        <v>2163</v>
      </c>
      <c r="F2872" s="5" t="s">
        <v>113</v>
      </c>
      <c r="G2872" s="5" t="s">
        <v>162</v>
      </c>
      <c r="H2872" s="5" t="s">
        <v>2164</v>
      </c>
    </row>
    <row r="2873" spans="5:8" x14ac:dyDescent="0.3">
      <c r="E2873" s="5" t="s">
        <v>2163</v>
      </c>
      <c r="F2873" s="5" t="s">
        <v>113</v>
      </c>
      <c r="G2873" s="5" t="s">
        <v>164</v>
      </c>
      <c r="H2873" s="5" t="s">
        <v>2165</v>
      </c>
    </row>
    <row r="2874" spans="5:8" x14ac:dyDescent="0.3">
      <c r="E2874" s="5" t="s">
        <v>2163</v>
      </c>
      <c r="F2874" s="5" t="s">
        <v>113</v>
      </c>
      <c r="G2874" s="5" t="s">
        <v>166</v>
      </c>
      <c r="H2874" s="5" t="s">
        <v>1419</v>
      </c>
    </row>
    <row r="2875" spans="5:8" x14ac:dyDescent="0.3">
      <c r="E2875" s="5" t="s">
        <v>2163</v>
      </c>
      <c r="F2875" s="5" t="s">
        <v>113</v>
      </c>
      <c r="G2875" s="5" t="s">
        <v>168</v>
      </c>
      <c r="H2875" s="5" t="s">
        <v>2166</v>
      </c>
    </row>
    <row r="2876" spans="5:8" x14ac:dyDescent="0.3">
      <c r="E2876" s="5" t="s">
        <v>2163</v>
      </c>
      <c r="F2876" s="5" t="s">
        <v>113</v>
      </c>
      <c r="G2876" s="5" t="s">
        <v>170</v>
      </c>
      <c r="H2876" s="5" t="s">
        <v>947</v>
      </c>
    </row>
    <row r="2877" spans="5:8" x14ac:dyDescent="0.3">
      <c r="E2877" s="5" t="s">
        <v>2163</v>
      </c>
      <c r="F2877" s="5" t="s">
        <v>113</v>
      </c>
      <c r="G2877" s="5" t="s">
        <v>172</v>
      </c>
      <c r="H2877" s="5" t="s">
        <v>2167</v>
      </c>
    </row>
    <row r="2878" spans="5:8" x14ac:dyDescent="0.3">
      <c r="E2878" s="5" t="s">
        <v>2163</v>
      </c>
      <c r="F2878" s="5" t="s">
        <v>113</v>
      </c>
      <c r="G2878" s="5" t="s">
        <v>174</v>
      </c>
      <c r="H2878" s="5" t="s">
        <v>2168</v>
      </c>
    </row>
    <row r="2879" spans="5:8" x14ac:dyDescent="0.3">
      <c r="E2879" s="5" t="s">
        <v>2163</v>
      </c>
      <c r="F2879" s="5" t="s">
        <v>113</v>
      </c>
      <c r="G2879" s="5" t="s">
        <v>176</v>
      </c>
      <c r="H2879" s="5" t="s">
        <v>511</v>
      </c>
    </row>
    <row r="2880" spans="5:8" x14ac:dyDescent="0.3">
      <c r="E2880" s="5" t="s">
        <v>2163</v>
      </c>
      <c r="F2880" s="5" t="s">
        <v>113</v>
      </c>
      <c r="G2880" s="5" t="s">
        <v>178</v>
      </c>
      <c r="H2880" s="5" t="s">
        <v>513</v>
      </c>
    </row>
    <row r="2881" spans="5:8" x14ac:dyDescent="0.3">
      <c r="E2881" s="5" t="s">
        <v>2163</v>
      </c>
      <c r="F2881" s="5" t="s">
        <v>113</v>
      </c>
      <c r="G2881" s="5" t="s">
        <v>180</v>
      </c>
      <c r="H2881" s="5" t="s">
        <v>1237</v>
      </c>
    </row>
    <row r="2882" spans="5:8" x14ac:dyDescent="0.3">
      <c r="E2882" s="5" t="s">
        <v>2163</v>
      </c>
      <c r="F2882" s="5" t="s">
        <v>113</v>
      </c>
      <c r="G2882" s="5" t="s">
        <v>182</v>
      </c>
      <c r="H2882" s="5" t="s">
        <v>2169</v>
      </c>
    </row>
    <row r="2883" spans="5:8" x14ac:dyDescent="0.3">
      <c r="E2883" s="5" t="s">
        <v>2163</v>
      </c>
      <c r="F2883" s="5" t="s">
        <v>113</v>
      </c>
      <c r="G2883" s="5" t="s">
        <v>184</v>
      </c>
      <c r="H2883" s="5" t="s">
        <v>860</v>
      </c>
    </row>
    <row r="2884" spans="5:8" x14ac:dyDescent="0.3">
      <c r="E2884" s="5" t="s">
        <v>2163</v>
      </c>
      <c r="F2884" s="5" t="s">
        <v>113</v>
      </c>
      <c r="G2884" s="5" t="s">
        <v>186</v>
      </c>
      <c r="H2884" s="5" t="s">
        <v>2170</v>
      </c>
    </row>
    <row r="2885" spans="5:8" x14ac:dyDescent="0.3">
      <c r="E2885" s="5" t="s">
        <v>2163</v>
      </c>
      <c r="F2885" s="5" t="s">
        <v>113</v>
      </c>
      <c r="G2885" s="5" t="s">
        <v>188</v>
      </c>
      <c r="H2885" s="5" t="s">
        <v>263</v>
      </c>
    </row>
    <row r="2886" spans="5:8" x14ac:dyDescent="0.3">
      <c r="E2886" s="5" t="s">
        <v>2163</v>
      </c>
      <c r="F2886" s="5" t="s">
        <v>113</v>
      </c>
      <c r="G2886" s="5" t="s">
        <v>190</v>
      </c>
      <c r="H2886" s="5" t="s">
        <v>2171</v>
      </c>
    </row>
    <row r="2887" spans="5:8" x14ac:dyDescent="0.3">
      <c r="E2887" s="5" t="s">
        <v>2163</v>
      </c>
      <c r="F2887" s="5" t="s">
        <v>113</v>
      </c>
      <c r="G2887" s="5" t="s">
        <v>192</v>
      </c>
      <c r="H2887" s="5" t="s">
        <v>2172</v>
      </c>
    </row>
    <row r="2888" spans="5:8" x14ac:dyDescent="0.3">
      <c r="E2888" s="5" t="s">
        <v>2163</v>
      </c>
      <c r="F2888" s="5" t="s">
        <v>113</v>
      </c>
      <c r="G2888" s="5" t="s">
        <v>194</v>
      </c>
      <c r="H2888" s="5" t="s">
        <v>2173</v>
      </c>
    </row>
    <row r="2889" spans="5:8" x14ac:dyDescent="0.3">
      <c r="E2889" s="5" t="s">
        <v>2163</v>
      </c>
      <c r="F2889" s="5" t="s">
        <v>113</v>
      </c>
      <c r="G2889" s="5" t="s">
        <v>196</v>
      </c>
      <c r="H2889" s="5" t="s">
        <v>537</v>
      </c>
    </row>
    <row r="2890" spans="5:8" x14ac:dyDescent="0.3">
      <c r="E2890" s="5" t="s">
        <v>2163</v>
      </c>
      <c r="F2890" s="5" t="s">
        <v>113</v>
      </c>
      <c r="G2890" s="5" t="s">
        <v>198</v>
      </c>
      <c r="H2890" s="5" t="s">
        <v>2174</v>
      </c>
    </row>
    <row r="2891" spans="5:8" x14ac:dyDescent="0.3">
      <c r="E2891" s="5" t="s">
        <v>2163</v>
      </c>
      <c r="F2891" s="5" t="s">
        <v>113</v>
      </c>
      <c r="G2891" s="5" t="s">
        <v>200</v>
      </c>
      <c r="H2891" s="5" t="s">
        <v>415</v>
      </c>
    </row>
    <row r="2892" spans="5:8" x14ac:dyDescent="0.3">
      <c r="E2892" s="5" t="s">
        <v>2163</v>
      </c>
      <c r="F2892" s="5" t="s">
        <v>113</v>
      </c>
      <c r="G2892" s="5" t="s">
        <v>202</v>
      </c>
      <c r="H2892" s="5" t="s">
        <v>540</v>
      </c>
    </row>
    <row r="2893" spans="5:8" x14ac:dyDescent="0.3">
      <c r="E2893" s="5" t="s">
        <v>2163</v>
      </c>
      <c r="F2893" s="5" t="s">
        <v>113</v>
      </c>
      <c r="G2893" s="5" t="s">
        <v>204</v>
      </c>
      <c r="H2893" s="5" t="s">
        <v>2175</v>
      </c>
    </row>
    <row r="2894" spans="5:8" x14ac:dyDescent="0.3">
      <c r="E2894" s="5" t="s">
        <v>2163</v>
      </c>
      <c r="F2894" s="5" t="s">
        <v>113</v>
      </c>
      <c r="G2894" s="5" t="s">
        <v>206</v>
      </c>
      <c r="H2894" s="5" t="s">
        <v>2176</v>
      </c>
    </row>
    <row r="2895" spans="5:8" x14ac:dyDescent="0.3">
      <c r="E2895" s="5" t="s">
        <v>2163</v>
      </c>
      <c r="F2895" s="5" t="s">
        <v>113</v>
      </c>
      <c r="G2895" s="5" t="s">
        <v>208</v>
      </c>
      <c r="H2895" s="5" t="s">
        <v>2177</v>
      </c>
    </row>
    <row r="2896" spans="5:8" x14ac:dyDescent="0.3">
      <c r="E2896" s="5" t="s">
        <v>2163</v>
      </c>
      <c r="F2896" s="5" t="s">
        <v>113</v>
      </c>
      <c r="G2896" s="5" t="s">
        <v>210</v>
      </c>
      <c r="H2896" s="5" t="s">
        <v>2178</v>
      </c>
    </row>
    <row r="2897" spans="5:8" x14ac:dyDescent="0.3">
      <c r="E2897" s="5" t="s">
        <v>2163</v>
      </c>
      <c r="F2897" s="5" t="s">
        <v>113</v>
      </c>
      <c r="G2897" s="5" t="s">
        <v>212</v>
      </c>
      <c r="H2897" s="5" t="s">
        <v>289</v>
      </c>
    </row>
    <row r="2898" spans="5:8" x14ac:dyDescent="0.3">
      <c r="E2898" s="5" t="s">
        <v>2163</v>
      </c>
      <c r="F2898" s="5" t="s">
        <v>113</v>
      </c>
      <c r="G2898" s="5" t="s">
        <v>214</v>
      </c>
      <c r="H2898" s="5" t="s">
        <v>782</v>
      </c>
    </row>
    <row r="2899" spans="5:8" x14ac:dyDescent="0.3">
      <c r="E2899" s="5" t="s">
        <v>2163</v>
      </c>
      <c r="F2899" s="5" t="s">
        <v>113</v>
      </c>
      <c r="G2899" s="5" t="s">
        <v>216</v>
      </c>
      <c r="H2899" s="5" t="s">
        <v>2179</v>
      </c>
    </row>
    <row r="2900" spans="5:8" x14ac:dyDescent="0.3">
      <c r="E2900" s="5" t="s">
        <v>2189</v>
      </c>
      <c r="F2900" s="5" t="s">
        <v>117</v>
      </c>
      <c r="G2900" s="5" t="s">
        <v>160</v>
      </c>
      <c r="H2900" s="5" t="s">
        <v>2190</v>
      </c>
    </row>
    <row r="2901" spans="5:8" x14ac:dyDescent="0.3">
      <c r="E2901" s="5" t="s">
        <v>2189</v>
      </c>
      <c r="F2901" s="5" t="s">
        <v>117</v>
      </c>
      <c r="G2901" s="5" t="s">
        <v>162</v>
      </c>
      <c r="H2901" s="5" t="s">
        <v>2191</v>
      </c>
    </row>
    <row r="2902" spans="5:8" x14ac:dyDescent="0.3">
      <c r="E2902" s="5" t="s">
        <v>2189</v>
      </c>
      <c r="F2902" s="5" t="s">
        <v>117</v>
      </c>
      <c r="G2902" s="5" t="s">
        <v>1198</v>
      </c>
      <c r="H2902" s="5" t="s">
        <v>2236</v>
      </c>
    </row>
    <row r="2903" spans="5:8" x14ac:dyDescent="0.3">
      <c r="E2903" s="5" t="s">
        <v>2189</v>
      </c>
      <c r="F2903" s="5" t="s">
        <v>117</v>
      </c>
      <c r="G2903" s="5" t="s">
        <v>164</v>
      </c>
      <c r="H2903" s="5" t="s">
        <v>1586</v>
      </c>
    </row>
    <row r="2904" spans="5:8" x14ac:dyDescent="0.3">
      <c r="E2904" s="5" t="s">
        <v>2189</v>
      </c>
      <c r="F2904" s="5" t="s">
        <v>117</v>
      </c>
      <c r="G2904" s="5" t="s">
        <v>166</v>
      </c>
      <c r="H2904" s="5" t="s">
        <v>2192</v>
      </c>
    </row>
    <row r="2905" spans="5:8" x14ac:dyDescent="0.3">
      <c r="E2905" s="5" t="s">
        <v>2189</v>
      </c>
      <c r="F2905" s="5" t="s">
        <v>117</v>
      </c>
      <c r="G2905" s="5" t="s">
        <v>168</v>
      </c>
      <c r="H2905" s="5" t="s">
        <v>2193</v>
      </c>
    </row>
    <row r="2906" spans="5:8" x14ac:dyDescent="0.3">
      <c r="E2906" s="5" t="s">
        <v>2189</v>
      </c>
      <c r="F2906" s="5" t="s">
        <v>117</v>
      </c>
      <c r="G2906" s="5" t="s">
        <v>170</v>
      </c>
      <c r="H2906" s="5" t="s">
        <v>2194</v>
      </c>
    </row>
    <row r="2907" spans="5:8" x14ac:dyDescent="0.3">
      <c r="E2907" s="5" t="s">
        <v>2189</v>
      </c>
      <c r="F2907" s="5" t="s">
        <v>117</v>
      </c>
      <c r="G2907" s="5" t="s">
        <v>172</v>
      </c>
      <c r="H2907" s="5" t="s">
        <v>2195</v>
      </c>
    </row>
    <row r="2908" spans="5:8" x14ac:dyDescent="0.3">
      <c r="E2908" s="5" t="s">
        <v>2189</v>
      </c>
      <c r="F2908" s="5" t="s">
        <v>117</v>
      </c>
      <c r="G2908" s="5" t="s">
        <v>174</v>
      </c>
      <c r="H2908" s="5" t="s">
        <v>2196</v>
      </c>
    </row>
    <row r="2909" spans="5:8" x14ac:dyDescent="0.3">
      <c r="E2909" s="5" t="s">
        <v>2189</v>
      </c>
      <c r="F2909" s="5" t="s">
        <v>117</v>
      </c>
      <c r="G2909" s="5" t="s">
        <v>176</v>
      </c>
      <c r="H2909" s="5" t="s">
        <v>1052</v>
      </c>
    </row>
    <row r="2910" spans="5:8" x14ac:dyDescent="0.3">
      <c r="E2910" s="5" t="s">
        <v>2189</v>
      </c>
      <c r="F2910" s="5" t="s">
        <v>117</v>
      </c>
      <c r="G2910" s="5" t="s">
        <v>2237</v>
      </c>
      <c r="H2910" s="5" t="s">
        <v>2238</v>
      </c>
    </row>
    <row r="2911" spans="5:8" x14ac:dyDescent="0.3">
      <c r="E2911" s="5" t="s">
        <v>2189</v>
      </c>
      <c r="F2911" s="5" t="s">
        <v>117</v>
      </c>
      <c r="G2911" s="5" t="s">
        <v>178</v>
      </c>
      <c r="H2911" s="5" t="s">
        <v>1780</v>
      </c>
    </row>
    <row r="2912" spans="5:8" x14ac:dyDescent="0.3">
      <c r="E2912" s="5" t="s">
        <v>2189</v>
      </c>
      <c r="F2912" s="5" t="s">
        <v>117</v>
      </c>
      <c r="G2912" s="5" t="s">
        <v>180</v>
      </c>
      <c r="H2912" s="5" t="s">
        <v>2197</v>
      </c>
    </row>
    <row r="2913" spans="5:8" x14ac:dyDescent="0.3">
      <c r="E2913" s="5" t="s">
        <v>2189</v>
      </c>
      <c r="F2913" s="5" t="s">
        <v>117</v>
      </c>
      <c r="G2913" s="5" t="s">
        <v>182</v>
      </c>
      <c r="H2913" s="5" t="s">
        <v>2198</v>
      </c>
    </row>
    <row r="2914" spans="5:8" x14ac:dyDescent="0.3">
      <c r="E2914" s="5" t="s">
        <v>2189</v>
      </c>
      <c r="F2914" s="5" t="s">
        <v>117</v>
      </c>
      <c r="G2914" s="5" t="s">
        <v>2239</v>
      </c>
      <c r="H2914" s="5" t="s">
        <v>2240</v>
      </c>
    </row>
    <row r="2915" spans="5:8" x14ac:dyDescent="0.3">
      <c r="E2915" s="5" t="s">
        <v>2189</v>
      </c>
      <c r="F2915" s="5" t="s">
        <v>117</v>
      </c>
      <c r="G2915" s="5" t="s">
        <v>184</v>
      </c>
      <c r="H2915" s="5" t="s">
        <v>1593</v>
      </c>
    </row>
    <row r="2916" spans="5:8" x14ac:dyDescent="0.3">
      <c r="E2916" s="5" t="s">
        <v>2189</v>
      </c>
      <c r="F2916" s="5" t="s">
        <v>117</v>
      </c>
      <c r="G2916" s="5" t="s">
        <v>186</v>
      </c>
      <c r="H2916" s="5" t="s">
        <v>942</v>
      </c>
    </row>
    <row r="2917" spans="5:8" x14ac:dyDescent="0.3">
      <c r="E2917" s="5" t="s">
        <v>2189</v>
      </c>
      <c r="F2917" s="5" t="s">
        <v>117</v>
      </c>
      <c r="G2917" s="5" t="s">
        <v>188</v>
      </c>
      <c r="H2917" s="5" t="s">
        <v>2199</v>
      </c>
    </row>
    <row r="2918" spans="5:8" x14ac:dyDescent="0.3">
      <c r="E2918" s="5" t="s">
        <v>2189</v>
      </c>
      <c r="F2918" s="5" t="s">
        <v>117</v>
      </c>
      <c r="G2918" s="5" t="s">
        <v>2241</v>
      </c>
      <c r="H2918" s="5" t="s">
        <v>2242</v>
      </c>
    </row>
    <row r="2919" spans="5:8" x14ac:dyDescent="0.3">
      <c r="E2919" s="5" t="s">
        <v>2189</v>
      </c>
      <c r="F2919" s="5" t="s">
        <v>117</v>
      </c>
      <c r="G2919" s="5" t="s">
        <v>190</v>
      </c>
      <c r="H2919" s="5" t="s">
        <v>1062</v>
      </c>
    </row>
    <row r="2920" spans="5:8" x14ac:dyDescent="0.3">
      <c r="E2920" s="5" t="s">
        <v>2189</v>
      </c>
      <c r="F2920" s="5" t="s">
        <v>117</v>
      </c>
      <c r="G2920" s="5" t="s">
        <v>192</v>
      </c>
      <c r="H2920" s="5" t="s">
        <v>1186</v>
      </c>
    </row>
    <row r="2921" spans="5:8" x14ac:dyDescent="0.3">
      <c r="E2921" s="5" t="s">
        <v>2189</v>
      </c>
      <c r="F2921" s="5" t="s">
        <v>117</v>
      </c>
      <c r="G2921" s="5" t="s">
        <v>194</v>
      </c>
      <c r="H2921" s="5" t="s">
        <v>372</v>
      </c>
    </row>
    <row r="2922" spans="5:8" x14ac:dyDescent="0.3">
      <c r="E2922" s="5" t="s">
        <v>2189</v>
      </c>
      <c r="F2922" s="5" t="s">
        <v>117</v>
      </c>
      <c r="G2922" s="5" t="s">
        <v>2200</v>
      </c>
      <c r="H2922" s="5" t="s">
        <v>2201</v>
      </c>
    </row>
    <row r="2923" spans="5:8" x14ac:dyDescent="0.3">
      <c r="E2923" s="5" t="s">
        <v>2189</v>
      </c>
      <c r="F2923" s="5" t="s">
        <v>117</v>
      </c>
      <c r="G2923" s="5" t="s">
        <v>196</v>
      </c>
      <c r="H2923" s="5" t="s">
        <v>563</v>
      </c>
    </row>
    <row r="2924" spans="5:8" x14ac:dyDescent="0.3">
      <c r="E2924" s="5" t="s">
        <v>2189</v>
      </c>
      <c r="F2924" s="5" t="s">
        <v>117</v>
      </c>
      <c r="G2924" s="5" t="s">
        <v>2243</v>
      </c>
      <c r="H2924" s="5" t="s">
        <v>2244</v>
      </c>
    </row>
    <row r="2925" spans="5:8" x14ac:dyDescent="0.3">
      <c r="E2925" s="5" t="s">
        <v>2189</v>
      </c>
      <c r="F2925" s="5" t="s">
        <v>117</v>
      </c>
      <c r="G2925" s="5" t="s">
        <v>2245</v>
      </c>
      <c r="H2925" s="5" t="s">
        <v>2246</v>
      </c>
    </row>
    <row r="2926" spans="5:8" x14ac:dyDescent="0.3">
      <c r="E2926" s="5" t="s">
        <v>2189</v>
      </c>
      <c r="F2926" s="5" t="s">
        <v>117</v>
      </c>
      <c r="G2926" s="5" t="s">
        <v>200</v>
      </c>
      <c r="H2926" s="5" t="s">
        <v>1822</v>
      </c>
    </row>
    <row r="2927" spans="5:8" x14ac:dyDescent="0.3">
      <c r="E2927" s="5" t="s">
        <v>2189</v>
      </c>
      <c r="F2927" s="5" t="s">
        <v>117</v>
      </c>
      <c r="G2927" s="5" t="s">
        <v>202</v>
      </c>
      <c r="H2927" s="5" t="s">
        <v>185</v>
      </c>
    </row>
    <row r="2928" spans="5:8" x14ac:dyDescent="0.3">
      <c r="E2928" s="5" t="s">
        <v>2189</v>
      </c>
      <c r="F2928" s="5" t="s">
        <v>117</v>
      </c>
      <c r="G2928" s="5" t="s">
        <v>2247</v>
      </c>
      <c r="H2928" s="5" t="s">
        <v>2248</v>
      </c>
    </row>
    <row r="2929" spans="5:8" x14ac:dyDescent="0.3">
      <c r="E2929" s="5" t="s">
        <v>2189</v>
      </c>
      <c r="F2929" s="5" t="s">
        <v>117</v>
      </c>
      <c r="G2929" s="5" t="s">
        <v>2249</v>
      </c>
      <c r="H2929" s="5" t="s">
        <v>2250</v>
      </c>
    </row>
    <row r="2930" spans="5:8" x14ac:dyDescent="0.3">
      <c r="E2930" s="5" t="s">
        <v>2189</v>
      </c>
      <c r="F2930" s="5" t="s">
        <v>117</v>
      </c>
      <c r="G2930" s="5" t="s">
        <v>204</v>
      </c>
      <c r="H2930" s="5" t="s">
        <v>1727</v>
      </c>
    </row>
    <row r="2931" spans="5:8" x14ac:dyDescent="0.3">
      <c r="E2931" s="5" t="s">
        <v>2189</v>
      </c>
      <c r="F2931" s="5" t="s">
        <v>117</v>
      </c>
      <c r="G2931" s="5" t="s">
        <v>206</v>
      </c>
      <c r="H2931" s="5" t="s">
        <v>2202</v>
      </c>
    </row>
    <row r="2932" spans="5:8" x14ac:dyDescent="0.3">
      <c r="E2932" s="5" t="s">
        <v>2189</v>
      </c>
      <c r="F2932" s="5" t="s">
        <v>117</v>
      </c>
      <c r="G2932" s="5" t="s">
        <v>208</v>
      </c>
      <c r="H2932" s="5" t="s">
        <v>847</v>
      </c>
    </row>
    <row r="2933" spans="5:8" x14ac:dyDescent="0.3">
      <c r="E2933" s="5" t="s">
        <v>2189</v>
      </c>
      <c r="F2933" s="5" t="s">
        <v>117</v>
      </c>
      <c r="G2933" s="5" t="s">
        <v>2251</v>
      </c>
      <c r="H2933" s="5" t="s">
        <v>2252</v>
      </c>
    </row>
    <row r="2934" spans="5:8" x14ac:dyDescent="0.3">
      <c r="E2934" s="5" t="s">
        <v>2189</v>
      </c>
      <c r="F2934" s="5" t="s">
        <v>117</v>
      </c>
      <c r="G2934" s="5" t="s">
        <v>210</v>
      </c>
      <c r="H2934" s="5" t="s">
        <v>2203</v>
      </c>
    </row>
    <row r="2935" spans="5:8" x14ac:dyDescent="0.3">
      <c r="E2935" s="5" t="s">
        <v>2189</v>
      </c>
      <c r="F2935" s="5" t="s">
        <v>117</v>
      </c>
      <c r="G2935" s="5" t="s">
        <v>212</v>
      </c>
      <c r="H2935" s="5" t="s">
        <v>2204</v>
      </c>
    </row>
    <row r="2936" spans="5:8" x14ac:dyDescent="0.3">
      <c r="E2936" s="5" t="s">
        <v>2189</v>
      </c>
      <c r="F2936" s="5" t="s">
        <v>117</v>
      </c>
      <c r="G2936" s="5" t="s">
        <v>2253</v>
      </c>
      <c r="H2936" s="5" t="s">
        <v>2254</v>
      </c>
    </row>
    <row r="2937" spans="5:8" x14ac:dyDescent="0.3">
      <c r="E2937" s="5" t="s">
        <v>2189</v>
      </c>
      <c r="F2937" s="5" t="s">
        <v>117</v>
      </c>
      <c r="G2937" s="5" t="s">
        <v>216</v>
      </c>
      <c r="H2937" s="5" t="s">
        <v>1204</v>
      </c>
    </row>
    <row r="2938" spans="5:8" x14ac:dyDescent="0.3">
      <c r="E2938" s="5" t="s">
        <v>2189</v>
      </c>
      <c r="F2938" s="5" t="s">
        <v>117</v>
      </c>
      <c r="G2938" s="5" t="s">
        <v>2255</v>
      </c>
      <c r="H2938" s="5" t="s">
        <v>2256</v>
      </c>
    </row>
    <row r="2939" spans="5:8" x14ac:dyDescent="0.3">
      <c r="E2939" s="5" t="s">
        <v>2189</v>
      </c>
      <c r="F2939" s="5" t="s">
        <v>117</v>
      </c>
      <c r="G2939" s="5" t="s">
        <v>218</v>
      </c>
      <c r="H2939" s="5" t="s">
        <v>2205</v>
      </c>
    </row>
    <row r="2940" spans="5:8" x14ac:dyDescent="0.3">
      <c r="E2940" s="5" t="s">
        <v>2189</v>
      </c>
      <c r="F2940" s="5" t="s">
        <v>117</v>
      </c>
      <c r="G2940" s="5" t="s">
        <v>2257</v>
      </c>
      <c r="H2940" s="5" t="s">
        <v>2258</v>
      </c>
    </row>
    <row r="2941" spans="5:8" x14ac:dyDescent="0.3">
      <c r="E2941" s="5" t="s">
        <v>2189</v>
      </c>
      <c r="F2941" s="5" t="s">
        <v>117</v>
      </c>
      <c r="G2941" s="5" t="s">
        <v>220</v>
      </c>
      <c r="H2941" s="5" t="s">
        <v>2206</v>
      </c>
    </row>
    <row r="2942" spans="5:8" x14ac:dyDescent="0.3">
      <c r="E2942" s="5" t="s">
        <v>2189</v>
      </c>
      <c r="F2942" s="5" t="s">
        <v>117</v>
      </c>
      <c r="G2942" s="5" t="s">
        <v>222</v>
      </c>
      <c r="H2942" s="5" t="s">
        <v>649</v>
      </c>
    </row>
    <row r="2943" spans="5:8" x14ac:dyDescent="0.3">
      <c r="E2943" s="5" t="s">
        <v>2189</v>
      </c>
      <c r="F2943" s="5" t="s">
        <v>117</v>
      </c>
      <c r="G2943" s="5" t="s">
        <v>224</v>
      </c>
      <c r="H2943" s="5" t="s">
        <v>2207</v>
      </c>
    </row>
    <row r="2944" spans="5:8" x14ac:dyDescent="0.3">
      <c r="E2944" s="5" t="s">
        <v>2189</v>
      </c>
      <c r="F2944" s="5" t="s">
        <v>117</v>
      </c>
      <c r="G2944" s="5" t="s">
        <v>2259</v>
      </c>
      <c r="H2944" s="5" t="s">
        <v>2260</v>
      </c>
    </row>
    <row r="2945" spans="5:8" x14ac:dyDescent="0.3">
      <c r="E2945" s="5" t="s">
        <v>2189</v>
      </c>
      <c r="F2945" s="5" t="s">
        <v>117</v>
      </c>
      <c r="G2945" s="5" t="s">
        <v>226</v>
      </c>
      <c r="H2945" s="5" t="s">
        <v>219</v>
      </c>
    </row>
    <row r="2946" spans="5:8" x14ac:dyDescent="0.3">
      <c r="E2946" s="5" t="s">
        <v>2189</v>
      </c>
      <c r="F2946" s="5" t="s">
        <v>117</v>
      </c>
      <c r="G2946" s="5" t="s">
        <v>228</v>
      </c>
      <c r="H2946" s="5" t="s">
        <v>1190</v>
      </c>
    </row>
    <row r="2947" spans="5:8" x14ac:dyDescent="0.3">
      <c r="E2947" s="5" t="s">
        <v>2189</v>
      </c>
      <c r="F2947" s="5" t="s">
        <v>117</v>
      </c>
      <c r="G2947" s="5" t="s">
        <v>2261</v>
      </c>
      <c r="H2947" s="5" t="s">
        <v>2262</v>
      </c>
    </row>
    <row r="2948" spans="5:8" x14ac:dyDescent="0.3">
      <c r="E2948" s="5" t="s">
        <v>2189</v>
      </c>
      <c r="F2948" s="5" t="s">
        <v>117</v>
      </c>
      <c r="G2948" s="5" t="s">
        <v>2263</v>
      </c>
      <c r="H2948" s="5" t="s">
        <v>2264</v>
      </c>
    </row>
    <row r="2949" spans="5:8" x14ac:dyDescent="0.3">
      <c r="E2949" s="5" t="s">
        <v>2189</v>
      </c>
      <c r="F2949" s="5" t="s">
        <v>117</v>
      </c>
      <c r="G2949" s="5" t="s">
        <v>230</v>
      </c>
      <c r="H2949" s="5" t="s">
        <v>1889</v>
      </c>
    </row>
    <row r="2950" spans="5:8" x14ac:dyDescent="0.3">
      <c r="E2950" s="5" t="s">
        <v>2189</v>
      </c>
      <c r="F2950" s="5" t="s">
        <v>117</v>
      </c>
      <c r="G2950" s="5" t="s">
        <v>232</v>
      </c>
      <c r="H2950" s="5" t="s">
        <v>1518</v>
      </c>
    </row>
    <row r="2951" spans="5:8" x14ac:dyDescent="0.3">
      <c r="E2951" s="5" t="s">
        <v>2189</v>
      </c>
      <c r="F2951" s="5" t="s">
        <v>117</v>
      </c>
      <c r="G2951" s="5" t="s">
        <v>234</v>
      </c>
      <c r="H2951" s="5" t="s">
        <v>2208</v>
      </c>
    </row>
    <row r="2952" spans="5:8" x14ac:dyDescent="0.3">
      <c r="E2952" s="5" t="s">
        <v>2189</v>
      </c>
      <c r="F2952" s="5" t="s">
        <v>117</v>
      </c>
      <c r="G2952" s="5" t="s">
        <v>236</v>
      </c>
      <c r="H2952" s="5" t="s">
        <v>1072</v>
      </c>
    </row>
    <row r="2953" spans="5:8" x14ac:dyDescent="0.3">
      <c r="E2953" s="5" t="s">
        <v>2189</v>
      </c>
      <c r="F2953" s="5" t="s">
        <v>117</v>
      </c>
      <c r="G2953" s="5" t="s">
        <v>238</v>
      </c>
      <c r="H2953" s="5" t="s">
        <v>223</v>
      </c>
    </row>
    <row r="2954" spans="5:8" x14ac:dyDescent="0.3">
      <c r="E2954" s="5" t="s">
        <v>2189</v>
      </c>
      <c r="F2954" s="5" t="s">
        <v>117</v>
      </c>
      <c r="G2954" s="5" t="s">
        <v>240</v>
      </c>
      <c r="H2954" s="5" t="s">
        <v>2209</v>
      </c>
    </row>
    <row r="2955" spans="5:8" x14ac:dyDescent="0.3">
      <c r="E2955" s="5" t="s">
        <v>2189</v>
      </c>
      <c r="F2955" s="5" t="s">
        <v>117</v>
      </c>
      <c r="G2955" s="5" t="s">
        <v>242</v>
      </c>
      <c r="H2955" s="5" t="s">
        <v>1613</v>
      </c>
    </row>
    <row r="2956" spans="5:8" x14ac:dyDescent="0.3">
      <c r="E2956" s="5" t="s">
        <v>2189</v>
      </c>
      <c r="F2956" s="5" t="s">
        <v>117</v>
      </c>
      <c r="G2956" s="5" t="s">
        <v>2265</v>
      </c>
      <c r="H2956" s="5" t="s">
        <v>2266</v>
      </c>
    </row>
    <row r="2957" spans="5:8" x14ac:dyDescent="0.3">
      <c r="E2957" s="5" t="s">
        <v>2189</v>
      </c>
      <c r="F2957" s="5" t="s">
        <v>117</v>
      </c>
      <c r="G2957" s="5" t="s">
        <v>244</v>
      </c>
      <c r="H2957" s="5" t="s">
        <v>2210</v>
      </c>
    </row>
    <row r="2958" spans="5:8" x14ac:dyDescent="0.3">
      <c r="E2958" s="5" t="s">
        <v>2189</v>
      </c>
      <c r="F2958" s="5" t="s">
        <v>117</v>
      </c>
      <c r="G2958" s="5" t="s">
        <v>2267</v>
      </c>
      <c r="H2958" s="5" t="s">
        <v>2268</v>
      </c>
    </row>
    <row r="2959" spans="5:8" x14ac:dyDescent="0.3">
      <c r="E2959" s="5" t="s">
        <v>2189</v>
      </c>
      <c r="F2959" s="5" t="s">
        <v>117</v>
      </c>
      <c r="G2959" s="5" t="s">
        <v>246</v>
      </c>
      <c r="H2959" s="5" t="s">
        <v>2211</v>
      </c>
    </row>
    <row r="2960" spans="5:8" x14ac:dyDescent="0.3">
      <c r="E2960" s="5" t="s">
        <v>2189</v>
      </c>
      <c r="F2960" s="5" t="s">
        <v>117</v>
      </c>
      <c r="G2960" s="5" t="s">
        <v>248</v>
      </c>
      <c r="H2960" s="5" t="s">
        <v>227</v>
      </c>
    </row>
    <row r="2961" spans="5:8" x14ac:dyDescent="0.3">
      <c r="E2961" s="5" t="s">
        <v>2189</v>
      </c>
      <c r="F2961" s="5" t="s">
        <v>117</v>
      </c>
      <c r="G2961" s="5" t="s">
        <v>250</v>
      </c>
      <c r="H2961" s="5" t="s">
        <v>1696</v>
      </c>
    </row>
    <row r="2962" spans="5:8" x14ac:dyDescent="0.3">
      <c r="E2962" s="5" t="s">
        <v>2189</v>
      </c>
      <c r="F2962" s="5" t="s">
        <v>117</v>
      </c>
      <c r="G2962" s="5" t="s">
        <v>2269</v>
      </c>
      <c r="H2962" s="5" t="s">
        <v>2270</v>
      </c>
    </row>
    <row r="2963" spans="5:8" x14ac:dyDescent="0.3">
      <c r="E2963" s="5" t="s">
        <v>2189</v>
      </c>
      <c r="F2963" s="5" t="s">
        <v>117</v>
      </c>
      <c r="G2963" s="5" t="s">
        <v>252</v>
      </c>
      <c r="H2963" s="5" t="s">
        <v>2212</v>
      </c>
    </row>
    <row r="2964" spans="5:8" x14ac:dyDescent="0.3">
      <c r="E2964" s="5" t="s">
        <v>2189</v>
      </c>
      <c r="F2964" s="5" t="s">
        <v>117</v>
      </c>
      <c r="G2964" s="5" t="s">
        <v>254</v>
      </c>
      <c r="H2964" s="5" t="s">
        <v>2213</v>
      </c>
    </row>
    <row r="2965" spans="5:8" x14ac:dyDescent="0.3">
      <c r="E2965" s="5" t="s">
        <v>2189</v>
      </c>
      <c r="F2965" s="5" t="s">
        <v>117</v>
      </c>
      <c r="G2965" s="5" t="s">
        <v>256</v>
      </c>
      <c r="H2965" s="5" t="s">
        <v>2214</v>
      </c>
    </row>
    <row r="2966" spans="5:8" x14ac:dyDescent="0.3">
      <c r="E2966" s="5" t="s">
        <v>2189</v>
      </c>
      <c r="F2966" s="5" t="s">
        <v>117</v>
      </c>
      <c r="G2966" s="5" t="s">
        <v>258</v>
      </c>
      <c r="H2966" s="5" t="s">
        <v>2215</v>
      </c>
    </row>
    <row r="2967" spans="5:8" x14ac:dyDescent="0.3">
      <c r="E2967" s="5" t="s">
        <v>2189</v>
      </c>
      <c r="F2967" s="5" t="s">
        <v>117</v>
      </c>
      <c r="G2967" s="5" t="s">
        <v>260</v>
      </c>
      <c r="H2967" s="5" t="s">
        <v>2216</v>
      </c>
    </row>
    <row r="2968" spans="5:8" x14ac:dyDescent="0.3">
      <c r="E2968" s="5" t="s">
        <v>2189</v>
      </c>
      <c r="F2968" s="5" t="s">
        <v>117</v>
      </c>
      <c r="G2968" s="5" t="s">
        <v>262</v>
      </c>
      <c r="H2968" s="5" t="s">
        <v>1478</v>
      </c>
    </row>
    <row r="2969" spans="5:8" x14ac:dyDescent="0.3">
      <c r="E2969" s="5" t="s">
        <v>2189</v>
      </c>
      <c r="F2969" s="5" t="s">
        <v>117</v>
      </c>
      <c r="G2969" s="5" t="s">
        <v>264</v>
      </c>
      <c r="H2969" s="5" t="s">
        <v>241</v>
      </c>
    </row>
    <row r="2970" spans="5:8" x14ac:dyDescent="0.3">
      <c r="E2970" s="5" t="s">
        <v>2189</v>
      </c>
      <c r="F2970" s="5" t="s">
        <v>117</v>
      </c>
      <c r="G2970" s="5" t="s">
        <v>2271</v>
      </c>
      <c r="H2970" s="5" t="s">
        <v>2272</v>
      </c>
    </row>
    <row r="2971" spans="5:8" x14ac:dyDescent="0.3">
      <c r="E2971" s="5" t="s">
        <v>2189</v>
      </c>
      <c r="F2971" s="5" t="s">
        <v>117</v>
      </c>
      <c r="G2971" s="5" t="s">
        <v>266</v>
      </c>
      <c r="H2971" s="5" t="s">
        <v>2217</v>
      </c>
    </row>
    <row r="2972" spans="5:8" x14ac:dyDescent="0.3">
      <c r="E2972" s="5" t="s">
        <v>2189</v>
      </c>
      <c r="F2972" s="5" t="s">
        <v>117</v>
      </c>
      <c r="G2972" s="5" t="s">
        <v>268</v>
      </c>
      <c r="H2972" s="5" t="s">
        <v>958</v>
      </c>
    </row>
    <row r="2973" spans="5:8" x14ac:dyDescent="0.3">
      <c r="E2973" s="5" t="s">
        <v>2189</v>
      </c>
      <c r="F2973" s="5" t="s">
        <v>117</v>
      </c>
      <c r="G2973" s="5" t="s">
        <v>270</v>
      </c>
      <c r="H2973" s="5" t="s">
        <v>2218</v>
      </c>
    </row>
    <row r="2974" spans="5:8" x14ac:dyDescent="0.3">
      <c r="E2974" s="5" t="s">
        <v>2189</v>
      </c>
      <c r="F2974" s="5" t="s">
        <v>117</v>
      </c>
      <c r="G2974" s="5" t="s">
        <v>2273</v>
      </c>
      <c r="H2974" s="5" t="s">
        <v>2274</v>
      </c>
    </row>
    <row r="2975" spans="5:8" x14ac:dyDescent="0.3">
      <c r="E2975" s="5" t="s">
        <v>2189</v>
      </c>
      <c r="F2975" s="5" t="s">
        <v>117</v>
      </c>
      <c r="G2975" s="5" t="s">
        <v>272</v>
      </c>
      <c r="H2975" s="5" t="s">
        <v>249</v>
      </c>
    </row>
    <row r="2976" spans="5:8" x14ac:dyDescent="0.3">
      <c r="E2976" s="5" t="s">
        <v>2189</v>
      </c>
      <c r="F2976" s="5" t="s">
        <v>117</v>
      </c>
      <c r="G2976" s="5" t="s">
        <v>2275</v>
      </c>
      <c r="H2976" s="5" t="s">
        <v>2276</v>
      </c>
    </row>
    <row r="2977" spans="5:8" x14ac:dyDescent="0.3">
      <c r="E2977" s="5" t="s">
        <v>2189</v>
      </c>
      <c r="F2977" s="5" t="s">
        <v>117</v>
      </c>
      <c r="G2977" s="5" t="s">
        <v>2277</v>
      </c>
      <c r="H2977" s="5" t="s">
        <v>2278</v>
      </c>
    </row>
    <row r="2978" spans="5:8" x14ac:dyDescent="0.3">
      <c r="E2978" s="5" t="s">
        <v>2189</v>
      </c>
      <c r="F2978" s="5" t="s">
        <v>117</v>
      </c>
      <c r="G2978" s="5" t="s">
        <v>2279</v>
      </c>
      <c r="H2978" s="5" t="s">
        <v>2280</v>
      </c>
    </row>
    <row r="2979" spans="5:8" x14ac:dyDescent="0.3">
      <c r="E2979" s="5" t="s">
        <v>2189</v>
      </c>
      <c r="F2979" s="5" t="s">
        <v>117</v>
      </c>
      <c r="G2979" s="5" t="s">
        <v>274</v>
      </c>
      <c r="H2979" s="5" t="s">
        <v>2219</v>
      </c>
    </row>
    <row r="2980" spans="5:8" x14ac:dyDescent="0.3">
      <c r="E2980" s="5" t="s">
        <v>2189</v>
      </c>
      <c r="F2980" s="5" t="s">
        <v>117</v>
      </c>
      <c r="G2980" s="5" t="s">
        <v>276</v>
      </c>
      <c r="H2980" s="5" t="s">
        <v>1623</v>
      </c>
    </row>
    <row r="2981" spans="5:8" x14ac:dyDescent="0.3">
      <c r="E2981" s="5" t="s">
        <v>2189</v>
      </c>
      <c r="F2981" s="5" t="s">
        <v>117</v>
      </c>
      <c r="G2981" s="5" t="s">
        <v>278</v>
      </c>
      <c r="H2981" s="5" t="s">
        <v>546</v>
      </c>
    </row>
    <row r="2982" spans="5:8" x14ac:dyDescent="0.3">
      <c r="E2982" s="5" t="s">
        <v>2189</v>
      </c>
      <c r="F2982" s="5" t="s">
        <v>117</v>
      </c>
      <c r="G2982" s="5" t="s">
        <v>280</v>
      </c>
      <c r="H2982" s="5" t="s">
        <v>261</v>
      </c>
    </row>
    <row r="2983" spans="5:8" x14ac:dyDescent="0.3">
      <c r="E2983" s="5" t="s">
        <v>2189</v>
      </c>
      <c r="F2983" s="5" t="s">
        <v>117</v>
      </c>
      <c r="G2983" s="5" t="s">
        <v>284</v>
      </c>
      <c r="H2983" s="5" t="s">
        <v>1091</v>
      </c>
    </row>
    <row r="2984" spans="5:8" x14ac:dyDescent="0.3">
      <c r="E2984" s="5" t="s">
        <v>2189</v>
      </c>
      <c r="F2984" s="5" t="s">
        <v>117</v>
      </c>
      <c r="G2984" s="5" t="s">
        <v>286</v>
      </c>
      <c r="H2984" s="5" t="s">
        <v>2220</v>
      </c>
    </row>
    <row r="2985" spans="5:8" x14ac:dyDescent="0.3">
      <c r="E2985" s="5" t="s">
        <v>2189</v>
      </c>
      <c r="F2985" s="5" t="s">
        <v>117</v>
      </c>
      <c r="G2985" s="5" t="s">
        <v>2281</v>
      </c>
      <c r="H2985" s="5" t="s">
        <v>2282</v>
      </c>
    </row>
    <row r="2986" spans="5:8" x14ac:dyDescent="0.3">
      <c r="E2986" s="5" t="s">
        <v>2189</v>
      </c>
      <c r="F2986" s="5" t="s">
        <v>117</v>
      </c>
      <c r="G2986" s="5" t="s">
        <v>2283</v>
      </c>
      <c r="H2986" s="5" t="s">
        <v>2284</v>
      </c>
    </row>
    <row r="2987" spans="5:8" x14ac:dyDescent="0.3">
      <c r="E2987" s="5" t="s">
        <v>2189</v>
      </c>
      <c r="F2987" s="5" t="s">
        <v>117</v>
      </c>
      <c r="G2987" s="5" t="s">
        <v>290</v>
      </c>
      <c r="H2987" s="5" t="s">
        <v>1627</v>
      </c>
    </row>
    <row r="2988" spans="5:8" x14ac:dyDescent="0.3">
      <c r="E2988" s="5" t="s">
        <v>2189</v>
      </c>
      <c r="F2988" s="5" t="s">
        <v>117</v>
      </c>
      <c r="G2988" s="5" t="s">
        <v>292</v>
      </c>
      <c r="H2988" s="5" t="s">
        <v>1803</v>
      </c>
    </row>
    <row r="2989" spans="5:8" x14ac:dyDescent="0.3">
      <c r="E2989" s="5" t="s">
        <v>2189</v>
      </c>
      <c r="F2989" s="5" t="s">
        <v>117</v>
      </c>
      <c r="G2989" s="5" t="s">
        <v>2285</v>
      </c>
      <c r="H2989" s="5" t="s">
        <v>2286</v>
      </c>
    </row>
    <row r="2990" spans="5:8" x14ac:dyDescent="0.3">
      <c r="E2990" s="5" t="s">
        <v>2189</v>
      </c>
      <c r="F2990" s="5" t="s">
        <v>117</v>
      </c>
      <c r="G2990" s="5" t="s">
        <v>416</v>
      </c>
      <c r="H2990" s="5" t="s">
        <v>2221</v>
      </c>
    </row>
    <row r="2991" spans="5:8" x14ac:dyDescent="0.3">
      <c r="E2991" s="5" t="s">
        <v>2189</v>
      </c>
      <c r="F2991" s="5" t="s">
        <v>117</v>
      </c>
      <c r="G2991" s="5" t="s">
        <v>418</v>
      </c>
      <c r="H2991" s="5" t="s">
        <v>459</v>
      </c>
    </row>
    <row r="2992" spans="5:8" x14ac:dyDescent="0.3">
      <c r="E2992" s="5" t="s">
        <v>2189</v>
      </c>
      <c r="F2992" s="5" t="s">
        <v>117</v>
      </c>
      <c r="G2992" s="5" t="s">
        <v>420</v>
      </c>
      <c r="H2992" s="5" t="s">
        <v>966</v>
      </c>
    </row>
    <row r="2993" spans="5:8" x14ac:dyDescent="0.3">
      <c r="E2993" s="5" t="s">
        <v>2189</v>
      </c>
      <c r="F2993" s="5" t="s">
        <v>117</v>
      </c>
      <c r="G2993" s="5" t="s">
        <v>422</v>
      </c>
      <c r="H2993" s="5" t="s">
        <v>2222</v>
      </c>
    </row>
    <row r="2994" spans="5:8" x14ac:dyDescent="0.3">
      <c r="E2994" s="5" t="s">
        <v>2189</v>
      </c>
      <c r="F2994" s="5" t="s">
        <v>117</v>
      </c>
      <c r="G2994" s="5" t="s">
        <v>2287</v>
      </c>
      <c r="H2994" s="5" t="s">
        <v>2288</v>
      </c>
    </row>
    <row r="2995" spans="5:8" x14ac:dyDescent="0.3">
      <c r="E2995" s="5" t="s">
        <v>2189</v>
      </c>
      <c r="F2995" s="5" t="s">
        <v>117</v>
      </c>
      <c r="G2995" s="5" t="s">
        <v>424</v>
      </c>
      <c r="H2995" s="5" t="s">
        <v>2223</v>
      </c>
    </row>
    <row r="2996" spans="5:8" x14ac:dyDescent="0.3">
      <c r="E2996" s="5" t="s">
        <v>2189</v>
      </c>
      <c r="F2996" s="5" t="s">
        <v>117</v>
      </c>
      <c r="G2996" s="5" t="s">
        <v>2289</v>
      </c>
      <c r="H2996" s="5" t="s">
        <v>2290</v>
      </c>
    </row>
    <row r="2997" spans="5:8" x14ac:dyDescent="0.3">
      <c r="E2997" s="5" t="s">
        <v>2189</v>
      </c>
      <c r="F2997" s="5" t="s">
        <v>117</v>
      </c>
      <c r="G2997" s="5" t="s">
        <v>2291</v>
      </c>
      <c r="H2997" s="5" t="s">
        <v>2292</v>
      </c>
    </row>
    <row r="2998" spans="5:8" x14ac:dyDescent="0.3">
      <c r="E2998" s="5" t="s">
        <v>2189</v>
      </c>
      <c r="F2998" s="5" t="s">
        <v>117</v>
      </c>
      <c r="G2998" s="5" t="s">
        <v>425</v>
      </c>
      <c r="H2998" s="5" t="s">
        <v>2224</v>
      </c>
    </row>
    <row r="2999" spans="5:8" x14ac:dyDescent="0.3">
      <c r="E2999" s="5" t="s">
        <v>2189</v>
      </c>
      <c r="F2999" s="5" t="s">
        <v>117</v>
      </c>
      <c r="G2999" s="5" t="s">
        <v>427</v>
      </c>
      <c r="H2999" s="5" t="s">
        <v>2225</v>
      </c>
    </row>
    <row r="3000" spans="5:8" x14ac:dyDescent="0.3">
      <c r="E3000" s="5" t="s">
        <v>2189</v>
      </c>
      <c r="F3000" s="5" t="s">
        <v>117</v>
      </c>
      <c r="G3000" s="5" t="s">
        <v>429</v>
      </c>
      <c r="H3000" s="5" t="s">
        <v>2226</v>
      </c>
    </row>
    <row r="3001" spans="5:8" x14ac:dyDescent="0.3">
      <c r="E3001" s="5" t="s">
        <v>2189</v>
      </c>
      <c r="F3001" s="5" t="s">
        <v>117</v>
      </c>
      <c r="G3001" s="5" t="s">
        <v>665</v>
      </c>
      <c r="H3001" s="5" t="s">
        <v>2227</v>
      </c>
    </row>
    <row r="3002" spans="5:8" x14ac:dyDescent="0.3">
      <c r="E3002" s="5" t="s">
        <v>2189</v>
      </c>
      <c r="F3002" s="5" t="s">
        <v>117</v>
      </c>
      <c r="G3002" s="5" t="s">
        <v>666</v>
      </c>
      <c r="H3002" s="5" t="s">
        <v>409</v>
      </c>
    </row>
    <row r="3003" spans="5:8" x14ac:dyDescent="0.3">
      <c r="E3003" s="5" t="s">
        <v>2189</v>
      </c>
      <c r="F3003" s="5" t="s">
        <v>117</v>
      </c>
      <c r="G3003" s="5" t="s">
        <v>2293</v>
      </c>
      <c r="H3003" s="5" t="s">
        <v>2294</v>
      </c>
    </row>
    <row r="3004" spans="5:8" x14ac:dyDescent="0.3">
      <c r="E3004" s="5" t="s">
        <v>2189</v>
      </c>
      <c r="F3004" s="5" t="s">
        <v>117</v>
      </c>
      <c r="G3004" s="5" t="s">
        <v>668</v>
      </c>
      <c r="H3004" s="5" t="s">
        <v>2228</v>
      </c>
    </row>
    <row r="3005" spans="5:8" x14ac:dyDescent="0.3">
      <c r="E3005" s="5" t="s">
        <v>2189</v>
      </c>
      <c r="F3005" s="5" t="s">
        <v>117</v>
      </c>
      <c r="G3005" s="5" t="s">
        <v>2295</v>
      </c>
      <c r="H3005" s="5" t="s">
        <v>2296</v>
      </c>
    </row>
    <row r="3006" spans="5:8" x14ac:dyDescent="0.3">
      <c r="E3006" s="5" t="s">
        <v>2189</v>
      </c>
      <c r="F3006" s="5" t="s">
        <v>117</v>
      </c>
      <c r="G3006" s="5" t="s">
        <v>669</v>
      </c>
      <c r="H3006" s="5" t="s">
        <v>731</v>
      </c>
    </row>
    <row r="3007" spans="5:8" x14ac:dyDescent="0.3">
      <c r="E3007" s="5" t="s">
        <v>2189</v>
      </c>
      <c r="F3007" s="5" t="s">
        <v>117</v>
      </c>
      <c r="G3007" s="5" t="s">
        <v>2297</v>
      </c>
      <c r="H3007" s="5" t="s">
        <v>2298</v>
      </c>
    </row>
    <row r="3008" spans="5:8" x14ac:dyDescent="0.3">
      <c r="E3008" s="5" t="s">
        <v>2189</v>
      </c>
      <c r="F3008" s="5" t="s">
        <v>117</v>
      </c>
      <c r="G3008" s="5" t="s">
        <v>671</v>
      </c>
      <c r="H3008" s="5" t="s">
        <v>2229</v>
      </c>
    </row>
    <row r="3009" spans="5:8" x14ac:dyDescent="0.3">
      <c r="E3009" s="5" t="s">
        <v>2189</v>
      </c>
      <c r="F3009" s="5" t="s">
        <v>117</v>
      </c>
      <c r="G3009" s="5" t="s">
        <v>673</v>
      </c>
      <c r="H3009" s="5" t="s">
        <v>2230</v>
      </c>
    </row>
    <row r="3010" spans="5:8" x14ac:dyDescent="0.3">
      <c r="E3010" s="5" t="s">
        <v>2189</v>
      </c>
      <c r="F3010" s="5" t="s">
        <v>117</v>
      </c>
      <c r="G3010" s="5" t="s">
        <v>674</v>
      </c>
      <c r="H3010" s="5" t="s">
        <v>1511</v>
      </c>
    </row>
    <row r="3011" spans="5:8" x14ac:dyDescent="0.3">
      <c r="E3011" s="5" t="s">
        <v>2189</v>
      </c>
      <c r="F3011" s="5" t="s">
        <v>117</v>
      </c>
      <c r="G3011" s="5" t="s">
        <v>676</v>
      </c>
      <c r="H3011" s="5" t="s">
        <v>273</v>
      </c>
    </row>
    <row r="3012" spans="5:8" x14ac:dyDescent="0.3">
      <c r="E3012" s="5" t="s">
        <v>2189</v>
      </c>
      <c r="F3012" s="5" t="s">
        <v>117</v>
      </c>
      <c r="G3012" s="5" t="s">
        <v>2299</v>
      </c>
      <c r="H3012" s="5" t="s">
        <v>2300</v>
      </c>
    </row>
    <row r="3013" spans="5:8" x14ac:dyDescent="0.3">
      <c r="E3013" s="5" t="s">
        <v>2189</v>
      </c>
      <c r="F3013" s="5" t="s">
        <v>117</v>
      </c>
      <c r="G3013" s="5" t="s">
        <v>677</v>
      </c>
      <c r="H3013" s="5" t="s">
        <v>412</v>
      </c>
    </row>
    <row r="3014" spans="5:8" x14ac:dyDescent="0.3">
      <c r="E3014" s="5" t="s">
        <v>2189</v>
      </c>
      <c r="F3014" s="5" t="s">
        <v>117</v>
      </c>
      <c r="G3014" s="5" t="s">
        <v>679</v>
      </c>
      <c r="H3014" s="5" t="s">
        <v>2231</v>
      </c>
    </row>
    <row r="3015" spans="5:8" x14ac:dyDescent="0.3">
      <c r="E3015" s="5" t="s">
        <v>2189</v>
      </c>
      <c r="F3015" s="5" t="s">
        <v>117</v>
      </c>
      <c r="G3015" s="5" t="s">
        <v>680</v>
      </c>
      <c r="H3015" s="5" t="s">
        <v>2232</v>
      </c>
    </row>
    <row r="3016" spans="5:8" x14ac:dyDescent="0.3">
      <c r="E3016" s="5" t="s">
        <v>2189</v>
      </c>
      <c r="F3016" s="5" t="s">
        <v>117</v>
      </c>
      <c r="G3016" s="5" t="s">
        <v>682</v>
      </c>
      <c r="H3016" s="5" t="s">
        <v>2233</v>
      </c>
    </row>
    <row r="3017" spans="5:8" x14ac:dyDescent="0.3">
      <c r="E3017" s="5" t="s">
        <v>2189</v>
      </c>
      <c r="F3017" s="5" t="s">
        <v>117</v>
      </c>
      <c r="G3017" s="5" t="s">
        <v>684</v>
      </c>
      <c r="H3017" s="5" t="s">
        <v>2234</v>
      </c>
    </row>
    <row r="3018" spans="5:8" x14ac:dyDescent="0.3">
      <c r="E3018" s="5" t="s">
        <v>2189</v>
      </c>
      <c r="F3018" s="5" t="s">
        <v>117</v>
      </c>
      <c r="G3018" s="5" t="s">
        <v>685</v>
      </c>
      <c r="H3018" s="5" t="s">
        <v>1038</v>
      </c>
    </row>
    <row r="3019" spans="5:8" x14ac:dyDescent="0.3">
      <c r="E3019" s="5" t="s">
        <v>2189</v>
      </c>
      <c r="F3019" s="5" t="s">
        <v>117</v>
      </c>
      <c r="G3019" s="5" t="s">
        <v>2301</v>
      </c>
      <c r="H3019" s="5" t="s">
        <v>2302</v>
      </c>
    </row>
    <row r="3020" spans="5:8" x14ac:dyDescent="0.3">
      <c r="E3020" s="5" t="s">
        <v>2189</v>
      </c>
      <c r="F3020" s="5" t="s">
        <v>117</v>
      </c>
      <c r="G3020" s="5" t="s">
        <v>2303</v>
      </c>
      <c r="H3020" s="5" t="s">
        <v>2304</v>
      </c>
    </row>
    <row r="3021" spans="5:8" x14ac:dyDescent="0.3">
      <c r="E3021" s="5" t="s">
        <v>2189</v>
      </c>
      <c r="F3021" s="5" t="s">
        <v>117</v>
      </c>
      <c r="G3021" s="5" t="s">
        <v>686</v>
      </c>
      <c r="H3021" s="5" t="s">
        <v>1640</v>
      </c>
    </row>
    <row r="3022" spans="5:8" x14ac:dyDescent="0.3">
      <c r="E3022" s="5" t="s">
        <v>2189</v>
      </c>
      <c r="F3022" s="5" t="s">
        <v>117</v>
      </c>
      <c r="G3022" s="5" t="s">
        <v>687</v>
      </c>
      <c r="H3022" s="5" t="s">
        <v>554</v>
      </c>
    </row>
    <row r="3023" spans="5:8" x14ac:dyDescent="0.3">
      <c r="E3023" s="5" t="s">
        <v>2189</v>
      </c>
      <c r="F3023" s="5" t="s">
        <v>117</v>
      </c>
      <c r="G3023" s="5" t="s">
        <v>326</v>
      </c>
      <c r="H3023" s="5" t="s">
        <v>884</v>
      </c>
    </row>
    <row r="3024" spans="5:8" x14ac:dyDescent="0.3">
      <c r="E3024" s="5" t="s">
        <v>2189</v>
      </c>
      <c r="F3024" s="5" t="s">
        <v>117</v>
      </c>
      <c r="G3024" s="5" t="s">
        <v>2305</v>
      </c>
      <c r="H3024" s="5" t="s">
        <v>2306</v>
      </c>
    </row>
    <row r="3025" spans="5:8" x14ac:dyDescent="0.3">
      <c r="E3025" s="5" t="s">
        <v>2189</v>
      </c>
      <c r="F3025" s="5" t="s">
        <v>117</v>
      </c>
      <c r="G3025" s="5" t="s">
        <v>689</v>
      </c>
      <c r="H3025" s="5" t="s">
        <v>779</v>
      </c>
    </row>
    <row r="3026" spans="5:8" x14ac:dyDescent="0.3">
      <c r="E3026" s="5" t="s">
        <v>2189</v>
      </c>
      <c r="F3026" s="5" t="s">
        <v>117</v>
      </c>
      <c r="G3026" s="5" t="s">
        <v>693</v>
      </c>
      <c r="H3026" s="5" t="s">
        <v>289</v>
      </c>
    </row>
    <row r="3027" spans="5:8" x14ac:dyDescent="0.3">
      <c r="E3027" s="5" t="s">
        <v>2189</v>
      </c>
      <c r="F3027" s="5" t="s">
        <v>117</v>
      </c>
      <c r="G3027" s="5" t="s">
        <v>2307</v>
      </c>
      <c r="H3027" s="5" t="s">
        <v>2308</v>
      </c>
    </row>
    <row r="3028" spans="5:8" x14ac:dyDescent="0.3">
      <c r="E3028" s="5" t="s">
        <v>2189</v>
      </c>
      <c r="F3028" s="5" t="s">
        <v>117</v>
      </c>
      <c r="G3028" s="5" t="s">
        <v>695</v>
      </c>
      <c r="H3028" s="5" t="s">
        <v>1810</v>
      </c>
    </row>
    <row r="3029" spans="5:8" x14ac:dyDescent="0.3">
      <c r="E3029" s="5" t="s">
        <v>2189</v>
      </c>
      <c r="F3029" s="5" t="s">
        <v>117</v>
      </c>
      <c r="G3029" s="5" t="s">
        <v>2309</v>
      </c>
      <c r="H3029" s="5" t="s">
        <v>2310</v>
      </c>
    </row>
    <row r="3030" spans="5:8" x14ac:dyDescent="0.3">
      <c r="E3030" s="5" t="s">
        <v>2189</v>
      </c>
      <c r="F3030" s="5" t="s">
        <v>117</v>
      </c>
      <c r="G3030" s="5" t="s">
        <v>2311</v>
      </c>
      <c r="H3030" s="5" t="s">
        <v>2312</v>
      </c>
    </row>
    <row r="3031" spans="5:8" x14ac:dyDescent="0.3">
      <c r="E3031" s="5" t="s">
        <v>2189</v>
      </c>
      <c r="F3031" s="5" t="s">
        <v>117</v>
      </c>
      <c r="G3031" s="5" t="s">
        <v>330</v>
      </c>
      <c r="H3031" s="5" t="s">
        <v>2153</v>
      </c>
    </row>
    <row r="3032" spans="5:8" x14ac:dyDescent="0.3">
      <c r="E3032" s="5" t="s">
        <v>2189</v>
      </c>
      <c r="F3032" s="5" t="s">
        <v>117</v>
      </c>
      <c r="G3032" s="5" t="s">
        <v>696</v>
      </c>
      <c r="H3032" s="5" t="s">
        <v>2235</v>
      </c>
    </row>
    <row r="3033" spans="5:8" x14ac:dyDescent="0.3">
      <c r="E3033" s="5" t="s">
        <v>2189</v>
      </c>
      <c r="F3033" s="5" t="s">
        <v>117</v>
      </c>
      <c r="G3033" s="5" t="s">
        <v>697</v>
      </c>
      <c r="H3033" s="5" t="s">
        <v>1180</v>
      </c>
    </row>
    <row r="3034" spans="5:8" x14ac:dyDescent="0.3">
      <c r="E3034" s="5" t="s">
        <v>155</v>
      </c>
      <c r="F3034" s="5" t="s">
        <v>156</v>
      </c>
      <c r="G3034" s="5" t="s">
        <v>2403</v>
      </c>
      <c r="H3034" s="5" t="s">
        <v>2497</v>
      </c>
    </row>
    <row r="3035" spans="5:8" x14ac:dyDescent="0.3">
      <c r="E3035" s="5" t="s">
        <v>155</v>
      </c>
      <c r="F3035" s="5" t="s">
        <v>156</v>
      </c>
      <c r="G3035" s="5" t="s">
        <v>297</v>
      </c>
      <c r="H3035" s="5" t="s">
        <v>2498</v>
      </c>
    </row>
    <row r="3036" spans="5:8" x14ac:dyDescent="0.3">
      <c r="E3036" s="5" t="s">
        <v>155</v>
      </c>
      <c r="F3036" s="5" t="s">
        <v>156</v>
      </c>
      <c r="G3036" s="5" t="s">
        <v>2406</v>
      </c>
      <c r="H3036" s="5" t="s">
        <v>2499</v>
      </c>
    </row>
    <row r="3037" spans="5:8" x14ac:dyDescent="0.3">
      <c r="E3037" s="5" t="s">
        <v>2180</v>
      </c>
      <c r="F3037" s="5" t="s">
        <v>115</v>
      </c>
      <c r="G3037" s="5" t="s">
        <v>160</v>
      </c>
      <c r="H3037" s="5" t="s">
        <v>2181</v>
      </c>
    </row>
    <row r="3038" spans="5:8" x14ac:dyDescent="0.3">
      <c r="E3038" s="5" t="s">
        <v>2180</v>
      </c>
      <c r="F3038" s="5" t="s">
        <v>115</v>
      </c>
      <c r="G3038" s="5" t="s">
        <v>162</v>
      </c>
      <c r="H3038" s="5" t="s">
        <v>2182</v>
      </c>
    </row>
    <row r="3039" spans="5:8" x14ac:dyDescent="0.3">
      <c r="E3039" s="5" t="s">
        <v>2180</v>
      </c>
      <c r="F3039" s="5" t="s">
        <v>115</v>
      </c>
      <c r="G3039" s="5" t="s">
        <v>164</v>
      </c>
      <c r="H3039" s="5" t="s">
        <v>2183</v>
      </c>
    </row>
    <row r="3040" spans="5:8" x14ac:dyDescent="0.3">
      <c r="E3040" s="5" t="s">
        <v>2180</v>
      </c>
      <c r="F3040" s="5" t="s">
        <v>115</v>
      </c>
      <c r="G3040" s="5" t="s">
        <v>166</v>
      </c>
      <c r="H3040" s="5" t="s">
        <v>2184</v>
      </c>
    </row>
    <row r="3041" spans="5:8" x14ac:dyDescent="0.3">
      <c r="E3041" s="5" t="s">
        <v>2180</v>
      </c>
      <c r="F3041" s="5" t="s">
        <v>115</v>
      </c>
      <c r="G3041" s="5" t="s">
        <v>168</v>
      </c>
      <c r="H3041" s="5" t="s">
        <v>1204</v>
      </c>
    </row>
    <row r="3042" spans="5:8" x14ac:dyDescent="0.3">
      <c r="E3042" s="5" t="s">
        <v>2180</v>
      </c>
      <c r="F3042" s="5" t="s">
        <v>115</v>
      </c>
      <c r="G3042" s="5" t="s">
        <v>170</v>
      </c>
      <c r="H3042" s="5" t="s">
        <v>219</v>
      </c>
    </row>
    <row r="3043" spans="5:8" x14ac:dyDescent="0.3">
      <c r="E3043" s="5" t="s">
        <v>2180</v>
      </c>
      <c r="F3043" s="5" t="s">
        <v>115</v>
      </c>
      <c r="G3043" s="5" t="s">
        <v>172</v>
      </c>
      <c r="H3043" s="5" t="s">
        <v>2185</v>
      </c>
    </row>
    <row r="3044" spans="5:8" x14ac:dyDescent="0.3">
      <c r="E3044" s="5" t="s">
        <v>2180</v>
      </c>
      <c r="F3044" s="5" t="s">
        <v>115</v>
      </c>
      <c r="G3044" s="5" t="s">
        <v>174</v>
      </c>
      <c r="H3044" s="5" t="s">
        <v>2186</v>
      </c>
    </row>
    <row r="3045" spans="5:8" x14ac:dyDescent="0.3">
      <c r="E3045" s="5" t="s">
        <v>2180</v>
      </c>
      <c r="F3045" s="5" t="s">
        <v>115</v>
      </c>
      <c r="G3045" s="5" t="s">
        <v>176</v>
      </c>
      <c r="H3045" s="5" t="s">
        <v>459</v>
      </c>
    </row>
    <row r="3046" spans="5:8" x14ac:dyDescent="0.3">
      <c r="E3046" s="5" t="s">
        <v>2180</v>
      </c>
      <c r="F3046" s="5" t="s">
        <v>115</v>
      </c>
      <c r="G3046" s="5" t="s">
        <v>178</v>
      </c>
      <c r="H3046" s="5" t="s">
        <v>1568</v>
      </c>
    </row>
    <row r="3047" spans="5:8" x14ac:dyDescent="0.3">
      <c r="E3047" s="5" t="s">
        <v>2180</v>
      </c>
      <c r="F3047" s="5" t="s">
        <v>115</v>
      </c>
      <c r="G3047" s="5" t="s">
        <v>180</v>
      </c>
      <c r="H3047" s="5" t="s">
        <v>2187</v>
      </c>
    </row>
    <row r="3048" spans="5:8" x14ac:dyDescent="0.3">
      <c r="E3048" s="5" t="s">
        <v>2180</v>
      </c>
      <c r="F3048" s="5" t="s">
        <v>115</v>
      </c>
      <c r="G3048" s="5" t="s">
        <v>182</v>
      </c>
      <c r="H3048" s="5" t="s">
        <v>289</v>
      </c>
    </row>
    <row r="3049" spans="5:8" x14ac:dyDescent="0.3">
      <c r="E3049" s="5" t="s">
        <v>2180</v>
      </c>
      <c r="F3049" s="5" t="s">
        <v>115</v>
      </c>
      <c r="G3049" s="5" t="s">
        <v>184</v>
      </c>
      <c r="H3049" s="5" t="s">
        <v>550</v>
      </c>
    </row>
    <row r="3050" spans="5:8" x14ac:dyDescent="0.3">
      <c r="E3050" s="5" t="s">
        <v>2180</v>
      </c>
      <c r="F3050" s="5" t="s">
        <v>115</v>
      </c>
      <c r="G3050" s="5" t="s">
        <v>186</v>
      </c>
      <c r="H3050" s="5" t="s">
        <v>2188</v>
      </c>
    </row>
    <row r="3051" spans="5:8" x14ac:dyDescent="0.3">
      <c r="E3051" s="5" t="s">
        <v>2313</v>
      </c>
      <c r="F3051" s="5" t="s">
        <v>119</v>
      </c>
      <c r="G3051" s="5" t="s">
        <v>160</v>
      </c>
      <c r="H3051" s="5" t="s">
        <v>487</v>
      </c>
    </row>
    <row r="3052" spans="5:8" x14ac:dyDescent="0.3">
      <c r="E3052" s="5" t="s">
        <v>2313</v>
      </c>
      <c r="F3052" s="5" t="s">
        <v>119</v>
      </c>
      <c r="G3052" s="5" t="s">
        <v>162</v>
      </c>
      <c r="H3052" s="5" t="s">
        <v>2314</v>
      </c>
    </row>
    <row r="3053" spans="5:8" x14ac:dyDescent="0.3">
      <c r="E3053" s="5" t="s">
        <v>2313</v>
      </c>
      <c r="F3053" s="5" t="s">
        <v>119</v>
      </c>
      <c r="G3053" s="5" t="s">
        <v>164</v>
      </c>
      <c r="H3053" s="5" t="s">
        <v>369</v>
      </c>
    </row>
    <row r="3054" spans="5:8" x14ac:dyDescent="0.3">
      <c r="E3054" s="5" t="s">
        <v>2313</v>
      </c>
      <c r="F3054" s="5" t="s">
        <v>119</v>
      </c>
      <c r="G3054" s="5" t="s">
        <v>166</v>
      </c>
      <c r="H3054" s="5" t="s">
        <v>2315</v>
      </c>
    </row>
    <row r="3055" spans="5:8" x14ac:dyDescent="0.3">
      <c r="E3055" s="5" t="s">
        <v>2313</v>
      </c>
      <c r="F3055" s="5" t="s">
        <v>119</v>
      </c>
      <c r="G3055" s="5" t="s">
        <v>168</v>
      </c>
      <c r="H3055" s="5" t="s">
        <v>2316</v>
      </c>
    </row>
    <row r="3056" spans="5:8" x14ac:dyDescent="0.3">
      <c r="E3056" s="5" t="s">
        <v>2313</v>
      </c>
      <c r="F3056" s="5" t="s">
        <v>119</v>
      </c>
      <c r="G3056" s="5" t="s">
        <v>170</v>
      </c>
      <c r="H3056" s="5" t="s">
        <v>374</v>
      </c>
    </row>
    <row r="3057" spans="5:8" x14ac:dyDescent="0.3">
      <c r="E3057" s="5" t="s">
        <v>2313</v>
      </c>
      <c r="F3057" s="5" t="s">
        <v>119</v>
      </c>
      <c r="G3057" s="5" t="s">
        <v>172</v>
      </c>
      <c r="H3057" s="5" t="s">
        <v>376</v>
      </c>
    </row>
    <row r="3058" spans="5:8" x14ac:dyDescent="0.3">
      <c r="E3058" s="5" t="s">
        <v>2313</v>
      </c>
      <c r="F3058" s="5" t="s">
        <v>119</v>
      </c>
      <c r="G3058" s="5" t="s">
        <v>174</v>
      </c>
      <c r="H3058" s="5" t="s">
        <v>2317</v>
      </c>
    </row>
    <row r="3059" spans="5:8" x14ac:dyDescent="0.3">
      <c r="E3059" s="5" t="s">
        <v>2313</v>
      </c>
      <c r="F3059" s="5" t="s">
        <v>119</v>
      </c>
      <c r="G3059" s="5" t="s">
        <v>176</v>
      </c>
      <c r="H3059" s="5" t="s">
        <v>506</v>
      </c>
    </row>
    <row r="3060" spans="5:8" x14ac:dyDescent="0.3">
      <c r="E3060" s="5" t="s">
        <v>2313</v>
      </c>
      <c r="F3060" s="5" t="s">
        <v>119</v>
      </c>
      <c r="G3060" s="5" t="s">
        <v>178</v>
      </c>
      <c r="H3060" s="5" t="s">
        <v>2318</v>
      </c>
    </row>
    <row r="3061" spans="5:8" x14ac:dyDescent="0.3">
      <c r="E3061" s="5" t="s">
        <v>2313</v>
      </c>
      <c r="F3061" s="5" t="s">
        <v>119</v>
      </c>
      <c r="G3061" s="5" t="s">
        <v>180</v>
      </c>
      <c r="H3061" s="5" t="s">
        <v>219</v>
      </c>
    </row>
    <row r="3062" spans="5:8" x14ac:dyDescent="0.3">
      <c r="E3062" s="5" t="s">
        <v>2313</v>
      </c>
      <c r="F3062" s="5" t="s">
        <v>119</v>
      </c>
      <c r="G3062" s="5" t="s">
        <v>182</v>
      </c>
      <c r="H3062" s="5" t="s">
        <v>511</v>
      </c>
    </row>
    <row r="3063" spans="5:8" x14ac:dyDescent="0.3">
      <c r="E3063" s="5" t="s">
        <v>2313</v>
      </c>
      <c r="F3063" s="5" t="s">
        <v>119</v>
      </c>
      <c r="G3063" s="5" t="s">
        <v>184</v>
      </c>
      <c r="H3063" s="5" t="s">
        <v>387</v>
      </c>
    </row>
    <row r="3064" spans="5:8" x14ac:dyDescent="0.3">
      <c r="E3064" s="5" t="s">
        <v>2313</v>
      </c>
      <c r="F3064" s="5" t="s">
        <v>119</v>
      </c>
      <c r="G3064" s="5" t="s">
        <v>186</v>
      </c>
      <c r="H3064" s="5" t="s">
        <v>2319</v>
      </c>
    </row>
    <row r="3065" spans="5:8" x14ac:dyDescent="0.3">
      <c r="E3065" s="5" t="s">
        <v>2313</v>
      </c>
      <c r="F3065" s="5" t="s">
        <v>119</v>
      </c>
      <c r="G3065" s="5" t="s">
        <v>188</v>
      </c>
      <c r="H3065" s="5" t="s">
        <v>2320</v>
      </c>
    </row>
    <row r="3066" spans="5:8" x14ac:dyDescent="0.3">
      <c r="E3066" s="5" t="s">
        <v>2313</v>
      </c>
      <c r="F3066" s="5" t="s">
        <v>119</v>
      </c>
      <c r="G3066" s="5" t="s">
        <v>190</v>
      </c>
      <c r="H3066" s="5" t="s">
        <v>233</v>
      </c>
    </row>
    <row r="3067" spans="5:8" x14ac:dyDescent="0.3">
      <c r="E3067" s="5" t="s">
        <v>2313</v>
      </c>
      <c r="F3067" s="5" t="s">
        <v>119</v>
      </c>
      <c r="G3067" s="5" t="s">
        <v>192</v>
      </c>
      <c r="H3067" s="5" t="s">
        <v>1991</v>
      </c>
    </row>
    <row r="3068" spans="5:8" x14ac:dyDescent="0.3">
      <c r="E3068" s="5" t="s">
        <v>2313</v>
      </c>
      <c r="F3068" s="5" t="s">
        <v>119</v>
      </c>
      <c r="G3068" s="5" t="s">
        <v>194</v>
      </c>
      <c r="H3068" s="5" t="s">
        <v>2321</v>
      </c>
    </row>
    <row r="3069" spans="5:8" x14ac:dyDescent="0.3">
      <c r="E3069" s="5" t="s">
        <v>2313</v>
      </c>
      <c r="F3069" s="5" t="s">
        <v>119</v>
      </c>
      <c r="G3069" s="5" t="s">
        <v>196</v>
      </c>
      <c r="H3069" s="5" t="s">
        <v>2322</v>
      </c>
    </row>
    <row r="3070" spans="5:8" x14ac:dyDescent="0.3">
      <c r="E3070" s="5" t="s">
        <v>2313</v>
      </c>
      <c r="F3070" s="5" t="s">
        <v>119</v>
      </c>
      <c r="G3070" s="5" t="s">
        <v>198</v>
      </c>
      <c r="H3070" s="5" t="s">
        <v>2323</v>
      </c>
    </row>
    <row r="3071" spans="5:8" x14ac:dyDescent="0.3">
      <c r="E3071" s="5" t="s">
        <v>2313</v>
      </c>
      <c r="F3071" s="5" t="s">
        <v>119</v>
      </c>
      <c r="G3071" s="5" t="s">
        <v>200</v>
      </c>
      <c r="H3071" s="5" t="s">
        <v>826</v>
      </c>
    </row>
    <row r="3072" spans="5:8" x14ac:dyDescent="0.3">
      <c r="E3072" s="5" t="s">
        <v>2313</v>
      </c>
      <c r="F3072" s="5" t="s">
        <v>119</v>
      </c>
      <c r="G3072" s="5" t="s">
        <v>202</v>
      </c>
      <c r="H3072" s="5" t="s">
        <v>395</v>
      </c>
    </row>
    <row r="3073" spans="5:8" x14ac:dyDescent="0.3">
      <c r="E3073" s="5" t="s">
        <v>2313</v>
      </c>
      <c r="F3073" s="5" t="s">
        <v>119</v>
      </c>
      <c r="G3073" s="5" t="s">
        <v>204</v>
      </c>
      <c r="H3073" s="5" t="s">
        <v>870</v>
      </c>
    </row>
    <row r="3074" spans="5:8" x14ac:dyDescent="0.3">
      <c r="E3074" s="5" t="s">
        <v>2313</v>
      </c>
      <c r="F3074" s="5" t="s">
        <v>119</v>
      </c>
      <c r="G3074" s="5" t="s">
        <v>206</v>
      </c>
      <c r="H3074" s="5" t="s">
        <v>2324</v>
      </c>
    </row>
    <row r="3075" spans="5:8" x14ac:dyDescent="0.3">
      <c r="E3075" s="5" t="s">
        <v>2313</v>
      </c>
      <c r="F3075" s="5" t="s">
        <v>119</v>
      </c>
      <c r="G3075" s="5" t="s">
        <v>208</v>
      </c>
      <c r="H3075" s="5" t="s">
        <v>2325</v>
      </c>
    </row>
    <row r="3076" spans="5:8" x14ac:dyDescent="0.3">
      <c r="E3076" s="5" t="s">
        <v>2313</v>
      </c>
      <c r="F3076" s="5" t="s">
        <v>119</v>
      </c>
      <c r="G3076" s="5" t="s">
        <v>210</v>
      </c>
      <c r="H3076" s="5" t="s">
        <v>2326</v>
      </c>
    </row>
    <row r="3077" spans="5:8" x14ac:dyDescent="0.3">
      <c r="E3077" s="5" t="s">
        <v>2313</v>
      </c>
      <c r="F3077" s="5" t="s">
        <v>119</v>
      </c>
      <c r="G3077" s="5" t="s">
        <v>212</v>
      </c>
      <c r="H3077" s="5" t="s">
        <v>720</v>
      </c>
    </row>
    <row r="3078" spans="5:8" x14ac:dyDescent="0.3">
      <c r="E3078" s="5" t="s">
        <v>2313</v>
      </c>
      <c r="F3078" s="5" t="s">
        <v>119</v>
      </c>
      <c r="G3078" s="5" t="s">
        <v>214</v>
      </c>
      <c r="H3078" s="5" t="s">
        <v>537</v>
      </c>
    </row>
    <row r="3079" spans="5:8" x14ac:dyDescent="0.3">
      <c r="E3079" s="5" t="s">
        <v>2313</v>
      </c>
      <c r="F3079" s="5" t="s">
        <v>119</v>
      </c>
      <c r="G3079" s="5" t="s">
        <v>216</v>
      </c>
      <c r="H3079" s="5" t="s">
        <v>2327</v>
      </c>
    </row>
    <row r="3080" spans="5:8" x14ac:dyDescent="0.3">
      <c r="E3080" s="5" t="s">
        <v>2313</v>
      </c>
      <c r="F3080" s="5" t="s">
        <v>119</v>
      </c>
      <c r="G3080" s="5" t="s">
        <v>218</v>
      </c>
      <c r="H3080" s="5" t="s">
        <v>2328</v>
      </c>
    </row>
    <row r="3081" spans="5:8" x14ac:dyDescent="0.3">
      <c r="E3081" s="5" t="s">
        <v>2313</v>
      </c>
      <c r="F3081" s="5" t="s">
        <v>119</v>
      </c>
      <c r="G3081" s="5" t="s">
        <v>220</v>
      </c>
      <c r="H3081" s="5" t="s">
        <v>2329</v>
      </c>
    </row>
    <row r="3082" spans="5:8" x14ac:dyDescent="0.3">
      <c r="E3082" s="5" t="s">
        <v>2313</v>
      </c>
      <c r="F3082" s="5" t="s">
        <v>119</v>
      </c>
      <c r="G3082" s="5" t="s">
        <v>222</v>
      </c>
      <c r="H3082" s="5" t="s">
        <v>2330</v>
      </c>
    </row>
    <row r="3083" spans="5:8" x14ac:dyDescent="0.3">
      <c r="E3083" s="5" t="s">
        <v>2313</v>
      </c>
      <c r="F3083" s="5" t="s">
        <v>119</v>
      </c>
      <c r="G3083" s="5" t="s">
        <v>224</v>
      </c>
      <c r="H3083" s="5" t="s">
        <v>1040</v>
      </c>
    </row>
    <row r="3084" spans="5:8" x14ac:dyDescent="0.3">
      <c r="E3084" s="5" t="s">
        <v>2313</v>
      </c>
      <c r="F3084" s="5" t="s">
        <v>119</v>
      </c>
      <c r="G3084" s="5" t="s">
        <v>226</v>
      </c>
      <c r="H3084" s="5" t="s">
        <v>1492</v>
      </c>
    </row>
    <row r="3085" spans="5:8" x14ac:dyDescent="0.3">
      <c r="E3085" s="5" t="s">
        <v>2313</v>
      </c>
      <c r="F3085" s="5" t="s">
        <v>119</v>
      </c>
      <c r="G3085" s="5" t="s">
        <v>228</v>
      </c>
      <c r="H3085" s="5" t="s">
        <v>2331</v>
      </c>
    </row>
    <row r="3086" spans="5:8" x14ac:dyDescent="0.3">
      <c r="E3086" s="5" t="s">
        <v>2313</v>
      </c>
      <c r="F3086" s="5" t="s">
        <v>119</v>
      </c>
      <c r="G3086" s="5" t="s">
        <v>230</v>
      </c>
      <c r="H3086" s="5" t="s">
        <v>2332</v>
      </c>
    </row>
    <row r="3087" spans="5:8" x14ac:dyDescent="0.3">
      <c r="E3087" s="5" t="s">
        <v>2313</v>
      </c>
      <c r="F3087" s="5" t="s">
        <v>119</v>
      </c>
      <c r="G3087" s="5" t="s">
        <v>232</v>
      </c>
      <c r="H3087" s="5" t="s">
        <v>2333</v>
      </c>
    </row>
    <row r="3088" spans="5:8" x14ac:dyDescent="0.3">
      <c r="E3088" s="5" t="s">
        <v>2313</v>
      </c>
      <c r="F3088" s="5" t="s">
        <v>119</v>
      </c>
      <c r="G3088" s="5" t="s">
        <v>234</v>
      </c>
      <c r="H3088" s="5" t="s">
        <v>2334</v>
      </c>
    </row>
    <row r="3089" spans="5:8" x14ac:dyDescent="0.3">
      <c r="E3089" s="5" t="s">
        <v>2313</v>
      </c>
      <c r="F3089" s="5" t="s">
        <v>119</v>
      </c>
      <c r="G3089" s="5" t="s">
        <v>236</v>
      </c>
      <c r="H3089" s="5" t="s">
        <v>2335</v>
      </c>
    </row>
    <row r="3090" spans="5:8" x14ac:dyDescent="0.3">
      <c r="E3090" s="5" t="s">
        <v>2354</v>
      </c>
      <c r="F3090" s="5" t="s">
        <v>123</v>
      </c>
      <c r="G3090" s="5" t="s">
        <v>160</v>
      </c>
      <c r="H3090" s="5" t="s">
        <v>487</v>
      </c>
    </row>
    <row r="3091" spans="5:8" x14ac:dyDescent="0.3">
      <c r="E3091" s="5" t="s">
        <v>2354</v>
      </c>
      <c r="F3091" s="5" t="s">
        <v>123</v>
      </c>
      <c r="G3091" s="5" t="s">
        <v>162</v>
      </c>
      <c r="H3091" s="5" t="s">
        <v>1682</v>
      </c>
    </row>
    <row r="3092" spans="5:8" x14ac:dyDescent="0.3">
      <c r="E3092" s="5" t="s">
        <v>2354</v>
      </c>
      <c r="F3092" s="5" t="s">
        <v>123</v>
      </c>
      <c r="G3092" s="5" t="s">
        <v>164</v>
      </c>
      <c r="H3092" s="5" t="s">
        <v>2355</v>
      </c>
    </row>
    <row r="3093" spans="5:8" x14ac:dyDescent="0.3">
      <c r="E3093" s="5" t="s">
        <v>2354</v>
      </c>
      <c r="F3093" s="5" t="s">
        <v>123</v>
      </c>
      <c r="G3093" s="5" t="s">
        <v>166</v>
      </c>
      <c r="H3093" s="5" t="s">
        <v>2356</v>
      </c>
    </row>
    <row r="3094" spans="5:8" x14ac:dyDescent="0.3">
      <c r="E3094" s="5" t="s">
        <v>2354</v>
      </c>
      <c r="F3094" s="5" t="s">
        <v>123</v>
      </c>
      <c r="G3094" s="5" t="s">
        <v>168</v>
      </c>
      <c r="H3094" s="5" t="s">
        <v>840</v>
      </c>
    </row>
    <row r="3095" spans="5:8" x14ac:dyDescent="0.3">
      <c r="E3095" s="5" t="s">
        <v>2354</v>
      </c>
      <c r="F3095" s="5" t="s">
        <v>123</v>
      </c>
      <c r="G3095" s="5" t="s">
        <v>170</v>
      </c>
      <c r="H3095" s="5" t="s">
        <v>1457</v>
      </c>
    </row>
    <row r="3096" spans="5:8" x14ac:dyDescent="0.3">
      <c r="E3096" s="5" t="s">
        <v>2354</v>
      </c>
      <c r="F3096" s="5" t="s">
        <v>123</v>
      </c>
      <c r="G3096" s="5" t="s">
        <v>172</v>
      </c>
      <c r="H3096" s="5" t="s">
        <v>2357</v>
      </c>
    </row>
    <row r="3097" spans="5:8" x14ac:dyDescent="0.3">
      <c r="E3097" s="5" t="s">
        <v>2354</v>
      </c>
      <c r="F3097" s="5" t="s">
        <v>123</v>
      </c>
      <c r="G3097" s="5" t="s">
        <v>174</v>
      </c>
      <c r="H3097" s="5" t="s">
        <v>2358</v>
      </c>
    </row>
    <row r="3098" spans="5:8" x14ac:dyDescent="0.3">
      <c r="E3098" s="5" t="s">
        <v>2354</v>
      </c>
      <c r="F3098" s="5" t="s">
        <v>123</v>
      </c>
      <c r="G3098" s="5" t="s">
        <v>176</v>
      </c>
      <c r="H3098" s="5" t="s">
        <v>1223</v>
      </c>
    </row>
    <row r="3099" spans="5:8" x14ac:dyDescent="0.3">
      <c r="E3099" s="5" t="s">
        <v>2354</v>
      </c>
      <c r="F3099" s="5" t="s">
        <v>123</v>
      </c>
      <c r="G3099" s="5" t="s">
        <v>178</v>
      </c>
      <c r="H3099" s="5" t="s">
        <v>374</v>
      </c>
    </row>
    <row r="3100" spans="5:8" x14ac:dyDescent="0.3">
      <c r="E3100" s="5" t="s">
        <v>2354</v>
      </c>
      <c r="F3100" s="5" t="s">
        <v>123</v>
      </c>
      <c r="G3100" s="5" t="s">
        <v>180</v>
      </c>
      <c r="H3100" s="5" t="s">
        <v>376</v>
      </c>
    </row>
    <row r="3101" spans="5:8" x14ac:dyDescent="0.3">
      <c r="E3101" s="5" t="s">
        <v>2354</v>
      </c>
      <c r="F3101" s="5" t="s">
        <v>123</v>
      </c>
      <c r="G3101" s="5" t="s">
        <v>182</v>
      </c>
      <c r="H3101" s="5" t="s">
        <v>379</v>
      </c>
    </row>
    <row r="3102" spans="5:8" x14ac:dyDescent="0.3">
      <c r="E3102" s="5" t="s">
        <v>2354</v>
      </c>
      <c r="F3102" s="5" t="s">
        <v>123</v>
      </c>
      <c r="G3102" s="5" t="s">
        <v>184</v>
      </c>
      <c r="H3102" s="5" t="s">
        <v>2359</v>
      </c>
    </row>
    <row r="3103" spans="5:8" x14ac:dyDescent="0.3">
      <c r="E3103" s="5" t="s">
        <v>2354</v>
      </c>
      <c r="F3103" s="5" t="s">
        <v>123</v>
      </c>
      <c r="G3103" s="5" t="s">
        <v>186</v>
      </c>
      <c r="H3103" s="5" t="s">
        <v>640</v>
      </c>
    </row>
    <row r="3104" spans="5:8" x14ac:dyDescent="0.3">
      <c r="E3104" s="5" t="s">
        <v>2354</v>
      </c>
      <c r="F3104" s="5" t="s">
        <v>123</v>
      </c>
      <c r="G3104" s="5" t="s">
        <v>188</v>
      </c>
      <c r="H3104" s="5" t="s">
        <v>2360</v>
      </c>
    </row>
    <row r="3105" spans="5:8" x14ac:dyDescent="0.3">
      <c r="E3105" s="5" t="s">
        <v>2354</v>
      </c>
      <c r="F3105" s="5" t="s">
        <v>123</v>
      </c>
      <c r="G3105" s="5" t="s">
        <v>190</v>
      </c>
      <c r="H3105" s="5" t="s">
        <v>506</v>
      </c>
    </row>
    <row r="3106" spans="5:8" x14ac:dyDescent="0.3">
      <c r="E3106" s="5" t="s">
        <v>2354</v>
      </c>
      <c r="F3106" s="5" t="s">
        <v>123</v>
      </c>
      <c r="G3106" s="5" t="s">
        <v>192</v>
      </c>
      <c r="H3106" s="5" t="s">
        <v>1659</v>
      </c>
    </row>
    <row r="3107" spans="5:8" x14ac:dyDescent="0.3">
      <c r="E3107" s="5" t="s">
        <v>2354</v>
      </c>
      <c r="F3107" s="5" t="s">
        <v>123</v>
      </c>
      <c r="G3107" s="5" t="s">
        <v>194</v>
      </c>
      <c r="H3107" s="5" t="s">
        <v>2361</v>
      </c>
    </row>
    <row r="3108" spans="5:8" x14ac:dyDescent="0.3">
      <c r="E3108" s="5" t="s">
        <v>2354</v>
      </c>
      <c r="F3108" s="5" t="s">
        <v>123</v>
      </c>
      <c r="G3108" s="5" t="s">
        <v>196</v>
      </c>
      <c r="H3108" s="5" t="s">
        <v>1828</v>
      </c>
    </row>
    <row r="3109" spans="5:8" x14ac:dyDescent="0.3">
      <c r="E3109" s="5" t="s">
        <v>2354</v>
      </c>
      <c r="F3109" s="5" t="s">
        <v>123</v>
      </c>
      <c r="G3109" s="5" t="s">
        <v>198</v>
      </c>
      <c r="H3109" s="5" t="s">
        <v>2362</v>
      </c>
    </row>
    <row r="3110" spans="5:8" x14ac:dyDescent="0.3">
      <c r="E3110" s="5" t="s">
        <v>2354</v>
      </c>
      <c r="F3110" s="5" t="s">
        <v>123</v>
      </c>
      <c r="G3110" s="5" t="s">
        <v>200</v>
      </c>
      <c r="H3110" s="5" t="s">
        <v>1791</v>
      </c>
    </row>
    <row r="3111" spans="5:8" x14ac:dyDescent="0.3">
      <c r="E3111" s="5" t="s">
        <v>2354</v>
      </c>
      <c r="F3111" s="5" t="s">
        <v>123</v>
      </c>
      <c r="G3111" s="5" t="s">
        <v>202</v>
      </c>
      <c r="H3111" s="5" t="s">
        <v>387</v>
      </c>
    </row>
    <row r="3112" spans="5:8" x14ac:dyDescent="0.3">
      <c r="E3112" s="5" t="s">
        <v>2354</v>
      </c>
      <c r="F3112" s="5" t="s">
        <v>123</v>
      </c>
      <c r="G3112" s="5" t="s">
        <v>204</v>
      </c>
      <c r="H3112" s="5" t="s">
        <v>1073</v>
      </c>
    </row>
    <row r="3113" spans="5:8" x14ac:dyDescent="0.3">
      <c r="E3113" s="5" t="s">
        <v>2354</v>
      </c>
      <c r="F3113" s="5" t="s">
        <v>123</v>
      </c>
      <c r="G3113" s="5" t="s">
        <v>206</v>
      </c>
      <c r="H3113" s="5" t="s">
        <v>2363</v>
      </c>
    </row>
    <row r="3114" spans="5:8" x14ac:dyDescent="0.3">
      <c r="E3114" s="5" t="s">
        <v>2354</v>
      </c>
      <c r="F3114" s="5" t="s">
        <v>123</v>
      </c>
      <c r="G3114" s="5" t="s">
        <v>208</v>
      </c>
      <c r="H3114" s="5" t="s">
        <v>954</v>
      </c>
    </row>
    <row r="3115" spans="5:8" x14ac:dyDescent="0.3">
      <c r="E3115" s="5" t="s">
        <v>2354</v>
      </c>
      <c r="F3115" s="5" t="s">
        <v>123</v>
      </c>
      <c r="G3115" s="5" t="s">
        <v>210</v>
      </c>
      <c r="H3115" s="5" t="s">
        <v>1237</v>
      </c>
    </row>
    <row r="3116" spans="5:8" x14ac:dyDescent="0.3">
      <c r="E3116" s="5" t="s">
        <v>2354</v>
      </c>
      <c r="F3116" s="5" t="s">
        <v>123</v>
      </c>
      <c r="G3116" s="5" t="s">
        <v>212</v>
      </c>
      <c r="H3116" s="5" t="s">
        <v>231</v>
      </c>
    </row>
    <row r="3117" spans="5:8" x14ac:dyDescent="0.3">
      <c r="E3117" s="5" t="s">
        <v>2354</v>
      </c>
      <c r="F3117" s="5" t="s">
        <v>123</v>
      </c>
      <c r="G3117" s="5" t="s">
        <v>214</v>
      </c>
      <c r="H3117" s="5" t="s">
        <v>233</v>
      </c>
    </row>
    <row r="3118" spans="5:8" x14ac:dyDescent="0.3">
      <c r="E3118" s="5" t="s">
        <v>2354</v>
      </c>
      <c r="F3118" s="5" t="s">
        <v>123</v>
      </c>
      <c r="G3118" s="5" t="s">
        <v>216</v>
      </c>
      <c r="H3118" s="5" t="s">
        <v>2364</v>
      </c>
    </row>
    <row r="3119" spans="5:8" x14ac:dyDescent="0.3">
      <c r="E3119" s="5" t="s">
        <v>2354</v>
      </c>
      <c r="F3119" s="5" t="s">
        <v>123</v>
      </c>
      <c r="G3119" s="5" t="s">
        <v>218</v>
      </c>
      <c r="H3119" s="5" t="s">
        <v>2365</v>
      </c>
    </row>
    <row r="3120" spans="5:8" x14ac:dyDescent="0.3">
      <c r="E3120" s="5" t="s">
        <v>2354</v>
      </c>
      <c r="F3120" s="5" t="s">
        <v>123</v>
      </c>
      <c r="G3120" s="5" t="s">
        <v>220</v>
      </c>
      <c r="H3120" s="5" t="s">
        <v>2366</v>
      </c>
    </row>
    <row r="3121" spans="5:8" x14ac:dyDescent="0.3">
      <c r="E3121" s="5" t="s">
        <v>2354</v>
      </c>
      <c r="F3121" s="5" t="s">
        <v>123</v>
      </c>
      <c r="G3121" s="5" t="s">
        <v>222</v>
      </c>
      <c r="H3121" s="5" t="s">
        <v>2367</v>
      </c>
    </row>
    <row r="3122" spans="5:8" x14ac:dyDescent="0.3">
      <c r="E3122" s="5" t="s">
        <v>2354</v>
      </c>
      <c r="F3122" s="5" t="s">
        <v>123</v>
      </c>
      <c r="G3122" s="5" t="s">
        <v>224</v>
      </c>
      <c r="H3122" s="5" t="s">
        <v>394</v>
      </c>
    </row>
    <row r="3123" spans="5:8" x14ac:dyDescent="0.3">
      <c r="E3123" s="5" t="s">
        <v>2354</v>
      </c>
      <c r="F3123" s="5" t="s">
        <v>123</v>
      </c>
      <c r="G3123" s="5" t="s">
        <v>226</v>
      </c>
      <c r="H3123" s="5" t="s">
        <v>2368</v>
      </c>
    </row>
    <row r="3124" spans="5:8" x14ac:dyDescent="0.3">
      <c r="E3124" s="5" t="s">
        <v>2354</v>
      </c>
      <c r="F3124" s="5" t="s">
        <v>123</v>
      </c>
      <c r="G3124" s="5" t="s">
        <v>228</v>
      </c>
      <c r="H3124" s="5" t="s">
        <v>395</v>
      </c>
    </row>
    <row r="3125" spans="5:8" x14ac:dyDescent="0.3">
      <c r="E3125" s="5" t="s">
        <v>2354</v>
      </c>
      <c r="F3125" s="5" t="s">
        <v>123</v>
      </c>
      <c r="G3125" s="5" t="s">
        <v>230</v>
      </c>
      <c r="H3125" s="5" t="s">
        <v>2369</v>
      </c>
    </row>
    <row r="3126" spans="5:8" x14ac:dyDescent="0.3">
      <c r="E3126" s="5" t="s">
        <v>2354</v>
      </c>
      <c r="F3126" s="5" t="s">
        <v>123</v>
      </c>
      <c r="G3126" s="5" t="s">
        <v>232</v>
      </c>
      <c r="H3126" s="5" t="s">
        <v>2370</v>
      </c>
    </row>
    <row r="3127" spans="5:8" x14ac:dyDescent="0.3">
      <c r="E3127" s="5" t="s">
        <v>2354</v>
      </c>
      <c r="F3127" s="5" t="s">
        <v>123</v>
      </c>
      <c r="G3127" s="5" t="s">
        <v>234</v>
      </c>
      <c r="H3127" s="5" t="s">
        <v>2371</v>
      </c>
    </row>
    <row r="3128" spans="5:8" x14ac:dyDescent="0.3">
      <c r="E3128" s="5" t="s">
        <v>2354</v>
      </c>
      <c r="F3128" s="5" t="s">
        <v>123</v>
      </c>
      <c r="G3128" s="5" t="s">
        <v>236</v>
      </c>
      <c r="H3128" s="5" t="s">
        <v>1249</v>
      </c>
    </row>
    <row r="3129" spans="5:8" x14ac:dyDescent="0.3">
      <c r="E3129" s="5" t="s">
        <v>2354</v>
      </c>
      <c r="F3129" s="5" t="s">
        <v>123</v>
      </c>
      <c r="G3129" s="5" t="s">
        <v>2372</v>
      </c>
      <c r="H3129" s="5" t="s">
        <v>1251</v>
      </c>
    </row>
    <row r="3130" spans="5:8" x14ac:dyDescent="0.3">
      <c r="E3130" s="5" t="s">
        <v>2354</v>
      </c>
      <c r="F3130" s="5" t="s">
        <v>123</v>
      </c>
      <c r="G3130" s="5" t="s">
        <v>238</v>
      </c>
      <c r="H3130" s="5" t="s">
        <v>2373</v>
      </c>
    </row>
    <row r="3131" spans="5:8" x14ac:dyDescent="0.3">
      <c r="E3131" s="5" t="s">
        <v>2354</v>
      </c>
      <c r="F3131" s="5" t="s">
        <v>123</v>
      </c>
      <c r="G3131" s="5" t="s">
        <v>240</v>
      </c>
      <c r="H3131" s="5" t="s">
        <v>259</v>
      </c>
    </row>
    <row r="3132" spans="5:8" x14ac:dyDescent="0.3">
      <c r="E3132" s="5" t="s">
        <v>2354</v>
      </c>
      <c r="F3132" s="5" t="s">
        <v>123</v>
      </c>
      <c r="G3132" s="5" t="s">
        <v>242</v>
      </c>
      <c r="H3132" s="5" t="s">
        <v>2374</v>
      </c>
    </row>
    <row r="3133" spans="5:8" x14ac:dyDescent="0.3">
      <c r="E3133" s="5" t="s">
        <v>2354</v>
      </c>
      <c r="F3133" s="5" t="s">
        <v>123</v>
      </c>
      <c r="G3133" s="5" t="s">
        <v>244</v>
      </c>
      <c r="H3133" s="5" t="s">
        <v>829</v>
      </c>
    </row>
    <row r="3134" spans="5:8" x14ac:dyDescent="0.3">
      <c r="E3134" s="5" t="s">
        <v>2354</v>
      </c>
      <c r="F3134" s="5" t="s">
        <v>123</v>
      </c>
      <c r="G3134" s="5" t="s">
        <v>246</v>
      </c>
      <c r="H3134" s="5" t="s">
        <v>2375</v>
      </c>
    </row>
    <row r="3135" spans="5:8" x14ac:dyDescent="0.3">
      <c r="E3135" s="5" t="s">
        <v>2354</v>
      </c>
      <c r="F3135" s="5" t="s">
        <v>123</v>
      </c>
      <c r="G3135" s="5" t="s">
        <v>248</v>
      </c>
      <c r="H3135" s="5" t="s">
        <v>2376</v>
      </c>
    </row>
    <row r="3136" spans="5:8" x14ac:dyDescent="0.3">
      <c r="E3136" s="5" t="s">
        <v>2354</v>
      </c>
      <c r="F3136" s="5" t="s">
        <v>123</v>
      </c>
      <c r="G3136" s="5" t="s">
        <v>250</v>
      </c>
      <c r="H3136" s="5" t="s">
        <v>2377</v>
      </c>
    </row>
    <row r="3137" spans="5:8" x14ac:dyDescent="0.3">
      <c r="E3137" s="5" t="s">
        <v>2354</v>
      </c>
      <c r="F3137" s="5" t="s">
        <v>123</v>
      </c>
      <c r="G3137" s="5" t="s">
        <v>252</v>
      </c>
      <c r="H3137" s="5" t="s">
        <v>720</v>
      </c>
    </row>
    <row r="3138" spans="5:8" x14ac:dyDescent="0.3">
      <c r="E3138" s="5" t="s">
        <v>2354</v>
      </c>
      <c r="F3138" s="5" t="s">
        <v>123</v>
      </c>
      <c r="G3138" s="5" t="s">
        <v>254</v>
      </c>
      <c r="H3138" s="5" t="s">
        <v>406</v>
      </c>
    </row>
    <row r="3139" spans="5:8" x14ac:dyDescent="0.3">
      <c r="E3139" s="5" t="s">
        <v>2354</v>
      </c>
      <c r="F3139" s="5" t="s">
        <v>123</v>
      </c>
      <c r="G3139" s="5" t="s">
        <v>256</v>
      </c>
      <c r="H3139" s="5" t="s">
        <v>1706</v>
      </c>
    </row>
    <row r="3140" spans="5:8" x14ac:dyDescent="0.3">
      <c r="E3140" s="5" t="s">
        <v>2354</v>
      </c>
      <c r="F3140" s="5" t="s">
        <v>123</v>
      </c>
      <c r="G3140" s="5" t="s">
        <v>258</v>
      </c>
      <c r="H3140" s="5" t="s">
        <v>2378</v>
      </c>
    </row>
    <row r="3141" spans="5:8" x14ac:dyDescent="0.3">
      <c r="E3141" s="5" t="s">
        <v>2354</v>
      </c>
      <c r="F3141" s="5" t="s">
        <v>123</v>
      </c>
      <c r="G3141" s="5" t="s">
        <v>260</v>
      </c>
      <c r="H3141" s="5" t="s">
        <v>2379</v>
      </c>
    </row>
    <row r="3142" spans="5:8" x14ac:dyDescent="0.3">
      <c r="E3142" s="5" t="s">
        <v>2354</v>
      </c>
      <c r="F3142" s="5" t="s">
        <v>123</v>
      </c>
      <c r="G3142" s="5" t="s">
        <v>262</v>
      </c>
      <c r="H3142" s="5" t="s">
        <v>878</v>
      </c>
    </row>
    <row r="3143" spans="5:8" x14ac:dyDescent="0.3">
      <c r="E3143" s="5" t="s">
        <v>2354</v>
      </c>
      <c r="F3143" s="5" t="s">
        <v>123</v>
      </c>
      <c r="G3143" s="5" t="s">
        <v>264</v>
      </c>
      <c r="H3143" s="5" t="s">
        <v>1319</v>
      </c>
    </row>
    <row r="3144" spans="5:8" x14ac:dyDescent="0.3">
      <c r="E3144" s="5" t="s">
        <v>2354</v>
      </c>
      <c r="F3144" s="5" t="s">
        <v>123</v>
      </c>
      <c r="G3144" s="5" t="s">
        <v>266</v>
      </c>
      <c r="H3144" s="5" t="s">
        <v>2071</v>
      </c>
    </row>
    <row r="3145" spans="5:8" x14ac:dyDescent="0.3">
      <c r="E3145" s="5" t="s">
        <v>2354</v>
      </c>
      <c r="F3145" s="5" t="s">
        <v>123</v>
      </c>
      <c r="G3145" s="5" t="s">
        <v>270</v>
      </c>
      <c r="H3145" s="5" t="s">
        <v>2381</v>
      </c>
    </row>
    <row r="3146" spans="5:8" x14ac:dyDescent="0.3">
      <c r="E3146" s="5" t="s">
        <v>2354</v>
      </c>
      <c r="F3146" s="5" t="s">
        <v>123</v>
      </c>
      <c r="G3146" s="5" t="s">
        <v>272</v>
      </c>
      <c r="H3146" s="5" t="s">
        <v>2382</v>
      </c>
    </row>
    <row r="3147" spans="5:8" x14ac:dyDescent="0.3">
      <c r="E3147" s="5" t="s">
        <v>2354</v>
      </c>
      <c r="F3147" s="5" t="s">
        <v>123</v>
      </c>
      <c r="G3147" s="5" t="s">
        <v>274</v>
      </c>
      <c r="H3147" s="5" t="s">
        <v>2383</v>
      </c>
    </row>
    <row r="3148" spans="5:8" x14ac:dyDescent="0.3">
      <c r="E3148" s="5" t="s">
        <v>2354</v>
      </c>
      <c r="F3148" s="5" t="s">
        <v>123</v>
      </c>
      <c r="G3148" s="5" t="s">
        <v>276</v>
      </c>
      <c r="H3148" s="5" t="s">
        <v>2384</v>
      </c>
    </row>
    <row r="3149" spans="5:8" x14ac:dyDescent="0.3">
      <c r="E3149" s="5" t="s">
        <v>2354</v>
      </c>
      <c r="F3149" s="5" t="s">
        <v>123</v>
      </c>
      <c r="G3149" s="5" t="s">
        <v>268</v>
      </c>
      <c r="H3149" s="5" t="s">
        <v>2380</v>
      </c>
    </row>
    <row r="3150" spans="5:8" x14ac:dyDescent="0.3">
      <c r="E3150" s="5" t="s">
        <v>2354</v>
      </c>
      <c r="F3150" s="5" t="s">
        <v>123</v>
      </c>
      <c r="G3150" s="5" t="s">
        <v>278</v>
      </c>
      <c r="H3150" s="5" t="s">
        <v>603</v>
      </c>
    </row>
    <row r="3151" spans="5:8" x14ac:dyDescent="0.3">
      <c r="E3151" s="5" t="s">
        <v>2354</v>
      </c>
      <c r="F3151" s="5" t="s">
        <v>123</v>
      </c>
      <c r="G3151" s="5" t="s">
        <v>280</v>
      </c>
      <c r="H3151" s="5" t="s">
        <v>2385</v>
      </c>
    </row>
    <row r="3152" spans="5:8" x14ac:dyDescent="0.3">
      <c r="E3152" s="5" t="s">
        <v>2354</v>
      </c>
      <c r="F3152" s="5" t="s">
        <v>123</v>
      </c>
      <c r="G3152" s="5" t="s">
        <v>282</v>
      </c>
      <c r="H3152" s="5" t="s">
        <v>1413</v>
      </c>
    </row>
    <row r="3153" spans="5:8" x14ac:dyDescent="0.3">
      <c r="E3153" s="5" t="s">
        <v>2354</v>
      </c>
      <c r="F3153" s="5" t="s">
        <v>123</v>
      </c>
      <c r="G3153" s="5" t="s">
        <v>284</v>
      </c>
      <c r="H3153" s="5" t="s">
        <v>2386</v>
      </c>
    </row>
    <row r="3154" spans="5:8" x14ac:dyDescent="0.3">
      <c r="E3154" s="5" t="s">
        <v>2354</v>
      </c>
      <c r="F3154" s="5" t="s">
        <v>123</v>
      </c>
      <c r="G3154" s="5" t="s">
        <v>286</v>
      </c>
      <c r="H3154" s="5" t="s">
        <v>1877</v>
      </c>
    </row>
    <row r="3155" spans="5:8" x14ac:dyDescent="0.3">
      <c r="E3155" s="5" t="s">
        <v>2354</v>
      </c>
      <c r="F3155" s="5" t="s">
        <v>123</v>
      </c>
      <c r="G3155" s="5" t="s">
        <v>288</v>
      </c>
      <c r="H3155" s="5" t="s">
        <v>2387</v>
      </c>
    </row>
    <row r="3156" spans="5:8" x14ac:dyDescent="0.3">
      <c r="E3156" s="5" t="s">
        <v>2354</v>
      </c>
      <c r="F3156" s="5" t="s">
        <v>123</v>
      </c>
      <c r="G3156" s="5" t="s">
        <v>290</v>
      </c>
      <c r="H3156" s="5" t="s">
        <v>289</v>
      </c>
    </row>
    <row r="3157" spans="5:8" x14ac:dyDescent="0.3">
      <c r="E3157" s="5" t="s">
        <v>2354</v>
      </c>
      <c r="F3157" s="5" t="s">
        <v>123</v>
      </c>
      <c r="G3157" s="5" t="s">
        <v>292</v>
      </c>
      <c r="H3157" s="5" t="s">
        <v>2388</v>
      </c>
    </row>
    <row r="3158" spans="5:8" x14ac:dyDescent="0.3">
      <c r="E3158" s="5" t="s">
        <v>2354</v>
      </c>
      <c r="F3158" s="5" t="s">
        <v>123</v>
      </c>
      <c r="G3158" s="5" t="s">
        <v>416</v>
      </c>
      <c r="H3158" s="5" t="s">
        <v>2389</v>
      </c>
    </row>
    <row r="3159" spans="5:8" x14ac:dyDescent="0.3">
      <c r="E3159" s="5" t="s">
        <v>2354</v>
      </c>
      <c r="F3159" s="5" t="s">
        <v>123</v>
      </c>
      <c r="G3159" s="5" t="s">
        <v>418</v>
      </c>
      <c r="H3159" s="5" t="s">
        <v>2390</v>
      </c>
    </row>
    <row r="3160" spans="5:8" x14ac:dyDescent="0.3">
      <c r="E3160" s="5" t="s">
        <v>2354</v>
      </c>
      <c r="F3160" s="5" t="s">
        <v>123</v>
      </c>
      <c r="G3160" s="5" t="s">
        <v>420</v>
      </c>
      <c r="H3160" s="5" t="s">
        <v>890</v>
      </c>
    </row>
    <row r="3161" spans="5:8" x14ac:dyDescent="0.3">
      <c r="E3161" s="5" t="s">
        <v>2354</v>
      </c>
      <c r="F3161" s="5" t="s">
        <v>123</v>
      </c>
      <c r="G3161" s="5" t="s">
        <v>422</v>
      </c>
      <c r="H3161" s="5" t="s">
        <v>1715</v>
      </c>
    </row>
    <row r="3162" spans="5:8" x14ac:dyDescent="0.3">
      <c r="E3162" s="5" t="s">
        <v>2336</v>
      </c>
      <c r="F3162" s="5" t="s">
        <v>121</v>
      </c>
      <c r="G3162" s="5" t="s">
        <v>160</v>
      </c>
      <c r="H3162" s="5" t="s">
        <v>165</v>
      </c>
    </row>
    <row r="3163" spans="5:8" x14ac:dyDescent="0.3">
      <c r="E3163" s="5" t="s">
        <v>2336</v>
      </c>
      <c r="F3163" s="5" t="s">
        <v>121</v>
      </c>
      <c r="G3163" s="5" t="s">
        <v>162</v>
      </c>
      <c r="H3163" s="5" t="s">
        <v>1820</v>
      </c>
    </row>
    <row r="3164" spans="5:8" x14ac:dyDescent="0.3">
      <c r="E3164" s="5" t="s">
        <v>2336</v>
      </c>
      <c r="F3164" s="5" t="s">
        <v>121</v>
      </c>
      <c r="G3164" s="5" t="s">
        <v>164</v>
      </c>
      <c r="H3164" s="5" t="s">
        <v>370</v>
      </c>
    </row>
    <row r="3165" spans="5:8" x14ac:dyDescent="0.3">
      <c r="E3165" s="5" t="s">
        <v>2336</v>
      </c>
      <c r="F3165" s="5" t="s">
        <v>121</v>
      </c>
      <c r="G3165" s="5" t="s">
        <v>166</v>
      </c>
      <c r="H3165" s="5" t="s">
        <v>2337</v>
      </c>
    </row>
    <row r="3166" spans="5:8" x14ac:dyDescent="0.3">
      <c r="E3166" s="5" t="s">
        <v>2336</v>
      </c>
      <c r="F3166" s="5" t="s">
        <v>121</v>
      </c>
      <c r="G3166" s="5" t="s">
        <v>168</v>
      </c>
      <c r="H3166" s="5" t="s">
        <v>2338</v>
      </c>
    </row>
    <row r="3167" spans="5:8" x14ac:dyDescent="0.3">
      <c r="E3167" s="5" t="s">
        <v>2336</v>
      </c>
      <c r="F3167" s="5" t="s">
        <v>121</v>
      </c>
      <c r="G3167" s="5" t="s">
        <v>170</v>
      </c>
      <c r="H3167" s="5" t="s">
        <v>2339</v>
      </c>
    </row>
    <row r="3168" spans="5:8" x14ac:dyDescent="0.3">
      <c r="E3168" s="5" t="s">
        <v>2336</v>
      </c>
      <c r="F3168" s="5" t="s">
        <v>121</v>
      </c>
      <c r="G3168" s="5" t="s">
        <v>172</v>
      </c>
      <c r="H3168" s="5" t="s">
        <v>175</v>
      </c>
    </row>
    <row r="3169" spans="5:8" x14ac:dyDescent="0.3">
      <c r="E3169" s="5" t="s">
        <v>2336</v>
      </c>
      <c r="F3169" s="5" t="s">
        <v>121</v>
      </c>
      <c r="G3169" s="5" t="s">
        <v>174</v>
      </c>
      <c r="H3169" s="5" t="s">
        <v>187</v>
      </c>
    </row>
    <row r="3170" spans="5:8" x14ac:dyDescent="0.3">
      <c r="E3170" s="5" t="s">
        <v>2336</v>
      </c>
      <c r="F3170" s="5" t="s">
        <v>121</v>
      </c>
      <c r="G3170" s="5" t="s">
        <v>176</v>
      </c>
      <c r="H3170" s="5" t="s">
        <v>2340</v>
      </c>
    </row>
    <row r="3171" spans="5:8" x14ac:dyDescent="0.3">
      <c r="E3171" s="5" t="s">
        <v>2336</v>
      </c>
      <c r="F3171" s="5" t="s">
        <v>121</v>
      </c>
      <c r="G3171" s="5" t="s">
        <v>178</v>
      </c>
      <c r="H3171" s="5" t="s">
        <v>217</v>
      </c>
    </row>
    <row r="3172" spans="5:8" x14ac:dyDescent="0.3">
      <c r="E3172" s="5" t="s">
        <v>2336</v>
      </c>
      <c r="F3172" s="5" t="s">
        <v>121</v>
      </c>
      <c r="G3172" s="5" t="s">
        <v>180</v>
      </c>
      <c r="H3172" s="5" t="s">
        <v>651</v>
      </c>
    </row>
    <row r="3173" spans="5:8" x14ac:dyDescent="0.3">
      <c r="E3173" s="5" t="s">
        <v>2336</v>
      </c>
      <c r="F3173" s="5" t="s">
        <v>121</v>
      </c>
      <c r="G3173" s="5" t="s">
        <v>182</v>
      </c>
      <c r="H3173" s="5" t="s">
        <v>387</v>
      </c>
    </row>
    <row r="3174" spans="5:8" x14ac:dyDescent="0.3">
      <c r="E3174" s="5" t="s">
        <v>2336</v>
      </c>
      <c r="F3174" s="5" t="s">
        <v>121</v>
      </c>
      <c r="G3174" s="5" t="s">
        <v>184</v>
      </c>
      <c r="H3174" s="5" t="s">
        <v>2341</v>
      </c>
    </row>
    <row r="3175" spans="5:8" x14ac:dyDescent="0.3">
      <c r="E3175" s="5" t="s">
        <v>2336</v>
      </c>
      <c r="F3175" s="5" t="s">
        <v>121</v>
      </c>
      <c r="G3175" s="5" t="s">
        <v>186</v>
      </c>
      <c r="H3175" s="5" t="s">
        <v>1206</v>
      </c>
    </row>
    <row r="3176" spans="5:8" x14ac:dyDescent="0.3">
      <c r="E3176" s="5" t="s">
        <v>2336</v>
      </c>
      <c r="F3176" s="5" t="s">
        <v>121</v>
      </c>
      <c r="G3176" s="5" t="s">
        <v>188</v>
      </c>
      <c r="H3176" s="5" t="s">
        <v>659</v>
      </c>
    </row>
    <row r="3177" spans="5:8" x14ac:dyDescent="0.3">
      <c r="E3177" s="5" t="s">
        <v>2336</v>
      </c>
      <c r="F3177" s="5" t="s">
        <v>121</v>
      </c>
      <c r="G3177" s="5" t="s">
        <v>190</v>
      </c>
      <c r="H3177" s="5" t="s">
        <v>2342</v>
      </c>
    </row>
    <row r="3178" spans="5:8" x14ac:dyDescent="0.3">
      <c r="E3178" s="5" t="s">
        <v>2336</v>
      </c>
      <c r="F3178" s="5" t="s">
        <v>121</v>
      </c>
      <c r="G3178" s="5" t="s">
        <v>192</v>
      </c>
      <c r="H3178" s="5" t="s">
        <v>904</v>
      </c>
    </row>
    <row r="3179" spans="5:8" x14ac:dyDescent="0.3">
      <c r="E3179" s="5" t="s">
        <v>2336</v>
      </c>
      <c r="F3179" s="5" t="s">
        <v>121</v>
      </c>
      <c r="G3179" s="5" t="s">
        <v>194</v>
      </c>
      <c r="H3179" s="5" t="s">
        <v>231</v>
      </c>
    </row>
    <row r="3180" spans="5:8" x14ac:dyDescent="0.3">
      <c r="E3180" s="5" t="s">
        <v>2336</v>
      </c>
      <c r="F3180" s="5" t="s">
        <v>121</v>
      </c>
      <c r="G3180" s="5" t="s">
        <v>196</v>
      </c>
      <c r="H3180" s="5" t="s">
        <v>233</v>
      </c>
    </row>
    <row r="3181" spans="5:8" x14ac:dyDescent="0.3">
      <c r="E3181" s="5" t="s">
        <v>2336</v>
      </c>
      <c r="F3181" s="5" t="s">
        <v>121</v>
      </c>
      <c r="G3181" s="5" t="s">
        <v>198</v>
      </c>
      <c r="H3181" s="5" t="s">
        <v>2343</v>
      </c>
    </row>
    <row r="3182" spans="5:8" x14ac:dyDescent="0.3">
      <c r="E3182" s="5" t="s">
        <v>2336</v>
      </c>
      <c r="F3182" s="5" t="s">
        <v>121</v>
      </c>
      <c r="G3182" s="5" t="s">
        <v>200</v>
      </c>
      <c r="H3182" s="5" t="s">
        <v>826</v>
      </c>
    </row>
    <row r="3183" spans="5:8" x14ac:dyDescent="0.3">
      <c r="E3183" s="5" t="s">
        <v>2336</v>
      </c>
      <c r="F3183" s="5" t="s">
        <v>121</v>
      </c>
      <c r="G3183" s="5" t="s">
        <v>202</v>
      </c>
      <c r="H3183" s="5" t="s">
        <v>395</v>
      </c>
    </row>
    <row r="3184" spans="5:8" x14ac:dyDescent="0.3">
      <c r="E3184" s="5" t="s">
        <v>2336</v>
      </c>
      <c r="F3184" s="5" t="s">
        <v>121</v>
      </c>
      <c r="G3184" s="5" t="s">
        <v>204</v>
      </c>
      <c r="H3184" s="5" t="s">
        <v>397</v>
      </c>
    </row>
    <row r="3185" spans="5:8" x14ac:dyDescent="0.3">
      <c r="E3185" s="5" t="s">
        <v>2336</v>
      </c>
      <c r="F3185" s="5" t="s">
        <v>121</v>
      </c>
      <c r="G3185" s="5" t="s">
        <v>208</v>
      </c>
      <c r="H3185" s="5" t="s">
        <v>253</v>
      </c>
    </row>
    <row r="3186" spans="5:8" x14ac:dyDescent="0.3">
      <c r="E3186" s="5" t="s">
        <v>2336</v>
      </c>
      <c r="F3186" s="5" t="s">
        <v>121</v>
      </c>
      <c r="G3186" s="5" t="s">
        <v>210</v>
      </c>
      <c r="H3186" s="5" t="s">
        <v>255</v>
      </c>
    </row>
    <row r="3187" spans="5:8" x14ac:dyDescent="0.3">
      <c r="E3187" s="5" t="s">
        <v>2336</v>
      </c>
      <c r="F3187" s="5" t="s">
        <v>121</v>
      </c>
      <c r="G3187" s="5" t="s">
        <v>212</v>
      </c>
      <c r="H3187" s="5" t="s">
        <v>870</v>
      </c>
    </row>
    <row r="3188" spans="5:8" x14ac:dyDescent="0.3">
      <c r="E3188" s="5" t="s">
        <v>2336</v>
      </c>
      <c r="F3188" s="5" t="s">
        <v>121</v>
      </c>
      <c r="G3188" s="5" t="s">
        <v>206</v>
      </c>
      <c r="H3188" s="5" t="s">
        <v>1622</v>
      </c>
    </row>
    <row r="3189" spans="5:8" x14ac:dyDescent="0.3">
      <c r="E3189" s="5" t="s">
        <v>2336</v>
      </c>
      <c r="F3189" s="5" t="s">
        <v>121</v>
      </c>
      <c r="G3189" s="5" t="s">
        <v>214</v>
      </c>
      <c r="H3189" s="5" t="s">
        <v>873</v>
      </c>
    </row>
    <row r="3190" spans="5:8" x14ac:dyDescent="0.3">
      <c r="E3190" s="5" t="s">
        <v>2336</v>
      </c>
      <c r="F3190" s="5" t="s">
        <v>121</v>
      </c>
      <c r="G3190" s="5" t="s">
        <v>216</v>
      </c>
      <c r="H3190" s="5" t="s">
        <v>523</v>
      </c>
    </row>
    <row r="3191" spans="5:8" x14ac:dyDescent="0.3">
      <c r="E3191" s="5" t="s">
        <v>2336</v>
      </c>
      <c r="F3191" s="5" t="s">
        <v>121</v>
      </c>
      <c r="G3191" s="5" t="s">
        <v>218</v>
      </c>
      <c r="H3191" s="5" t="s">
        <v>2344</v>
      </c>
    </row>
    <row r="3192" spans="5:8" x14ac:dyDescent="0.3">
      <c r="E3192" s="5" t="s">
        <v>2336</v>
      </c>
      <c r="F3192" s="5" t="s">
        <v>121</v>
      </c>
      <c r="G3192" s="5" t="s">
        <v>220</v>
      </c>
      <c r="H3192" s="5" t="s">
        <v>2345</v>
      </c>
    </row>
    <row r="3193" spans="5:8" x14ac:dyDescent="0.3">
      <c r="E3193" s="5" t="s">
        <v>2336</v>
      </c>
      <c r="F3193" s="5" t="s">
        <v>121</v>
      </c>
      <c r="G3193" s="5" t="s">
        <v>222</v>
      </c>
      <c r="H3193" s="5" t="s">
        <v>259</v>
      </c>
    </row>
    <row r="3194" spans="5:8" x14ac:dyDescent="0.3">
      <c r="E3194" s="5" t="s">
        <v>2336</v>
      </c>
      <c r="F3194" s="5" t="s">
        <v>121</v>
      </c>
      <c r="G3194" s="5" t="s">
        <v>224</v>
      </c>
      <c r="H3194" s="5" t="s">
        <v>263</v>
      </c>
    </row>
    <row r="3195" spans="5:8" x14ac:dyDescent="0.3">
      <c r="E3195" s="5" t="s">
        <v>2336</v>
      </c>
      <c r="F3195" s="5" t="s">
        <v>121</v>
      </c>
      <c r="G3195" s="5" t="s">
        <v>226</v>
      </c>
      <c r="H3195" s="5" t="s">
        <v>1092</v>
      </c>
    </row>
    <row r="3196" spans="5:8" x14ac:dyDescent="0.3">
      <c r="E3196" s="5" t="s">
        <v>2336</v>
      </c>
      <c r="F3196" s="5" t="s">
        <v>121</v>
      </c>
      <c r="G3196" s="5" t="s">
        <v>228</v>
      </c>
      <c r="H3196" s="5" t="s">
        <v>914</v>
      </c>
    </row>
    <row r="3197" spans="5:8" x14ac:dyDescent="0.3">
      <c r="E3197" s="5" t="s">
        <v>2336</v>
      </c>
      <c r="F3197" s="5" t="s">
        <v>121</v>
      </c>
      <c r="G3197" s="5" t="s">
        <v>230</v>
      </c>
      <c r="H3197" s="5" t="s">
        <v>1095</v>
      </c>
    </row>
    <row r="3198" spans="5:8" x14ac:dyDescent="0.3">
      <c r="E3198" s="5" t="s">
        <v>2336</v>
      </c>
      <c r="F3198" s="5" t="s">
        <v>121</v>
      </c>
      <c r="G3198" s="5" t="s">
        <v>232</v>
      </c>
      <c r="H3198" s="5" t="s">
        <v>2346</v>
      </c>
    </row>
    <row r="3199" spans="5:8" x14ac:dyDescent="0.3">
      <c r="E3199" s="5" t="s">
        <v>2336</v>
      </c>
      <c r="F3199" s="5" t="s">
        <v>121</v>
      </c>
      <c r="G3199" s="5" t="s">
        <v>234</v>
      </c>
      <c r="H3199" s="5" t="s">
        <v>969</v>
      </c>
    </row>
    <row r="3200" spans="5:8" x14ac:dyDescent="0.3">
      <c r="E3200" s="5" t="s">
        <v>2336</v>
      </c>
      <c r="F3200" s="5" t="s">
        <v>121</v>
      </c>
      <c r="G3200" s="5" t="s">
        <v>236</v>
      </c>
      <c r="H3200" s="5" t="s">
        <v>2347</v>
      </c>
    </row>
    <row r="3201" spans="5:8" x14ac:dyDescent="0.3">
      <c r="E3201" s="5" t="s">
        <v>2336</v>
      </c>
      <c r="F3201" s="5" t="s">
        <v>121</v>
      </c>
      <c r="G3201" s="5" t="s">
        <v>238</v>
      </c>
      <c r="H3201" s="5" t="s">
        <v>596</v>
      </c>
    </row>
    <row r="3202" spans="5:8" x14ac:dyDescent="0.3">
      <c r="E3202" s="5" t="s">
        <v>2336</v>
      </c>
      <c r="F3202" s="5" t="s">
        <v>121</v>
      </c>
      <c r="G3202" s="5" t="s">
        <v>240</v>
      </c>
      <c r="H3202" s="5" t="s">
        <v>2348</v>
      </c>
    </row>
    <row r="3203" spans="5:8" x14ac:dyDescent="0.3">
      <c r="E3203" s="5" t="s">
        <v>2336</v>
      </c>
      <c r="F3203" s="5" t="s">
        <v>121</v>
      </c>
      <c r="G3203" s="5" t="s">
        <v>242</v>
      </c>
      <c r="H3203" s="5" t="s">
        <v>271</v>
      </c>
    </row>
    <row r="3204" spans="5:8" x14ac:dyDescent="0.3">
      <c r="E3204" s="5" t="s">
        <v>2336</v>
      </c>
      <c r="F3204" s="5" t="s">
        <v>121</v>
      </c>
      <c r="G3204" s="5" t="s">
        <v>244</v>
      </c>
      <c r="H3204" s="5" t="s">
        <v>2349</v>
      </c>
    </row>
    <row r="3205" spans="5:8" x14ac:dyDescent="0.3">
      <c r="E3205" s="5" t="s">
        <v>2336</v>
      </c>
      <c r="F3205" s="5" t="s">
        <v>121</v>
      </c>
      <c r="G3205" s="5" t="s">
        <v>246</v>
      </c>
      <c r="H3205" s="5" t="s">
        <v>1902</v>
      </c>
    </row>
    <row r="3206" spans="5:8" x14ac:dyDescent="0.3">
      <c r="E3206" s="5" t="s">
        <v>2336</v>
      </c>
      <c r="F3206" s="5" t="s">
        <v>121</v>
      </c>
      <c r="G3206" s="5" t="s">
        <v>248</v>
      </c>
      <c r="H3206" s="5" t="s">
        <v>2350</v>
      </c>
    </row>
    <row r="3207" spans="5:8" x14ac:dyDescent="0.3">
      <c r="E3207" s="5" t="s">
        <v>2336</v>
      </c>
      <c r="F3207" s="5" t="s">
        <v>121</v>
      </c>
      <c r="G3207" s="5" t="s">
        <v>250</v>
      </c>
      <c r="H3207" s="5" t="s">
        <v>603</v>
      </c>
    </row>
    <row r="3208" spans="5:8" x14ac:dyDescent="0.3">
      <c r="E3208" s="5" t="s">
        <v>2336</v>
      </c>
      <c r="F3208" s="5" t="s">
        <v>121</v>
      </c>
      <c r="G3208" s="5" t="s">
        <v>252</v>
      </c>
      <c r="H3208" s="5" t="s">
        <v>2351</v>
      </c>
    </row>
    <row r="3209" spans="5:8" x14ac:dyDescent="0.3">
      <c r="E3209" s="5" t="s">
        <v>2336</v>
      </c>
      <c r="F3209" s="5" t="s">
        <v>121</v>
      </c>
      <c r="G3209" s="5" t="s">
        <v>254</v>
      </c>
      <c r="H3209" s="5" t="s">
        <v>2120</v>
      </c>
    </row>
    <row r="3210" spans="5:8" x14ac:dyDescent="0.3">
      <c r="E3210" s="5" t="s">
        <v>2336</v>
      </c>
      <c r="F3210" s="5" t="s">
        <v>121</v>
      </c>
      <c r="G3210" s="5" t="s">
        <v>256</v>
      </c>
      <c r="H3210" s="5" t="s">
        <v>2122</v>
      </c>
    </row>
    <row r="3211" spans="5:8" x14ac:dyDescent="0.3">
      <c r="E3211" s="5" t="s">
        <v>2336</v>
      </c>
      <c r="F3211" s="5" t="s">
        <v>121</v>
      </c>
      <c r="G3211" s="5" t="s">
        <v>258</v>
      </c>
      <c r="H3211" s="5" t="s">
        <v>782</v>
      </c>
    </row>
    <row r="3212" spans="5:8" x14ac:dyDescent="0.3">
      <c r="E3212" s="5" t="s">
        <v>2336</v>
      </c>
      <c r="F3212" s="5" t="s">
        <v>121</v>
      </c>
      <c r="G3212" s="5" t="s">
        <v>260</v>
      </c>
      <c r="H3212" s="5" t="s">
        <v>784</v>
      </c>
    </row>
    <row r="3213" spans="5:8" x14ac:dyDescent="0.3">
      <c r="E3213" s="5" t="s">
        <v>2336</v>
      </c>
      <c r="F3213" s="5" t="s">
        <v>121</v>
      </c>
      <c r="G3213" s="5" t="s">
        <v>262</v>
      </c>
      <c r="H3213" s="5" t="s">
        <v>2352</v>
      </c>
    </row>
    <row r="3214" spans="5:8" x14ac:dyDescent="0.3">
      <c r="E3214" s="5" t="s">
        <v>2336</v>
      </c>
      <c r="F3214" s="5" t="s">
        <v>121</v>
      </c>
      <c r="G3214" s="5" t="s">
        <v>264</v>
      </c>
      <c r="H3214" s="5" t="s">
        <v>2353</v>
      </c>
    </row>
    <row r="3215" spans="5:8" x14ac:dyDescent="0.3">
      <c r="E3215" s="5" t="s">
        <v>2336</v>
      </c>
      <c r="F3215" s="5" t="s">
        <v>121</v>
      </c>
      <c r="G3215" s="5" t="s">
        <v>266</v>
      </c>
      <c r="H3215" s="5" t="s">
        <v>1715</v>
      </c>
    </row>
    <row r="3216" spans="5:8" x14ac:dyDescent="0.3">
      <c r="E3216" s="5" t="s">
        <v>2336</v>
      </c>
      <c r="F3216" s="5" t="s">
        <v>121</v>
      </c>
      <c r="G3216" s="5" t="s">
        <v>268</v>
      </c>
      <c r="H3216" s="5" t="s">
        <v>1582</v>
      </c>
    </row>
    <row r="3217" spans="5:8" x14ac:dyDescent="0.3">
      <c r="E3217" s="5" t="s">
        <v>2391</v>
      </c>
      <c r="F3217" s="5" t="s">
        <v>125</v>
      </c>
      <c r="G3217" s="5" t="s">
        <v>160</v>
      </c>
      <c r="H3217" s="5" t="s">
        <v>1553</v>
      </c>
    </row>
    <row r="3218" spans="5:8" x14ac:dyDescent="0.3">
      <c r="E3218" s="5" t="s">
        <v>2391</v>
      </c>
      <c r="F3218" s="5" t="s">
        <v>125</v>
      </c>
      <c r="G3218" s="5" t="s">
        <v>162</v>
      </c>
      <c r="H3218" s="5" t="s">
        <v>1417</v>
      </c>
    </row>
    <row r="3219" spans="5:8" x14ac:dyDescent="0.3">
      <c r="E3219" s="5" t="s">
        <v>2391</v>
      </c>
      <c r="F3219" s="5" t="s">
        <v>125</v>
      </c>
      <c r="G3219" s="5" t="s">
        <v>164</v>
      </c>
      <c r="H3219" s="5" t="s">
        <v>1062</v>
      </c>
    </row>
    <row r="3220" spans="5:8" x14ac:dyDescent="0.3">
      <c r="E3220" s="5" t="s">
        <v>2391</v>
      </c>
      <c r="F3220" s="5" t="s">
        <v>125</v>
      </c>
      <c r="G3220" s="5" t="s">
        <v>166</v>
      </c>
      <c r="H3220" s="5" t="s">
        <v>1419</v>
      </c>
    </row>
    <row r="3221" spans="5:8" x14ac:dyDescent="0.3">
      <c r="E3221" s="5" t="s">
        <v>2391</v>
      </c>
      <c r="F3221" s="5" t="s">
        <v>125</v>
      </c>
      <c r="G3221" s="5" t="s">
        <v>168</v>
      </c>
      <c r="H3221" s="5" t="s">
        <v>2392</v>
      </c>
    </row>
    <row r="3222" spans="5:8" x14ac:dyDescent="0.3">
      <c r="E3222" s="5" t="s">
        <v>2391</v>
      </c>
      <c r="F3222" s="5" t="s">
        <v>125</v>
      </c>
      <c r="G3222" s="5" t="s">
        <v>170</v>
      </c>
      <c r="H3222" s="5" t="s">
        <v>1763</v>
      </c>
    </row>
    <row r="3223" spans="5:8" x14ac:dyDescent="0.3">
      <c r="E3223" s="5" t="s">
        <v>2391</v>
      </c>
      <c r="F3223" s="5" t="s">
        <v>125</v>
      </c>
      <c r="G3223" s="5" t="s">
        <v>172</v>
      </c>
      <c r="H3223" s="5" t="s">
        <v>510</v>
      </c>
    </row>
    <row r="3224" spans="5:8" x14ac:dyDescent="0.3">
      <c r="E3224" s="5" t="s">
        <v>2391</v>
      </c>
      <c r="F3224" s="5" t="s">
        <v>125</v>
      </c>
      <c r="G3224" s="5" t="s">
        <v>174</v>
      </c>
      <c r="H3224" s="5" t="s">
        <v>2393</v>
      </c>
    </row>
    <row r="3225" spans="5:8" x14ac:dyDescent="0.3">
      <c r="E3225" s="5" t="s">
        <v>2391</v>
      </c>
      <c r="F3225" s="5" t="s">
        <v>125</v>
      </c>
      <c r="G3225" s="5" t="s">
        <v>176</v>
      </c>
      <c r="H3225" s="5" t="s">
        <v>2394</v>
      </c>
    </row>
    <row r="3226" spans="5:8" x14ac:dyDescent="0.3">
      <c r="E3226" s="5" t="s">
        <v>2391</v>
      </c>
      <c r="F3226" s="5" t="s">
        <v>125</v>
      </c>
      <c r="G3226" s="5" t="s">
        <v>178</v>
      </c>
      <c r="H3226" s="5" t="s">
        <v>393</v>
      </c>
    </row>
    <row r="3227" spans="5:8" x14ac:dyDescent="0.3">
      <c r="E3227" s="5" t="s">
        <v>2391</v>
      </c>
      <c r="F3227" s="5" t="s">
        <v>125</v>
      </c>
      <c r="G3227" s="5" t="s">
        <v>180</v>
      </c>
      <c r="H3227" s="5" t="s">
        <v>2395</v>
      </c>
    </row>
    <row r="3228" spans="5:8" x14ac:dyDescent="0.3">
      <c r="E3228" s="5" t="s">
        <v>2391</v>
      </c>
      <c r="F3228" s="5" t="s">
        <v>125</v>
      </c>
      <c r="G3228" s="5" t="s">
        <v>182</v>
      </c>
      <c r="H3228" s="5" t="s">
        <v>395</v>
      </c>
    </row>
    <row r="3229" spans="5:8" x14ac:dyDescent="0.3">
      <c r="E3229" s="5" t="s">
        <v>2391</v>
      </c>
      <c r="F3229" s="5" t="s">
        <v>125</v>
      </c>
      <c r="G3229" s="5" t="s">
        <v>184</v>
      </c>
      <c r="H3229" s="5" t="s">
        <v>2396</v>
      </c>
    </row>
    <row r="3230" spans="5:8" x14ac:dyDescent="0.3">
      <c r="E3230" s="5" t="s">
        <v>2391</v>
      </c>
      <c r="F3230" s="5" t="s">
        <v>125</v>
      </c>
      <c r="G3230" s="5" t="s">
        <v>186</v>
      </c>
      <c r="H3230" s="5" t="s">
        <v>2397</v>
      </c>
    </row>
    <row r="3231" spans="5:8" x14ac:dyDescent="0.3">
      <c r="E3231" s="5" t="s">
        <v>2391</v>
      </c>
      <c r="F3231" s="5" t="s">
        <v>125</v>
      </c>
      <c r="G3231" s="5" t="s">
        <v>188</v>
      </c>
      <c r="H3231" s="5" t="s">
        <v>529</v>
      </c>
    </row>
    <row r="3232" spans="5:8" x14ac:dyDescent="0.3">
      <c r="E3232" s="5" t="s">
        <v>2391</v>
      </c>
      <c r="F3232" s="5" t="s">
        <v>125</v>
      </c>
      <c r="G3232" s="5" t="s">
        <v>190</v>
      </c>
      <c r="H3232" s="5" t="s">
        <v>1400</v>
      </c>
    </row>
    <row r="3233" spans="5:8" x14ac:dyDescent="0.3">
      <c r="E3233" s="5" t="s">
        <v>2391</v>
      </c>
      <c r="F3233" s="5" t="s">
        <v>125</v>
      </c>
      <c r="G3233" s="5" t="s">
        <v>192</v>
      </c>
      <c r="H3233" s="5" t="s">
        <v>1035</v>
      </c>
    </row>
    <row r="3234" spans="5:8" x14ac:dyDescent="0.3">
      <c r="E3234" s="5" t="s">
        <v>2391</v>
      </c>
      <c r="F3234" s="5" t="s">
        <v>125</v>
      </c>
      <c r="G3234" s="5" t="s">
        <v>194</v>
      </c>
      <c r="H3234" s="5" t="s">
        <v>2398</v>
      </c>
    </row>
    <row r="3235" spans="5:8" x14ac:dyDescent="0.3">
      <c r="E3235" s="5" t="s">
        <v>2391</v>
      </c>
      <c r="F3235" s="5" t="s">
        <v>125</v>
      </c>
      <c r="G3235" s="5" t="s">
        <v>196</v>
      </c>
      <c r="H3235" s="5" t="s">
        <v>2399</v>
      </c>
    </row>
    <row r="3236" spans="5:8" x14ac:dyDescent="0.3">
      <c r="E3236" s="5" t="s">
        <v>2391</v>
      </c>
      <c r="F3236" s="5" t="s">
        <v>125</v>
      </c>
      <c r="G3236" s="5" t="s">
        <v>198</v>
      </c>
      <c r="H3236" s="5" t="s">
        <v>834</v>
      </c>
    </row>
    <row r="3237" spans="5:8" x14ac:dyDescent="0.3">
      <c r="E3237" s="5" t="s">
        <v>2391</v>
      </c>
      <c r="F3237" s="5" t="s">
        <v>125</v>
      </c>
      <c r="G3237" s="5" t="s">
        <v>200</v>
      </c>
      <c r="H3237" s="5" t="s">
        <v>2400</v>
      </c>
    </row>
    <row r="3238" spans="5:8" x14ac:dyDescent="0.3">
      <c r="E3238" s="5" t="s">
        <v>2391</v>
      </c>
      <c r="F3238" s="5" t="s">
        <v>125</v>
      </c>
      <c r="G3238" s="5" t="s">
        <v>202</v>
      </c>
      <c r="H3238" s="5" t="s">
        <v>2401</v>
      </c>
    </row>
    <row r="3239" spans="5:8" x14ac:dyDescent="0.3">
      <c r="E3239" s="5" t="s">
        <v>2391</v>
      </c>
      <c r="F3239" s="5" t="s">
        <v>125</v>
      </c>
      <c r="G3239" s="5" t="s">
        <v>204</v>
      </c>
      <c r="H3239" s="5" t="s">
        <v>2402</v>
      </c>
    </row>
  </sheetData>
  <hyperlinks>
    <hyperlink ref="K2" r:id="rId1"/>
  </hyperlinks>
  <pageMargins left="0.7" right="0.7" top="0.75" bottom="0.75" header="0.3" footer="0.3"/>
  <pageSetup orientation="portrait" r:id="rId2"/>
  <legacyDrawing r:id="rId3"/>
  <tableParts count="13">
    <tablePart r:id="rId4"/>
    <tablePart r:id="rId5"/>
    <tablePart r:id="rId6"/>
    <tablePart r:id="rId7"/>
    <tablePart r:id="rId8"/>
    <tablePart r:id="rId9"/>
    <tablePart r:id="rId10"/>
    <tablePart r:id="rId11"/>
    <tablePart r:id="rId12"/>
    <tablePart r:id="rId13"/>
    <tablePart r:id="rId14"/>
    <tablePart r:id="rId15"/>
    <tablePart r:id="rId1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 T a b l e 2 < / K e y > < V a l u e   x m l n s : a = " h t t p : / / s c h e m a s . d a t a c o n t r a c t . o r g / 2 0 0 4 / 0 7 / M i c r o s o f t . A n a l y s i s S e r v i c e s . C o m m o n " > < a : H a s F o c u s > t r u e < / a : H a s F o c u s > < a : S i z e A t D p i 9 6 > 1 1 7 < / a : S i z e A t D p i 9 6 > < a : V i s i b l e > t r u e < / a : V i s i b l e > < / V a l u e > < / K e y V a l u e O f s t r i n g S a n d b o x E d i t o r . M e a s u r e G r i d S t a t e S c d E 3 5 R y > < / A r r a y O f K e y V a l u e O f s t r i n g S a n d b o x E d i t o r . M e a s u r e G r i d S t a t e S c d E 3 5 R y > ] ] > < / C u s t o m C o n t e n t > < / G e m i n i > 
</file>

<file path=customXml/item10.xml>��< ? x m l   v e r s i o n = " 1 . 0 "   e n c o d i n g = " u t f - 1 6 " ? > < T o u r   x m l n s : x s i = " h t t p : / / w w w . w 3 . o r g / 2 0 0 1 / X M L S c h e m a - i n s t a n c e "   x m l n s : x s d = " h t t p : / / w w w . w 3 . o r g / 2 0 0 1 / X M L S c h e m a "   N a m e = " T o u r   1 "   D e s c r i p t i o n = " S o m e   d e s c r i p t i o n   f o r   t h e   t o u r   g o e s   h e r e "   x m l n s = " h t t p : / / m i c r o s o f t . d a t a . v i s u a l i z a t i o n . e n g i n e . t o u r s / 1 . 0 " > < S c e n e s > < S c e n e   C u s t o m M a p G u i d = " 0 0 0 0 0 0 0 0 - 0 0 0 0 - 0 0 0 0 - 0 0 0 0 - 0 0 0 0 0 0 0 0 0 0 0 0 "   C u s t o m M a p I d = " 0 0 0 0 0 0 0 0 - 0 0 0 0 - 0 0 0 0 - 0 0 0 0 - 0 0 0 0 0 0 0 0 0 0 0 0 "   S c e n e I d = " 9 a 4 d e d e 4 - f 7 4 7 - 4 1 e 5 - 8 4 8 b - 6 3 e 4 3 b 2 1 2 7 d 1 " > < T r a n s i t i o n > M o v e T o < / T r a n s i t i o n > < E f f e c t > S t a t i o n < / E f f e c t > < T h e m e > B i n g R o a d < / T h e m e > < T h e m e W i t h L a b e l > f a l s e < / T h e m e W i t h L a b e l > < F l a t M o d e E n a b l e d > f a l s e < / F l a t M o d e E n a b l e d > < D u r a t i o n > 1 0 0 0 0 0 0 0 0 < / D u r a t i o n > < T r a n s i t i o n D u r a t i o n > 3 0 0 0 0 0 0 0 < / T r a n s i t i o n D u r a t i o n > < S p e e d > 0 . 5 < / S p e e d > < F r a m e > < C a m e r a > < L a t i t u d e > 1 8 . 0 2 2 0 6 0 3 1 7 6 0 6 4 6 4 < / L a t i t u d e > < L o n g i t u d e > - 6 6 . 2 9 8 8 0 5 4 0 1 1 2 2 0 5 3 < / L o n g i t u d e > < R o t a t i o n > 0 < / R o t a t i o n > < P i v o t A n g l e > 0 < / P i v o t A n g l e > < D i s t a n c e > 0 . 0 5 2 7 7 6 5 5 8 1 3 3 2 4 8 < / D i s t a n c e > < / C a m e r a > < I m a g e > i V B O R w 0 K G g o A A A A N S U h E U g A A A N Q A A A B 1 C A Y A A A A 2 n s 9 T A A A A A X N S R 0 I A r s 4 c 6 Q A A A A R n Q U 1 B A A C x j w v 8 Y Q U A A A A J c E h Z c w A A A u s A A A L r A b 9 3 E o U A A B I p S U R B V H h e 7 Z 3 7 c x p X l s e / N M 1 T C I H e 1 t u W 7 S T j 2 I 4 T O 4 / J w 5 l k d n Y z W 7 t V 8 9 v + k V u 1 V b N b 2 Z p M x n G c z E y c c R I n j m N H l q w n e i I B Q r x p m H O a J g I E s o S u b I H P J y X T 3 S C C m v 7 e 8 7 j n n r b 9 9 1 f b R Q i C o A T N e h Q E Q Q E i K E F Q i A h K E B Q i g h I E h Y i g B E E h I i h B U I g I S h A U I o I S B I W I o A R B I S I o Q V C I C E o Q F C K C E g S F i K A E Q S E i K E F Q i A h K E B Q i g h I E h Y i g B E E h I i h B U I g I S h A U I o I S B I W I o A R B I S I o Q V C I C E o Q F C K C E g S F i K A E Q S E i K E F Q S F u 2 Y h 4 N G D j f n 0 P B M K D Z 7 d b R a r 5 d 0 h F J 6 t a e I K i h 7 Q T 1 2 m g W q Z V H 6 B 0 e g 8 P l s I 4 2 J l 8 A I n N 2 / J C v f u 3 p 7 j w 6 X E U S n Y Z 8 a A v j / d 3 Y j i f w U O u k s 2 a z X r V L 0 F P A C y R i p 7 0 I j e z + Y k T H z O b h B M v v E U 1 r K E q 3 + Z a l 7 Q T 1 4 f m 0 t d W Y + G w O X l 8 Q 6 f w W O g a d d B a A x J w N H R O 7 p y I 2 n 0 I x p S N w n k S h l Q T E / / 5 p c x n / 2 j O E B 6 s O J P M 2 Z P P A W x N Z 8 / k n 8 X D d g R d J d E t R u 7 l d 5 r f 7 f O Z k 1 o b 1 1 C J C s V 6 8 O e I 2 x X Z z x m 0 9 K 6 g g l Y z D 4 6 W B U g F t J 6 g P 6 O K s t R + 5 R B Z G x I e 8 f R u + U 4 0 v x n T I i X w + D d 9 4 / d C S 3 / f L j R A m O / w Y 9 P j M Y 5 G U H d 1 e M n M H Y D q s 4 2 w v K b C C G T q 2 G r f j 7 d M Z 6 8 h e l u L z 6 P c O k v V z W U e q u T n t I k t r w 5 X h L L 6 j v 4 E p i 3 S W r C T / V H 7 C L r K E s Z S E z 2 W 2 o 2 F y O m z o 7 O q x j l R z l b 2 e n A 3 3 a R C t h Z 0 V H u R + e W w 3 Q f E f 9 m 6 X H Y Y t D i 3 n g e G N w R N Q M 6 L X C p X 5 e j 2 E U C Y B l 0 2 H 1 2 F H 0 O V F J J P G S i 6 N / x o 5 i 0 + X 5 5 H 1 u p H Z 3 k a H P w C H 0 4 G r u h e b 2 T R + j G + R p f R D d + g o R q N 4 t 3 8 U d v Y X j 8 A m u a h 3 S V T 8 5 X 5 w L o 3 p + z O I h z N I 5 x I Y e + 0 a t M 0 p P C h e g q 4 V 8 f 7 Z j P k 6 d j P Z 3 V y K 6 X i 4 9 v z F l f H Y J m a + + Q S T r / 1 u j 6 i G u g x 0 e w z 0 d x b w O X k G R s X I x A N Y T 0 f 1 Y N q W S Y k r t j V 0 n + u y 9 t R R T 1 B M j q y D g y 7 Q W h L 5 H D r 0 6 l E t Z 9 B r K c 6 q R 7 5 Q w J c k U K P D Y 1 7 o 2 V w G v f T e T s 2 O K G 0 H n U 5 c 7 h 6 0 X r 1 L 7 b u Z I y U 9 / n j n A V 6 6 c g 6 6 r u M v j 9 z w F 7 a A h X m c f W U Q o f w A X j 5 V 7 a o u k i v K C R 2 G P g p u T D 8 / r i W L K h k L I 0 C D m s v t t Y 7 u D w 9 I P D A x m w n N F F f b C Y r / S F v B g K a r d 2 k a C e q w c F z k d T Z 3 2 u 9 G 1 r F K D l z R I N f R 4 U A u l c I E W c W z n U F z D i Q c j y N N z / k y R Q w O D y C y u Y 1 g j 9 / 8 3 f L / 9 + E X G z j / T l 8 5 N D T h k d d e c 8 o 2 k z H c W + m F W 0 8 j b 3 g p 5 l R 1 B k 4 e R R q F W F R G L g v d 6 S J P w g W 3 5 d b X 4 / W x D P z u 0 n e Y o v P 6 1 7 m S O 9 4 2 g v r V Q A 6 n y D z z i W F / u B n 2 s x 5 M o 3 f d 2 N H Q 5 6 s 2 / f t R a Q m O m / X F M D x F H + x k 3 Y o k i F Q s g 0 h y C + e u D V m v K F G g P 7 t S Y G W y R h b R T J h i u C H 8 Z c q 9 x x q 2 O g G K f 6 P k J j N Z c t U z 6 Q R y m R Q W 7 n + B 0 5 c / g G b X z e v J 6 e 6 A T t u v j O T I E p U G n 0 L R h h u P q u P a Z y 6 o o a 4 8 l s l 3 b 5 Z X R 7 I I V i Q F o j N x B C a b y 9 j c W X D i 6 l j j j N 1 + M p 3 b s m O i + 2 A i M V 2 y p z T Y p 0 I u e I a r E x 4 F + g C h R B w d t i B 9 j i I y 9 L H z N J i M 1 I g 8 n 8 m T J b R R / E c W b 9 C F I q l u 6 l E B w x 4 N X 6 U 9 1 q t K s B j 5 Q u o l t 4 c H m J O O x 1 E 0 E w 3 1 4 E E 5 u R M j t 9 e A Q W 7 7 2 u O 7 S F K 8 2 9 U 7 A p c v A I 8 v C A d 5 B U x t z N W S F o o v x j f H s + S + 7 L U K m W U n X E M H S 2 P X 4 8 v H L r x z p n 7 G b T 8 N x N I 2 d F k u w E H g 7 N 5 k T c b v O N j a i K C 7 L 2 j t 7 f J J Z B X 5 7 Q K u 9 Q f h c + h m M u T z 8 L I 5 E c 6 j s k 6 P v + 4 I / p I k S W 6 m 4 O 3 Z F V G a z v O 2 3 8 B P q z o M G q l / Q 6 6 2 R u L 8 l K z Y S Y O 9 A Z 5 v v D C Y s 4 4 A X 5 G L x n O W t 2 k Q T T c Q V h m 2 X G P B z y i m t Z N L P Y F E p i S i 2 b s 3 c O b K h / D 5 u 8 1 9 p m V d v k b z T e l l B 9 x D u y d O J f u d 9 i y 5 U 0 7 9 c K c y T I E s j + j H y a f L C / j t 0 J i 1 1 5 g M j c a c / N j / 0 q o m s U S v d y X h 7 S u 5 P T + u O M w p g J P E a z U e T C M 4 h v y s J g k z 0 f u I B p R l c 1 u z 2 T H c e R H z k R T y W E Q i 9 S r m V 6 L 0 T J G s V K 8 Z K o w H K X Y 3 X 9 2 C 8 A h T j 6 I n Y W 0 9 X Q 4 r J q b L f b x i Y n J O O 3 b y T 7 b Y r j p i y h o p z M X + g V h m H b P R 2 + Z P J R 0 j h i m m + E L p 7 x g k i 6 U C O 3 0 Q D v j H u / N k K V P W 0 e b 4 Z s l p W k 3 + + e t s 6 Z q 5 s 1 g 6 V g n H R N c n q z 2 T b m 8 R p w N v m N u F o o H F 7 b t I Z f u w u H k N P l f p + 0 6 R K 8 g u I s f f P M / Y s o J K Z O u P p Z 6 g E 1 v T W 9 b e 0 2 V u S 0 c k p Z n Z t I P g e A q D + U e 9 w 5 j Z j u J e d O P Q 7 l g 4 9 Z g u l g K 2 U r P W k f p 0 D N s o 3 j K U W V u D r t U B n 4 F z 5 B K / N Z 4 w J 6 n Z P W O u j j a e A H 8 S H D P x O e i l 9 2 a 4 Y q U M T 9 q y l a l M S m W z p 8 3 H m f X r m N 1 4 m 1 y 9 P p z p X T e P L U R 0 O F 0 e r M 7 + A J c R w S X y i l w 0 q L Z 0 l o 9 T w G 9 N V J / g n d U U B d D V A b M q 9 p P J G r k 6 A 5 0 G d j I a j V 4 H u 7 C i l v h 8 9 H f 4 P c d r r a a i M a x t 9 e P d B v F h P W o t U q d z A L 3 e C W u v m s h 8 B s F x 1 6 F F W w + b j b O 1 d l w c z O L e q t O 0 H D z P 8 3 B d N y t C n h U 2 c u 9 c e g r p / O 4 8 V S y y D o 2 s e z k 5 0 R Z p c x 4 Z 3 q Y L h U 9 1 / D F 9 8 W d K x 2 t J Z G z k x t g O 5 F P X 4 z i / y k Z p a x W s J R P w 6 j o J o r 6 b X A u 7 N / O x O 9 b e L n 7 X E H o 8 o 9 Z e N V 8 n I t g O n b L 2 1 H G F Y q D v y G 3 j o m P + 7 k 4 a P H f F l A X V s i 5 f J Z m 8 D T d o Z O R 0 d N b I Y S V m N z M 3 y / T I 1 e I b O 3 b T 3 H P 1 O F u C J G 2 v x z V z 1 D N o x O P f e 9 Y c l 5 i Y A W 8 H b m 5 v m H / v Q e A A v B 5 B d 2 P B d N L F v l + R b 7 O w m J i T K C a G M 3 y V W b 6 2 E F Q Z T q d z b o A n e N 2 O o l m H x d a o j 3 x m n n d g O O D 1 0 j b X Z n G p i K b x R D C w u l 0 S 4 V F Y o f c 4 A d q s S 9 9 0 A Z 0 H d E X j m Q 1 r a x f O c G m 2 x v O F D o q 1 t o + W P 2 h J e N K 3 s p C g L V y + M m P B P P q 2 k g i 8 U B r V V P M k u f 2 0 p q O D 4 i F O n 5 4 k U k Y e b r u O h e k l F D a 6 k c k m y a o n z S y e f 8 i O F 1 4 + a 7 2 y O X Z y W S z O P M L k m f N w O h 1 m D S D X A j 6 P t J W g B j s N j M b T 8 J 8 / n v T Z 0 e z X s + P 2 e g h v 9 A 9 b e 9 U U K H i 7 / / k y L v 6 m / v N P 4 k 5 4 G R v 5 H D 4 a H M e N R 2 6 8 M Z Z B g c 7 U 7 f n j G d R O O m 0 l K O Z M T x 6 n t B 2 4 g + p n 7 F t V U B + H Q / h 9 b 2 P B c E n R 8 t I K h s e q 6 / s q + e P S N N x d A X P O h S c z + W H Y K O J i 9 4 D 5 P B / 9 l u K d e F o z q x K e V 9 p O U M z r v j A 6 h x p X C j d L q w r q f 9 b m 8 Y e B c W u v P n d v P c I r 7 5 2 z 9 q r J F Q y s p 1 M Y 9 u 4 9 p 7 x y O U S x o 1 C i r Z I S D J c k H Y e Y W p n r X f 3 W V m N Y T A / v P c L S X K n U p p I / k Y W r F N P j T d 2 c b + J y K x F T N W 0 l q H J 9 3 0 6 o + d n 0 d u L j l V n 8 / 9 Y y u t 0 H m + h + 8 e I 5 9 J / q x Z 0 b D 6 w j J a 7 6 d t P C 7 M 6 w o J h b j w 8 2 r / U 8 0 V Y u 3 3 u T a b O c J 0 2 + v H u k + Y r z R r S S y / e / K 3 P 4 9 8 F x a B U p 3 c N w 6 4 / f 4 b 3 / v G I K 6 F 5 k A 5 e C f Z h a 1 7 E Q V b d E / q 3 x D F y O t F k j V y a d 6 8 R a 7 G W K w 1 o z q d F W g p r o z p e W R F C Q v T 1 T h C O Y g 6 d X 3 S j a K o L 6 8 9 o i r v c N m d X j R + H b z 3 7 G + m U / / q 2 7 N K F 7 1 L I i X k S t 2 4 v m G j a e C 2 T m Y 9 / Q 1 1 V / G U v O 8 N A A m Y J H H 8 O P y 6 W 6 u p N O X U H x h V N e y c g d c r j K g K s R T j r v n 0 u b E 7 e V J J d s c P b k o X u O 7 u s f x x n g k 6 / q f Y v 0 3 6 3 1 E C 5 1 9 S D o O n o 9 4 / J O D D 6 n G 3 6 n C 1 m D r N Y h 2 5 d p G g u F G 8 C U G p r U E k m H E E 0 v W X t A K H K Z L F S A r r 0 F U 0 x c j N p q 7 B E U V x b w G p J a V B Q 9 H j f 7 9 e R L L T n g p i + 1 2 e X x T D O / W U 8 w X O C 5 u V M a r H h h 4 k D n 0 f P M X 2 y E 4 C G L d L V n b x O X Z r k 7 N Y 9 X z o 9 j K T 6 L q d W X z H r D w 3 B + 8 G / o 9 5 6 D W 6 + / g n o + 9 j 3 i a R 9 W Y x e s I 6 3 P H k E 1 q s c 6 6 Y K 6 f j Z t u h T 7 k U v m k Q l r 8 I 0 1 l 4 t p R l C 8 B q e 2 5 x 4 v x H v 5 V M 5 c K s 4 l U e W 1 N c 3 w f x t L c H k 8 e N v t h 7 e m w 9 J R 4 P m m m Z / m E T j t Q T i 9 h q X w 6 9 Y z B y f g X U S P 7 z G 5 n h 6 K 5 R w o F C 7 g w V o p N u J u Q Q Z P Z h W 5 h l u V j X 7 2 1 H X 5 u H L b U 7 F g b m r D g Y X I y U 6 P j g T y e K H / Y E v K p 7 9 f Q i 5 B 7 u B O C h 2 9 d r z 4 a o P y 9 B q a + d q 5 y e R p c j m P g 4 8 3 Q / h 9 T / 0 J W 2 4 b 9 i G 5 w M 2 y d D + C k Q u l p f O t 4 J 2 c F B o m J X j U n K Q L g d e g t E L 8 x I O A u 4 l V s w + + n c F L r 0 5 a e / t z k s 7 C 4 3 g U Z z o D 1 t 5 e 7 q 0 4 c b G m 7 9 5 h S K z m 4 B l w m l b 0 H l l U 4 W A 0 F F S r c Z C e 5 o 3 4 4 a s p X H r z v L X X m K M K 6 n Z k H V 5 6 l 1 G v D 4 E j J A 1 u r p M r p b s Q K + T w z j 4 l R c 0 Q D 1 G c C S d c 3 X l 8 v i g T 5 I e l b Q T F q 2 V / N Z h r a l 1 R J p 3 B 1 O 0 1 X L x e 3 c x k f m Y B s T k 7 i o 4 k d E 8 R 3 Y O d G B o 9 / C K 6 m + F l u G 0 a 3 u g Z N E X J H W I 5 9 i k U S 8 k I l 9 2 O C x 4 / J n w H 6 3 Z 7 M x n F + 9 7 G 1 q k e n A j h u I W / 7 H q n K L 5 g w D e q V S V t x N U 7 P G 0 j K I Z X 7 l a 2 A E v m I l h P T G H C a r T x J O 5 9 O W M G y Z q n g E J S x 8 v v j l d d Y I m d B H 7 + + y r s 7 g J 8 Q S d 6 h w I I d O 8 v g k 9 W 5 v G 7 U / v X 0 T G c B P g 0 H I J f s 5 s N U y Z 9 A X Q 6 q i c 3 + T V x + g y 3 8 z v 4 l + D h s 3 n l Z E g 9 j I w B u 2 s 3 T u a e C V M b 6 i Z x n x f a Q l A 9 X g O X h p u z T o e B 3 / 6 L x y 6 M d H F D E g O 2 c B 6 + k f 2 T N b f W l / B e / 4 i 1 d 3 D Y i n 2 7 t Y a 4 x 4 2 3 X B 0 o p H N k 0 Y q Y S m 9 j k V y 9 S 2 T R J v 1 7 + + 0 1 S + x x F l 1 n n P g u 5 M B m 4 m Q n o E 4 y b S G o c v y 0 n V m F 3 6 V u H q Y S X j 7 O p T f J n G a u f I 1 n S q n 3 N 1 0 Z + M Z L p / B 7 s n D + f i d C A Q 1 r h S y 8 b g 8 + C l R / H p 7 L 4 b s 4 8 A I 8 / q 1 f n 8 7 8 U j X Q i I x h 4 M + x N Z w q a n j N m m d i a / W P y A b m k t u m R d M 1 z S w z y t P 2 f / S V 4 i p e l m G z R p n U V h q 2 r H V L n 7 6 9 z f A 3 f s 7 j e 5 v E T E e l L Q R V n j v j E p Z 6 y 7 S / m H H R R W k z L Q x f X 5 x i 5 4 a M t R 2 A t t M a / A 1 6 5 b E Q / j 7 n q t u + V 6 e L 2 5 N c Q M Y / 9 k v v A 0 5 Z / x R e w 4 W + 0 n q h m 9 N u s j r m 5 h 7 4 n l F c N l U J 9 7 3 4 m 9 V H 7 t o o W Y 9 9 u i K x u C p d U y N X R H q j Q K 6 r A W e H j k y U x N 1 f 6 k 3 H v N S b x U q I r C x y 2 K H z l Y C G u F P i J R W 0 h a B 4 U e E c + f w 8 6 n P g f a b X I L c s b 9 5 m 5 j 7 F D V t W M / h a u O 8 b N 1 M s w y 2 9 P M 4 i d k h Y 3 A p s e t N B F 3 v O F E P l f Y G O A 9 b D B 2 f J i t B j v W Q A 3 7 + p 3 J u u D L + O e 8 y 9 U q d T 7 s 9 k T R e t Q t Y 3 x z P 4 a l 4 q w 5 8 G b Z O U u D 6 Z N l 2 p w 8 L N X N 4 h t + u n V Q e W W 2 B t D 9 9 S l J t p c h / A a 2 M Z T I c d G A / m 4 a A x w 6 U X 8 O W s W J p n S d s I S h B O A s 0 V t Q m C U B c R 1 F N m v x u 6 C a 2 P C O o p w 3 d p E N o X E Z Q g K E Q E J Q g K E U E J g k J E U I K g E B G U I C h E B C U I D Q h 4 C m Z l y u W h H X N p 0 E E Q Q Q k C w f 0 c y 6 L h 1 g 9 c c H 1 1 N I u R g A H D N m M W U t e 2 W O j 2 F j D g K 5 j 1 o 2 W k 9 E h 4 7 j n l N 3 B h s P 7 C y 1 r u L D l x Y S D 3 y w 3 8 K s k b N r F Q g t D f e f A b 5 F 0 d y d Y V U y p r w 8 0 Z l 1 g o Q W C a v T / w 7 X k X 4 p n d 6 h e x U I J w A H j B J x N N a W b z U l 6 L x j + V Y m L E Q g n P P e c H v 8 a Y / 5 J Z Z 1 k u X r 6 / 5 s B K z G 7 2 y j c O o R A R l C A o R F w + Q V C I C E o Q F C K C E g S F i K A E Q S E i K E F Q i A h K E B Q i g h I E h Y i g B E E h I i h B U I g I S h A U I o I S B I W I o A R B I S I o Q V C I C E o Q F C K C E g S F i K A E Q S E i K E F Q i A h K E B Q i g h I E h Y i g B E E h I i h B U I g I S h A U I o I S B I W I o A R B I S I o Q V C I C E o Q F C K C E g S F i K A E Q S E i K E F Q i A h K E B Q i g h I E h Y i g B E E h I i h B U I g I S h A U I o I S B G U A / w R u u P s G u + I P P 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 N a m e = " L a y e r   1 "   G u i d = " 5 e 8 a c 6 7 a - 8 1 0 7 - 4 0 1 4 - 8 0 6 3 - b e 1 7 d 2 d e 3 b b a "   R e v = " 1 "   R e v G u i d = " 4 3 6 0 9 2 e 6 - 8 1 7 4 - 4 4 c 0 - 9 7 c f - d f e 3 d a b 6 5 8 d e " 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11.xml>��< ? x m l   v e r s i o n = " 1 . 0 "   e n c o d i n g = " U T F - 1 6 " ? > < G e m i n i   x m l n s = " h t t p : / / g e m i n i / p i v o t c u s t o m i z a t i o n / T a b l e X M L _ T a b l e 2 " > < C u s t o m C o n t e n t > < ! [ C D A T A [ < T a b l e W i d g e t G r i d S e r i a l i z a t i o n   x m l n s : x s i = " h t t p : / / w w w . w 3 . o r g / 2 0 0 1 / X M L S c h e m a - i n s t a n c e "   x m l n s : x s d = " h t t p : / / w w w . w 3 . o r g / 2 0 0 1 / X M L S c h e m a " > < C o l u m n S u g g e s t e d T y p e   / > < C o l u m n F o r m a t   / > < C o l u m n A c c u r a c y   / > < C o l u m n C u r r e n c y S y m b o l   / > < C o l u m n P o s i t i v e P a t t e r n   / > < C o l u m n N e g a t i v e P a t t e r n   / > < C o l u m n W i d t h s > < i t e m > < k e y > < s t r i n g > F i p s S t a t e I d < / s t r i n g > < / k e y > < v a l u e > < i n t > 1 0 5 < / i n t > < / v a l u e > < / i t e m > < i t e m > < k e y > < s t r i n g > F i p s C o u n t y I d < / s t r i n g > < / k e y > < v a l u e > < i n t > 1 1 7 < / i n t > < / v a l u e > < / i t e m > < i t e m > < k e y > < s t r i n g > C e n s u s T r a c t 2 0 1 0 < / s t r i n g > < / k e y > < v a l u e > < i n t > 1 3 7 < / i n t > < / v a l u e > < / i t e m > < / C o l u m n W i d t h s > < C o l u m n D i s p l a y I n d e x > < i t e m > < k e y > < s t r i n g > F i p s S t a t e I d < / s t r i n g > < / k e y > < v a l u e > < i n t > 0 < / i n t > < / v a l u e > < / i t e m > < i t e m > < k e y > < s t r i n g > F i p s C o u n t y I d < / s t r i n g > < / k e y > < v a l u e > < i n t > 1 < / i n t > < / v a l u e > < / i t e m > < i t e m > < k e y > < s t r i n g > C e n s u s T r a c t 2 0 1 0 < / s t r i n g > < / k e y > < v a l u e > < i n t > 2 < / 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 C o l u m n s \ F i p s S t a t e I d < / K e y > < / a : K e y > < a : V a l u e   i : t y p e = " T a b l e W i d g e t B a s e V i e w S t a t e " / > < / a : K e y V a l u e O f D i a g r a m O b j e c t K e y a n y T y p e z b w N T n L X > < a : K e y V a l u e O f D i a g r a m O b j e c t K e y a n y T y p e z b w N T n L X > < a : K e y > < K e y > C o l u m n s \ F i p s C o u n t y I d < / K e y > < / a : K e y > < a : V a l u e   i : t y p e = " T a b l e W i d g e t B a s e V i e w S t a t e " / > < / a : K e y V a l u e O f D i a g r a m O b j e c t K e y a n y T y p e z b w N T n L X > < a : K e y V a l u e O f D i a g r a m O b j e c t K e y a n y T y p e z b w N T n L X > < a : K e y > < K e y > C o l u m n s \ C e n s u s T r a c t 2 0 1 0 < / 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3.xml>��< ? x m l   v e r s i o n = " 1 . 0 "   e n c o d i n g = " U T F - 1 6 " ? > < G e m i n i   x m l n s = " h t t p : / / g e m i n i / p i v o t c u s t o m i z a t i o n / T a b l e C o u n t I n S a n d b o x " > < C u s t o m C o n t e n t > < ! [ C D A T A [ 4 ] ] > < / C u s t o m C o n t e n t > < / G e m i n i > 
</file>

<file path=customXml/item14.xml>��< ? x m l   v e r s i o n = " 1 . 0 "   e n c o d i n g = " U T F - 1 6 " ? > < G e m i n i   x m l n s = " h t t p : / / g e m i n i / p i v o t c u s t o m i z a t i o n / R e l a t i o n s h i p A u t o D e t e c t i o n E n a b l e d " > < C u s t o m C o n t e n t > < ! [ C D A T A [ T r u e ] ] > < / C u s t o m C o n t e n t > < / G e m i n i > 
</file>

<file path=customXml/item15.xml>��< ? x m l   v e r s i o n = " 1 . 0 "   e n c o d i n g = " U T F - 1 6 " ? > < G e m i n i   x m l n s = " h t t p : / / g e m i n i / p i v o t c u s t o m i z a t i o n / M a n u a l C a l c M o d e " > < C u s t o m C o n t e n t > < ! [ C D A T A [ F a l s e ] ] > < / C u s t o m C o n t e n t > < / G e m i n i > 
</file>

<file path=customXml/item16.xml>��< ? x m l   v e r s i o n = " 1 . 0 "   e n c o d i n g = " U T F - 1 6 " ? > < G e m i n i   x m l n s = " h t t p : / / g e m i n i / p i v o t c u s t o m i z a t i o n / P o w e r P i v o t V e r s i o n " > < C u s t o m C o n t e n t > < ! [ C D A T A [ 1 1 . 0 . 9 1 6 6 . 1 8 8 ] ] > < / 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S h o w I m p l i c i t M e a s u r e s " > < C u s t o m C o n t e n t > < ! [ C D A T A [ F a l s e ] ] > < / C u s t o m C o n t e n t > < / G e m i n i > 
</file>

<file path=customXml/item19.xml>��< ? x m l   v e r s i o n = " 1 . 0 "   e n c o d i n g = " U T F - 1 6 " ? > < G e m i n i   x m l n s = " h t t p : / / g e m i n i / p i v o t c u s t o m i z a t i o n / S a n d b o x N o n E m p t y " > < C u s t o m C o n t e n t > < ! [ C D A T A [ 1 ] ] > < / C u s t o m C o n t e n t > < / G e m i n i > 
</file>

<file path=customXml/item2.xml>��< ? x m l   v e r s i o n = " 1 . 0 "   e n c o d i n g = " U T F - 1 6 " ? > < G e m i n i   x m l n s = " h t t p : / / g e m i n i / p i v o t c u s t o m i z a t i o n / I s S a n d b o x E m b e d d e d " > < C u s t o m C o n t e n t > < ! [ C D A T A [ y e s ] ] > < / C u s t o m C o n t e n t > < / G e m i n i > 
</file>

<file path=customXml/item20.xml>��< ? x m l   v e r s i o n = " 1 . 0 "   e n c o d i n g = " u t f - 1 6 " ? > < V i s u a l i z a t i o n L S t a t e   x m l n s : x s i = " h t t p : / / w w w . w 3 . o r g / 2 0 0 1 / X M L S c h e m a - i n s t a n c e "   x m l n s : x s d = " h t t p : / / w w w . w 3 . o r g / 2 0 0 1 / X M L S c h e m a "   x m l n s = " h t t p : / / m i c r o s o f t . d a t a . v i s u a l i z a t i o n . C l i e n t . E x c e l . L S t a t e / 1 . 0 " > < c g > H 4 s I A A A A A A A E A O y 9 2 3 J b R 7 a m + y o M R + z d N 2 V 4 n g 9 r W 6 y g K F u i R V J q U R b L f Q e R k I g W C G i B g F V a r 9 Y X + 5 H 2 K + w v c 5 6 I R D K Z c B J z p S N m d 8 e q V V K 5 c x T G H J n j 8 I / / / / / + z / / 7 8 z / / f T s 7 + H O y v J s u 5 s 9 + C E f B D w e T + d X i e j r / / O y H 9 e r T j 8 U P / z z 8 + T n / 9 n S 8 O l 3 M j 8 d X N 5 M D / q H 5 3 X / 8 + 2 7 6 7 I e b 1 e r r f / z 0 0 7 d v 3 0 b f 4 t F i + f m n K A j C n / 5 1 d n r B f / J 2 / O N 0 f r c a z 6 8 m P 7 T / 1 P X j / 9 Q P h z + f 3 F X / Q P s f v p 1 e L R d 3 i 0 + r 0 f V 4 N R 7 9 O b 1 b j 2 f T / x q v M H 3 0 e b K I r 3 8 S 9 v N P H n x 5 9 s M / x 9 e 3 0 / m L 6 d 1 q O b 1 a R c / e j W / v J t / / r y g 4 X q z n q + / / 9 / j 2 6 / 8 j / i P N f + L Z 2 b n 8 M / 7 5 D + P Z e n J w c / X s h 9 V y P e E P X k 4 W 7 y Z 3 i 9 l a H H W n / P u D 2 e r Z D 0 k 6 C s I 8 D M K o y I s k L H 4 4 m P F z / l j G o 6 A s 0 z y M o i K I 8 j h J + H n 5 j x 9 V t v F f g f 8 P I 0 7 4 d b G 8 H a 9 W k + u j 6 + v l 5 O 7 u s D L 3 o D L 2 5 5 + 2 / v 7 n + j / 4 6 3 Q y u 8 Y k 8 V 9 z / v k A l / z H f D q r L T / 4 6 d G / U A + q / v 9 p / r H D s / O f f 9 r 8 o w e P O P x 9 P u W / w M H F a r y a 3 H X / 2 E + K p T 9 t / J q H P 2 / + e / 6 r / C R / f / 7 1 5 A F X h k G + 7 b 4 o 3 H b f p / H s b t t / 4 l d 5 9 I y X 4 + V y v L w 2 f C + v / 9 g + 0 P p 7 i f N R F p d p E C d 5 G Q R x G W T 1 F 1 M k o z T O s z A q Q / 6 W P 4 9 s v 5 j a 4 h 4 + G f W k z Q / k 8 P U f n f M f + S z 7 + 2 a C T P P N p I m D C 7 O 8 c l l a x 7 Q u i r P 8 H w d p s s f w f T A a n + Q v n j 5 0 g 6 D c D t 0 0 c 3 B D W X u B A B I 3 q 8 4 L J U 7 I B i e 0 T + H 5 Z H a 3 m B u u t v M X D g 5 J 8 l E Z h V m R R F k a x l k e 1 h 7 6 s S x G Y R k F Y Z Y F Y Z p F q e 3 F V p n b w 7 2 m H K R c a + c v P L z W w v r Z 2 8 h k w n j b f Q 5 P Y Z C n 2 z E b V n F M u P 2 F b C n H 9 y I / E p / G Q 0 G b p / 8 4 C M s h a t u o P b q 7 W Y 0 / r m d j Q + C + e b X t e e u c J A l H R Z k U S V 5 k Z Z H H Q V I / c D 8 W w S h P s 6 I o 4 y S O M t L c 2 m 2 P Z 7 G t z T 1 E 7 / Z Z S g C / e e V h A A e 5 J i 9 J q o D 7 i 8 F V u y 2 p L 1 j d i 5 i T l y T p E F x t c B 0 v x 9 8 + L Y z 5 / s m p Q 2 z F 5 S i g A K Q O T M o 8 T Y u 0 e R S L n N g q 0 1 Q U z W U a h / b P Y m N y D 6 G 1 d Z Q S W S e n H k b W 6 e J P K m L D Z f n + X y 4 O 5 b J M y r C I q P h F l V a / a D + G Q T x K i y A M M 7 x d 5 l F W 5 6 W P 3 5 W V v T 1 4 U z l I 8 e X 7 f 3 n o y 9 / W 9 K T u 8 O X Z e j 6 9 m n 6 d L r Y z k r f v t t 3 p k P W 8 W U 2 W C 8 P X c 3 6 2 f Z z 1 U x t H o y y M + U b K M o l 5 c c V X I h t G Y Z C O 8 i R M o i T N g j T h 0 b X N k q W 9 P X w 9 m + c o H 8 / 5 m Y c f z 8 v F b D o 2 d X K c L o K o G G V p H q R F H q Z F F H C D 1 6 4 s 8 x E l U B J F Y V i G S X V F 2 P X + K o N 7 8 K V y k O J M L 2 + C 4 9 l 4 + c U Q l q 5 d u T I P u N P j I s j C N I p p 7 c i w p C s X J n k c F w X 1 b C H K F z t P S m t 7 c O T m O Y o f v e z H X Y 7 v b n i e V 8 Y + h K s z 8 z S m Y E n C t u F Q O T M d h X l C y K Y B r d Y w t H V m Z 3 I P H t U c 9 n d w q 7 6 / p 2 n N W z + V d a K c 1 m 7 S V T O i v x c O x U x b z J y v J 1 c T k S 0 9 N O p y e / C o W A i b v G C i l Z R B d 0 n y 4 K V J l O Z R E I W 0 E W L 7 a 7 I y u I e o U g 5 S I s r L B + / l c v J 5 f 1 V M N E p 4 6 q K U x 4 4 M p i i J M n l H l s m o C L O y x N F x z J / b 3 p H S 2 h 4 c u X n O 3 8 G P + p s x c C g i m p t R j O w N k 4 9 g u B n b m z H I q t b 4 o + 1 y 6 + c p i 6 u I C f n X h 7 y Q x b S y 4 8 E N n R u 0 T c + q E e r Y 9 K T 5 + Z A b Z N M z H 9 z Q u u F 0 S l d l Z h o E H r 9 x u J / i Y l S S J C R B G S V B H s l W W N 3 k o E c W A n 8 g M 4 / S U n Y / 7 O q p 2 u I e H h j 1 J O W J O X 7 j Y a P j 7 O r F 4 t t k N j N k f u f H L g 5 N R 1 m B 3 7 I m u 6 v K q W g U J E W W U m g V J e l f Y V 1 Q N f b 2 4 M 6 t o x R / n h 9 7 6 M + m 7 W 7 w 5 4 k L a I 0 A j c o o j s u Y R D 4 N w 7 x p X R X Z K E n 5 t z t 3 r h q L e / D o 1 l G K R 0 9 8 R K 7 p U U g u 5 X G L Q j L U x x K F N B T I D d I z e q b P x T W o C e s 0 s M n F D V m g 6 F I M S e A 9 J 2 h z 8 c j h f W p z 8 R o z q e s V y V w 8 G p L A N g n 8 Y 3 z 9 Z W r K A d 1 S h m x E 9 z U R G O i I b u w 9 n G s w y s g Z m I X T T A J r k l m 3 G C q D e 3 h h l I O U 9 8 X L j O H N R / D k h n T h v V O 6 k I 1 i R l w J Q y 4 m 3 1 E Y 1 J f e j 0 X J d I Q M M A w j 4 c k d 5 i P S 3 h 5 c u X m O 4 s n 3 P m Y K r w C f G 8 P S z Z W M Q E o 8 l p c F I H Q B P G k G X W A 0 C 2 b P U V b E z K J 3 C M v K 4 B 5 8 q R z 0 d 3 C m H u T l g n r O G 5 C X A f Y s + x 0 D 7 r n L O A B X y e x i o / u X a r B 2 D r A R P V i 2 c M h q W r B s D Q X R Z T U S L F s M W U 2 b 1 f y 2 m O 9 v A g Z 6 J 4 / L n N Z W l A U R W U 0 7 N S l H D F E E G i T N s p 0 g H 9 L e H i 7 P z X P U u 9 N H 6 N f x z f j 2 I / u J h q z m y A m Z G Y 2 A 5 9 A A I a + R q w k N F K t I R 3 i 2 L A t W s X Z b W G h M 7 s G f W 0 c p L j 3 y E Z k Z 6 P b 3 6 s W g v 9 j + r 9 K X u o b Q 3 p D / O B i W C b q n 8 G i 1 + G J c J H j t 8 G L F y Y i a L g v D p M o t O 0 h c N g q Y J l M n 5 G V U 7 l I o S H t 7 i K f N c 5 R g e v P a w y Z x U G o W C C L N d o 5 D U n M 8 v j P d v + e / O H w s S T A q A y 7 Z I i y y I A a I 0 N y / J a 0 D 3 t A 0 p R M t p g o 7 I O M x t 4 d v R f w q 7 T H K p 3 L + i 4 e f i n 5 Z T D N 2 d f h U f v 9 z P L u e G B 5 r N + x R S Q u C q y X J 0 o T p I Q 9 2 g 1 c p R 3 k W A b T N 8 y j J g j K 2 x k 1 X B r d + 3 N + i v X K Q 8 s F 4 i T 2 6 u J l A S 2 B q K L 2 + c A h 9 l m I I e C B j I a D b E s R Y Q 5 u A Y 0 d s T 5 R J E B b p T i j 4 2 u I e 3 K m e p P j z 9 Y W H F 4 D + r d A U p w 4 X w L u p 2 J p 4 u R z P 5 T X Q 3 8 L G + X f T t X P + w e V D L R h x R w l g h r I I k 4 Q 1 r f r a Y c 1 n l P C l h h n t t H p l 0 g 7 J g L U 9 f K T 3 T 1 E + 0 P M P H n 6 g e m a P p / 1 A 9 T N Y l + F f O 4 M 1 T P / k D H Y Y / 3 U V y P P l 4 t s + X 5 Z C 4 F F Y 0 U u a u K x w r e k o F T s 5 R D P r V 6 J F Y 4 t s l f b 2 E L K b 5 y h B 6 + W r c j a + W q y / G o c V r r u z b J 2 z H 5 u y m C 4 3 q Z p h R Q n T R J L A n x O V q U g g r N m V G p N 7 8 O f W U Y p L v d y d 1 Q 8 s X M D K 7 c D C g F a W A 4 s B r t z d k e 9 I o h a z r z e G c s p t O s + y K Q v L I R 3 r J E 7 S h u 8 h p 4 3 N / l u Y h G W W 5 7 u x l l U G 9 x B X z W / T H q X E l Z f z + b f j b / O J M U 1 1 b K W w V J y m 1 M e l X M x p 1 h d p p U Q x N R b 8 H e y 8 F f X M 8 P G V 9 M r c 9 h f e X 2 2 s H K S 6 0 s d m y t v l e L q c m n x 5 9 t 6 h 5 E i y E f 0 w 2 m F p m S Q C d N F g M 8 W G e J z n J Z O n I A 3 o i 9 V J p 4 U 3 K 4 v 7 c K d y k u L P s / c e l h 6 v p l d f z L 0 O V 8 R F Q Z 5 S x H U K 0 / B F w P 8 h F o t B z u B T 0 R O 3 b l z V B v f g T v U k x Z 1 e 4 m e O x 9 8 l 2 2 d / / Q e e S x n v G + i C X I N n d G i u v B 6 v P z 3 y k T q R m k S j t I T U B I q a I m Z K J 6 D 8 V d n E A 1 L k F a H J L t R t t b 0 9 f K P q S e o 3 6 u N o + 8 V k P T E t a 1 w 4 0 f A l d M T h H A o j u n 7 Q 8 X W e z L I c w F c N 4 b N v l E t r e / D k 5 j m K H y 9 8 J O E 7 X i z N f I p u j i R J D w o y g T D L o z j j D W m a j 3 T J y d D Z 0 U 0 p j + m k W + d 1 l c E 9 + F I 5 6 O / g z L c T G K 4 N B d f L I 4 e s D u S Q I N J j p z o C Q C Q G V U 0 r I x 7 R s G L R m n k H W G l q M t u + l L S 3 B 1 d u n q N 4 8 u W R h x n d B e z g c 1 O C f q R h j L L e + A D k I M a Q d B d h h B G s i E 2 C X s L t l P N X A Q u P Y U i 4 W r u y M r g H X y o H K c 4 8 e u e h M 5 / P K L c M Y f n W J S z B I C Q F s w c 4 f m C u p b Z q w j I v R n E C o I 9 J Z J b H A q R g G 5 b S 3 h 5 c u X m O 4 s m 3 P o b l i z U Q A Y M n 3 Q A C 8 K o D F c k L C P f h V e y I 1 S A f T o O C D k h R k z h Z 1 1 n S 3 h 4 8 u X m O 4 k k v 4 Q F 6 H J 9 m W m d 9 q d Y d y N o 3 D + D 4 B p x z 1 y F G b G E + v Z u N 1 y Z 8 1 r H L 3 Y h S A S l J x f s r N 3 u q F f 4 I 2 J Y I r z Q J 2 O L a Q d i i s 7 i H m N I c p g T W s Y 9 X 5 G N 4 O 6 e 6 M B v h T R p N z S J / U 0 5 A 3 w T E g U Y U x W I p M A 7 W o 9 E N I N z + m s Q b x y h u 9 J K c X T 9 F 0 3 S E 7 O / H Z u 2 n 9 o 3 2 h h T c z s O G a 3 d H M s r a b s z V z b q / B j f P 6 r 5 Y U q e D O j d k I W 4 Y l u 4 7 N 3 S M h o b k z x V P i P g S h B b g P x u e + q p 9 m Y 8 C 3 q 6 c h i Z I 4 w S c q G 0 a 3 x n d w 2 u l O U y 5 5 r z E f 7 x Z L q 7 g 2 h Y Z y J N 0 2 3 X 6 W i F U J e w Y g w W n F A P l W z a z 6 g w A H r y s P F d A f W p w i B 0 C r z F 7 j 1 t z h 9 0 Z m 4 7 c X Z 3 n 8 O 1 6 s l w t D t 5 N r x Z d e b 4 P g R 7 N j q T T Z V l P u k x 3 J V I f w 1 V 5 T 6 v u 4 m q x W h l u S V f W n 6 x g M S e j l R w U Y s r T 9 C A F 9 X j O s B l W c n Y b d x h F S n t 7 u C A 3 z 9 k M q U M v C X / e T 2 c z 8 8 D u j e u m V V Z m Y A Q i 2 Z 1 q Z Q h o d 5 Q R P Z B a y W U H X 9 Y W 9 + B N 9 S T F n 1 5 u W + k B y k + 7 b X U 0 / b h A S l H A 6 P f 5 n g I V I v y R q U j k u 1 l f A r y n A G c T m L 8 i S C C E I o l t q t S Y v c / 3 t D t j 8 2 P x + D 3 V F h 8 u N W B b f B h q Q F l 8 D D V g V 3 y 8 m 8 z / 5 C o 2 T Y P c R O 8 K s b A U R G h 5 R F L Q s 6 4 Q 0 Y M J h T 4 E o / i M / f J d t L M a k 3 u 4 i b e O 2 o y u Q z + 7 K 1 r + M M 1 V b N 1 d a f n D D H v k k j 9 s 2 C T v I u t 4 P L t B U d m U r b q 0 n 5 N o R H U X Z l G c y u X g L s M R 8 9 e A h w q 1 3 B 2 F s y q L e 4 i r + r d p T 1 L C 6 s T H 3 v P 7 5 W R 8 t 1 6 a b k p X Y C u 8 o g k b G / x f b s t 7 0 k c 0 o E E q p e S t z R D W r p J v T G 5 / 5 / 3 1 o L e O U l z q J b T 1 f H E r 3 T m Z 3 8 k 5 0 R E u 3 u 6 I H r k U I h n 6 5 6 L x B i l O A K d s N 0 E P s 1 h w y Y r J Q j 1 W s M 0 n h d U H x 9 L m A 2 H x P v P K 7 b M U v x 5 5 S f 2 g z S 0 1 + / z 2 L 2 D T 2 K a 9 J m L v w c b 2 Q K P e v Y B h q J k v x J p l K Q f g 7 + V y + v n G 1 B I 6 c 2 J q F z c v u / Z x S k 8 I M u h 2 2 Q A s E 3 2 g j E W D R M r R 2 8 Z u Z W 4 P 9 7 F y k B K 1 Z z 6 y t B / D Z 7 W c m s h 3 n L F M Z Q r s F + K E U u y 4 N p U I W C b E X I S m S 4 L E W S V U Z / e + 1 h b 3 4 E 7 1 J M W f X u K Z f p t 8 + g Q / m Z F 3 9 Y 0 L 0 j A h 0 4 1 w Z Z A F e U V F 1 g C A I w D A g H 8 D 6 s t Y U u / b x m d r c w 8 + 3 T 5 L 8 e o b H / G G R 3 M J H T 1 a r u G x M M H V z l z A G E I i g / 2 u s o w g O i I n 7 o C H G U B h C C U g 1 d 2 R A U U Y T r 4 k z e 7 B u 9 r j F A e f + Q j a f z e + M q O D L 0 8 c g N 6 U r T n X b 8 E e T Z w n 9 0 T S 2 P e C 9 6 x h 1 9 2 B K r m y t w e P K g c p v r w 8 6 a a P 1 V 8 9 2 H s 9 / J 0 u 9 u T 6 A B D W a n L X / W N 7 G F q m V d t n Y / U q c A E i N v r c B i R i C q H / A E X s 0 m C 9 t p a L E 9 p + n M E L s h 8 3 u K F z g 5 7 k T e M G h 2 r k Z G n M d s 6 c b k 4 G U E H B c B q g h 3 g R x U K s B P E U I L h 5 E C F u K S o F o v q r e H z x W Z j b w 8 W 5 c Y x y b Z 7 5 e G 1 e T q 9 u p i t T J e I G x y r Y q i C x g W K i C N O k o Z g X E 5 G Y n e e W 8 d F 6 b a 2 2 t w d X q i c p 3 v Q S h s V r a 4 x K t y X E a F T E F J U R o q + g v a W 2 a 7 M Z n F G B Z A 1 m 2 F o a W 5 r b g y s 3 z 1 E c 6 e U 6 6 d n V 6 W R h 0 q s / c 1 H x o J o s G K Z E L D O V 7 D W B E q n v V y R f I 8 g z k T 6 v + g a 2 t W R l b g + e V A 5 S X H n m o 4 r H y z E 1 h m k 1 w 2 n Z S f D Q C 2 X F D D F z Z Z T C D i I b 3 s D 4 A 0 o N 5 i y 2 z q w M 7 s G Z y k G K M 7 1 c d 3 o U l e d E Q 1 8 y z q Q x R z M Z q a S I O 7 U J S 3 Y T A e W x S 1 C 1 e O z X M j b R c v u b i W 2 e o 3 j S T 3 o z L W e 2 Z n D i k C O f T W f j W 8 N U 3 C 3 y g 1 F e Z F B 0 A P 0 D D N 0 l y T A 9 s Z W V o + A j x H t 2 a C 9 I c 3 u I + 8 1 z l I / F y 7 D n N 9 4 e l g Z O m o 0 1 J L q G 1 m m H b E C i h + W R r q r V 7 / B o Z m y 7 j z o N h I Q S R j c Q E n Z u E F f 9 D F J C w 7 3 m R k h I c s p + R w K d c p 7 C W 9 O C Q 6 A k 5 A 2 E 4 Z 1 2 a o G K o L 0 Y Q G N y D 3 f b 1 l H K 9 e Y l J e H Z 4 n p x Z f C n 0 / J w E o 4 E M S s E R O g 8 w p E h F q / a / e E c 4 n c E B W F F q 7 T B 7 Y a R 0 t 4 e n L l 5 j u J J L 7 e G 9 Z 0 / D S D S J a s Z X x m b D K 5 E v 2 A N g i B B E g B J c S r U r v V X Z u T F 9 9 n z L L 8 W Y W 8 f X 8 v G O c r X 4 m U O f L E a E f W / j W 9 l f f p 2 v J z e 3 W z n O a c u 2 M 0 4 A B S W J Q j G Q z n G 9 Z 0 0 S 3 s l 6 S s 9 X E B h Q K P r Y s f O n 1 h 9 I G 0 + q C z e J y h s + y z F r 6 c + 4 j d / n S 2 + m 9 7 n D 0 4 e F e Q B I Q h N c C Q x W P f 2 f S 6 C U c y j D E a B C j a N d u C D k P b 2 E K G b 5 y i e / O C j J 9 9 N v q 4 / z q a m x 9 m t P w / N c 8 R O d M l U p V E r b N a l M x p H y M J W 3 S N 7 j s D G 5 B 7 8 u X W U 4 l I v e / R B o K k l E 5 c y p t m u N V Q x Y r t 2 K G K 6 I k a v g q N R 4 3 X I k / T 1 q k Z q d v d 6 t Z 6 w a L s G g n M i 3 e O b + C D W 4 0 n + 4 u m B I S 8 m s / G 3 s X G Z w W 3 / F v Y B e r a 0 4 I M c W o m O H 4 l h C p M y 6 J E Y f o L v 2 o F x o j G 5 h y t 0 6 y j l C v V y A / d y c r e 6 X S x x r L E N 4 Z b m o I I O i R y M f y B p s x j e 1 b o Q y W F l Z 8 E B E A J i 9 / A + C m 1 m u 8 T 1 v t k 9 u F Z 7 n O J e L 5 M e P Z j + a S / n s / X N b D J H V P i z o e / x + g 8 H + B + k a Z G o V 1 l k S h t 6 t A r E k i N q G c J D C A O D 6 G + J M Y / d B 9 Q Z 3 c P n o z l M + X h e / 9 E B + q q / e v A J 6 A 8 H C A n 4 e G r w 6 S s X Y F I U j d D O A J P E l V D F f 9 P L S s t R y u A c B n + I N R i 7 W L M L S X t 7 c O f m O Y o n X / k I T X o 7 G / / n e n J b T 8 / 3 0 p 2 I a C m D T a J U h R l K E K G 0 3 S b c C c 9 D 2 d I e W v v z n t U 9 9 C d 0 p y m + 9 b J D 8 c f 4 y / T W h D q 7 d G l R I J z C 9 L P g z Q 6 L Q C o H N 2 E K Z S U v O l c v h W 3 N e 2 N 3 9 V Y G 9 x C n y k G K M y 9 9 b F K g 8 b 3 d N Y w 1 0 1 G H Y u o x u K n j 6 h s Y m h Q R z / p r a d a l S n Z r Y r a k K N k L + E / t M 7 0 N G O j + U B c b x y h f i p d 7 b 7 / c X b H 5 Z l x 8 + 9 U J Q R O M 6 D O X E N J 2 l L R N z h U L + o 0 s i g L B r G 8 / O 2 x M 7 i H 0 t 4 5 S X P r r q Y f 5 l r 6 d 5 d L l a N p Z h i a H a G c N P Y 6 u n X W 8 H H / 7 t F i a e v 4 n T g 8 q e W + c R 5 Q r o i K + D / 1 F i I y 3 l B p G / P U u m h W N y T 3 E 1 d Z R S l x 5 y c H x a k x x e n d j x I + 5 6 Z C w U g p L K u l Q W A H I m r l 8 E b N k Q W s D t c A K Q W a 9 Z N H a 3 I N T t 8 9 S v O q l H o m + 7 / y 0 q V L T 0 j M U w W 9 e O T Q 2 U M p A X A F h U N h W M x D k Q Q N T 5 c N h c I + m T Q y B S 3 1 L 2 G X X j c k 9 f D d b R y m f z Z t X H j 6 y z 9 e z 2 W K v k k Q M 6 A t K 4 R y W l v u b q i H o 8 h h 0 q d j 7 k J g r 2 1 Z V b X E P D l V P U v z p 5 z W g Z W 3 R d D h 3 H w 3 V z c Q H R 0 P Z M B q a i k / k a h U 9 g z T B r n C 1 d k O j n 9 x Q Z u r c k E L O H w / A 3 i 5 7 1 f f 7 n / Z R f J w 8 x 2 m h K o W E g 7 5 S G W Z I 1 E t k a o W i i E c l S V a c w g G Q A F + z v T 0 V S p v 9 d R C U g 5 S 7 0 8 t 9 q t P F + t q I P 3 T V 6 M 0 h G R S 8 D X E q p r b N 2 K 9 I R i T F A N n 4 y 8 r L t s 6 s D O 7 h J V Q O U p z p p U T v C 6 S L J j P T d p w b 0 S B 8 R z R 7 I R s M W k l F G Z h C Q T s F e p i j l M 5 4 H m / b e r O 2 u A d 3 q i c p / v S S Z v C 3 y b f J z E S V 4 4 p W o / D I 6 e i n Z R E m C B T V f X 2 o z m n 1 w z 1 I 1 D a i x X a V R 2 V w D 9 5 U D l K c 6 S V S 7 W z x 6 d P Y R D h 3 7 N J 1 p 4 z M 8 N k 9 2 Y 5 m S B P g T V Z a k W n J i w L Z W + v Z W 2 V w D 8 5 U D l K c e e w j 5 Z y + T + t C Q t 7 0 a Q 0 c 5 K J P O 1 C Q d 5 m u v v 2 j w X 4 6 T M r O g P E b 8 y O 3 K x g 1 1 J R E N 0 h j M T X v q H u R j g u E o h w c k l m V B N u + q J X B f U S t / G X a g 5 S o 9 f I K f j 6 5 + m L u A b t h F 1 O U H g q B 8 o 7 J e i v 5 8 K p w Y R W d v j 4 y M I z K d s I o 1 R a 3 v / L + a h f 1 J M W f X i I X S U O 3 O w 4 1 I J x e w Y f x b D 0 5 u L l 6 9 o N 9 x 6 F u 2 5 u m Z b C U D d O y 7 h Y + v g E / O j E p S V 8 c O / T H h S o 4 Z I 4 l D d M 0 h Q 1 b s D V U Q 2 j g B C k 4 4 C C C T F f 8 e e 2 z x 9 m r a o t 7 C C r 1 J C W o L o 4 9 7 I 5 f f J 3 M r 4 z + d A N y F g w / I w g 4 0 l B o S n d P X s H w U 1 2 e s a s 6 a o t 7 8 K d 6 k u J P L y G c x 8 v p a j W B c 9 W k K O H m 0 p w s h p e P S I R W d 3 P L l B y N 1 b Y s 3 r G Q 7 I z u w a u a w / 4 W j p 2 N l 1 + M q h I X L v c u I I U k J F J Z E 0 5 y I R j S 3 L s F y U y Z x A y 2 S G o y a y K k Y 2 l u H + 7 c P E h x 5 d m F h 3 e u H v P 3 t P Q 5 7 8 Z / j m c z E 5 j b r T m Y o Q i L I g X 6 M R G 9 w G 7 V n D b v i E V 6 6 A o L p G Q F 4 M W 2 l K k t 7 u G T U U 9 S v 5 n 3 H n 4 z e i 1 s D S 2 p d f K b N 1 r Y d f t W N 2 7 L h R b 2 w A 7 b p b / 6 T p A m d K 3 d 0 H S C D I o h o h M 0 C I b c c 4 K W U c o F N p n V X j A U g h l e G A r B z g k W u m V O a O R y F M K R w L W H 8 v h 9 W A 3 c F 7 B h Q O s v C E 1 2 4 r 5 Q 1 c T 2 1 1 1 R T 1 I e G C / 5 T N 4 u J / P V 9 M 4 4 T n T K M K n s G V l E C C O n u J R x f 5 d h p k g 7 i p 0 T h v 0 C A W C b M T Q m 9 5 A y b B 2 l u N T P P F M r r K R 5 r B w 6 5 s + X d F m n 8 + X 0 + r O p O H G t O E k k + X L g u k p g S m 4 + H D a V 0 E p j l p n n a S x I z W w / n P t G 9 / D x a I 9 T P i A v m w m X y / H 8 c z 2 T n q 6 + A 4 q t l s a f L 5 a L 9 W c N 3 Z G T B l 4 K c 3 2 Z c D H E 6 S Y Z A H U p N U X G S 1 A W F X 7 e r l P U m H 9 Q 2 7 t H 9 N 7 h 9 l m K g 7 1 U w H s + X t 0 Y o M 5 u U Q s J g A A B E b M M Q s C J U A l W r d w Y Y K z Y J m I p T J a O 1 t A u Y W 4 f 8 X r / G M W N X s b p 8 8 n y y 9 3 N 1 M j T c e a 4 w y I 2 G i K h c F f G F S G 2 9 G U e A z f I Q A m R k S V Z U i T W 5 X 5 r c x 8 O b X 6 f 9 i z F q 2 c + r o b q a 8 3 E o c v X 1 J q 1 k 3 Q V v 6 g 1 k z 1 e l A + y H D z J X z w 9 A 4 4 e d a C B f j j k U K f T P 6 f z z 3 c r I / L g 3 I V P Q 8 h p I T 1 R s N m d o A 7 D M 1 r f x X k + I n l i 6 S Q J 0 D Z k i d c a y 9 c Z 3 Q b V / g o q z W F K B J / 7 y K e h p 7 5 2 W l W o Q 9 i 0 q U A I D 4 s K X a P i H R L I d 9 A d G Y e c z t G F R k 8 W 8 h R K 2 v i m Q u F 1 F C z M V L U d v Z V d 6 t o Z 3 U N 0 a Q 7 7 O 0 S X 1 E 0 w Z K 9 u W 7 s h G 5 5 U H A X X I 1 I g H V O n 6 D 9 F c V g K y O w u a w n S 2 h 6 c u X m O 4 k c v t 3 X 1 m 0 Q a Y J 9 9 T 7 0 e b c Q m V k e x S T T Q O n b 3 Z B D E 2 / C q X J P p W L u h R p g L 9 j d x 6 + n S z f g f B / k A c u 2 c c D m m j p t / N q e C H 9 4 7 1 A D o V w k F M g A 5 a C I j c C S 2 7 a p S D s 2 j k L U O 0 K k 0 2 e C X t o a O d 0 b 3 c L 9 p D l M u u Q 8 + z m / P x m a F a z f O J g H J g Y Q 4 o 7 k e Q r C W N w l I G M U j H i r U I A L 6 p D T P r N N 7 a W 8 P 7 t w 8 R / G k l 4 x N r R 6 3 I f V w 5 Q g Q 9 I Y p V H g h y t a y J q s a Z x B w Z e S T R V Y W a F v v Q J T X 2 t y D R 7 f P U r z q J U v A i 8 n d 1 c 0 a n W W T V 5 1 U 6 F l n Z T U S S l u G Y K l A j d f 3 L r 3 R E b q Q I X 7 e U Z e 1 t b k H r 2 6 f p X r V R x X 6 s 8 V 8 9 X l x O 1 m K 2 c X x Y j 1 f f d / O c d 4 6 d U Y h 9 K D 2 A 6 3 c r M 8 1 z y k A V x T o g U g S s 2 K e Y f 2 c d k b 3 4 F f N Y Y p j 3 3 r Z G 9 X u A r h 0 V h r F c k N n R S i W D 5 2 V L l l 9 O 5 0 s r 0 x T X z e O J W S O 2 Z a C V 7 B + B + t l j R + L i J C L h E Y f l 2 k Q W 8 d V Z W 4 P M a U c p M S T n 6 Q q W j Y P F 0 h V y + Z h w F R J N o 8 B V N V F l H 7 k U 6 0 9 / c U V p + o 5 S u o o 0 d X g Y u R T D i O f l t n m c r o 0 L W 5 f f n C o v u M S S S e 2 A g s 2 Y Z p N z y q 3 5 7 Y D d x 9 A m C 8 L N X u + V G F u D 5 f a x j H K l X b 5 w U P E 9 M v x 9 Z 1 5 D c a V L j U V + t 8 F a 5 4 b v D W Q n W R A W F i B g f N R 5 P n W 8 I b a 4 h 6 c q Z 6 k + N N P s t R C t / 6 p Y T q y 7 k 8 W d U Z R O 0 h 3 N x a k f A P d V P d A / T 4 3 7 8 c 7 L 3 8 W j N G C I M / K I G k K 5 I J R D B 0 s S P Q i i M e Z X V t j T K S 1 P Y T T 5 j l K M H m 5 9 v l i K l C b 5 p b k m Y v a A z T y g v E 2 i q H + l k u C T Z u 5 y E c F 3 c g c U L d c N L N X 8 G h t 7 s G j 2 2 c p X j 3 z U f X h E q y m q Y F 1 / s I h d U l y t G i B e W X Q C D X z A Z m 6 l P A d Z E x K Y Y T a T d E H Y 3 t w p f x R 2 n M U N 5 6 / 8 D B z a T u o h q a V G 3 U F O 3 q i j w w 7 a a W 8 1 W z Z Q 0 Q i N G K R 3 W G + X Q + H 7 A A L r c 3 t L 7 0 / N N D 2 W Y p X v a S v u J x + H K / / b X C p 6 0 I m T O J i 9 z p j O x s 4 f H P f o p 8 2 Q i i W W V 9 N v l c 3 u B 4 n T q g M 7 s G f y k G K M 7 3 k a n s j k f E f 1 0 Y J L L d k K B 4 x r i M G 2 Y D a 0 F B D K h b 1 F Z j a G h 4 3 6 / q i M 7 o H p 2 o O U x z r Z W K k 7 8 A 4 N Z b r D o y p s U w H Z m g s d 1 W G n u n H p d R r u v u G U k 9 0 9 4 d S r 3 P C C / g D x q Z s 8 s h p v z O C / 4 X 2 P t d b l E t K n 3 p u R n 2 A C j Z 9 F Z L J K E M k 0 r q / X x n c w 9 W m H K R c a 0 c + K s 2 8 n a 6 o 9 w z J h x M d J V 3 N C E 9 F g v l X z r A b e D m e Z O r N G L R h o 7 Q u 3 S u D e 3 C m c p D i T C / p K F 9 M L h a r h c G Z Z 4 6 L u p R 5 S Y j G W 9 3 A b C K z H J V l C C q F m k F k m L b b l i 8 m B 8 L e H n y p n q Q 4 0 8 s l 3 d P x p / H 3 C Z x N B n 9 e O n V i w P U B 6 g v i m E V 6 I b v b F n s B C m 3 o U 0 A 6 G b J i K b n W 7 I q 9 1 u Y e f L p 9 l u L V S x 8 7 M e e T u 5 v F R 5 N I o 1 u M s s 8 D T B P 1 z c q l 4 p G s x k j Q J o Q 5 I M A 8 A S m 2 g + p e b X A P D l V P U t z p Z Z C e T 7 6 Z I b l u S A f W R G A 7 R D I 1 p t w T C n u N N + M R I 0 G g Q 7 R p K m U E u / i s z O 3 F l + J 3 a Q 9 S X O k l 0 u H s 6 t V k b s S D n b j k t W z a w a L G m i z e r O a C j S 8 L d F X 5 G 8 i 5 x U 7 Q L s r V l c X t r 7 y / x l r 9 2 7 Q n K f 7 0 k r e E O d E 2 p C 9 2 Q a 4 0 g 6 f Y g F x J W F y I B + R K V y 3 q l 3 g 0 X C P W 0 9 k W Q G R i x h J L P A M 1 V u e G y w n K h 4 Z M 8 n e n 1 R G A y k D P S 7 a F U X C / J 3 W G C B F l H o j 0 N p W 0 r Q 2 k v e 1 9 s 7 + b b f M c 5 V 7 7 3 c e F k V f j 5 a 1 x I d x 1 A p Q n k D c G 9 z Z T m 2 E e 4 z 1 2 R v I 8 K 6 j 1 7 L e A K o N 7 8 K V y k O J M L 2 c / R 8 t b z F z M P x t C 8 / 2 / H I a z 8 G Y z / m G H I A k K G F c k P b b 0 J x 4 G R s v y f 5 I m u 4 E n W p t 7 c O n 2 W Y p X 3 / / L w z n t + + X 4 T 3 R m T Z X 7 m a M y G t 1 R 2 q N R N Q F q q 7 w S 5 q u c t h q a E f Y 4 w c b a H t y 5 d Z T i T S + 1 0 d 4 u Y M 1 e G k t 2 p 8 c T Y Z 4 I w G A M A U c i K 4 O 6 M I B B V / x N 6 2 R 7 C o 7 a 4 h 4 c q p 6 k + t P H B z T Q 6 o S 6 M O Y K D U J x q S b 1 F q U O M J i F z P I G x t w u I z 0 W 6 1 d T 0 a 0 + W 8 + n V 9 O v 0 8 V 2 v f Z W s 1 m n J 9 Q 5 / P n l Z P F u c r e Y r V d A E Q 9 m L J a H I r S S I o a g S i Q 1 S S u q n M E o x 2 C i E e b d o R 1 W W 7 1 H V P x h e 8 R m M O 3 O g 3 T 4 d j 1 Z 0 l 9 / N 7 1 a d K / k 0 1 M h v V 8 s b j + a B o J u T T D B 8 U c 3 m t S z T M u S 7 m X T O K G j E g O o B k s I p z g Y M + v B Q 2 V w D 9 e j c t C m Q w + 9 b I O 9 h x V H T n f f I u x 0 p 6 F y P H X Z i o S w M W D P I a G E g K 9 T A M l q Z 5 Z k o 2 C T h E q E n D j U L Z b H w U i V v Q e V t f s M S + U g x Z e n P i 5 D f p g s 5 8 Z S 0 W 1 + R H e a u S 4 0 j v R 4 6 o F 8 V S o C R E K p P k U i l G 0 H U X X Y V v 2 V w T 0 E p n K Q 4 k w v J 0 e v J r d f U V g a X x t K x S P N c 2 n d V 4 u h 3 2 Q 9 B c G 5 I O D N R E y p i c 2 Y Q S E M j 9 3 A w d a f r c 0 9 u H T 7 L M W r R z 4 u o l + s J t / G x r U y N + X l D K K x M C D B k Z M F I Y 4 l Q 1 S A 7 S H n v L e m Z O v S 2 u A e H K q e p L j T S + n l i 9 V I J L T j 5 f f / Y U q I z l z w 9 r H Q 5 W V i B M d 1 z L 5 z R 5 i e 4 + y o Q C i 9 I s + 1 V 0 L D 6 o P K 5 l 7 c u n W Y 4 t k z H 7 H 3 g Y 4 z P a x G T H 9 t A z e s q 8 a Q H O g h G q y Q q j G M 9 5 j W 7 F 5 V 7 P J P P H 2 t o Y f h u h T v 9 Z V o q t 3 F I v R Q u n e l e y U u a 8 h D 3 P j B 2 S f i e k P 7 o R b 4 a E C D S A M y Z m L 0 U O l E 7 M D r X x n c w + W m H K R c b F 5 y h F 9 M y S u N V Y K b N z N I 3 U O k j X m q 5 G i w 9 S a v F c q P c Q 7 2 I U s j m O e s U 5 D K 4 h 7 c W f 8 2 7 U l / B 3 / + y g b K l 5 k R 0 3 v u p M Q q F N 5 E P 4 0 1 E 9 l 3 a U B J O X k J k 0 E A 2 k 0 C Y u v Q x u T 2 d 9 7 f v H f r K M W l 5 z 5 q s e p 1 A T X s H / r W 6 M F P h z / / J F W Q + d e T w 5 9 P D r 4 8 + + G f 4 + v b 6 f z + n f 6 / F y a A g N t U O R v F I T K 9 U B 4 j / Q D z Q f P N l M U I h W x g b G n N b 2 F 9 C Z y N s b e H D 2 b z H O V r 8 X K m / G L y e j z 7 a H i d 3 d q x d A l y Z B z x Z j 0 4 b k p K 1 g k j A C D 0 Z H N 2 N K x 7 P p W 5 P X h S O U h x p Z f N W D 2 G z Q U 8 1 W L Y D O A p i W E b w F P d 3 X j x b f r J x P z j O s y H w C I r o b C A B R J s d t t 2 S 1 H Y F U o 5 B U h 8 o c F g P d + Q 9 v Y Q U Z v n K A H l 5 S z / 9 X x h 2 r Q + c U F l 0 J d h p B G Q / e D M P K i p x n + k 1 Z b A V Z e n K c K E p L n 2 V L v C 2 B 6 8 u H G M 4 s S T 8 2 5 w W P 3 V g + X / I W Q n q 8 n 1 w c V q D F t q 9 4 8 9 f Q / g a H V 1 M 3 2 k Z H F a d C p J S k I W K A B q Z z J d a R r h U H e G k G C D a I x z i B L s X d m Y 3 I M 7 t 4 5 S X P r a R + V r i F K 3 h / + B C 1 i 7 4 X A y Y L U F h 9 M A 1 e 6 e O T 1 U W 1 N m W I + U W q h 2 / X T p g D G S 6 3 G g G e z c 8 H I 5 m c y N 2 E G n y w 2 s d p i E J B p C q u T e B L 7 g + W I C n 0 A J U u 2 I W V P C V w b 3 c L U p B y k X m 5 c L Y i D g t y + 2 W B N T D q W 7 v k p w o a Z o q w Q D N 4 W s E g Z y i i 5 u 3 y 2 u v n y D G 8 F Q e b t B u a M R o Y n a K Z l J V S o 0 a Q m o X 6 b 1 Z C q A S O W e o G 3 j r T G 5 h 9 j d O k q J X i + B 3 P o X 0 S W y 2 h f R E F n y R R w i q 4 u s 5 7 P x 1 P g i n r j M 0 x M I l d B D Y Q A B G X 8 M k L B p T r L 8 P i o h K Q w S 1 D a Q l h e A G L s 9 2 8 r g H q J K O U i J q R M f B + k f x o J u 5 P k a W X n D T e n G M Q l w H o J 4 F l + Q a o u 6 S p w u t F i x h f I g y y L 7 D i U W H 0 h 7 e 3 D o 9 l m K T 7 3 k l z w e 3 3 7 9 W O u B P y C m 4 T Z E L E Y l K s L I R Y P i Z i O + h a b B q Q y N K J o 3 A l O 6 E 6 9 B Y 3 I P P t 0 6 S n G p l 2 N h v U S p C 9 A i q 5 E W 9 S 2 q q w U z k B Y D 0 K J 7 + F 6 J d 0 8 A y W q h + u 1 S 4 u i 1 / L O / h k B K I Z 2 H b h e E L n R b P H 5 i w 6 h a D o x T F s l g 2 Y K K t w J k 2 7 5 8 l c U H t b 1 7 B C 4 d q i c p Q X X 0 u m t B V n / l Q e e y m T 4 b H r 7 z X x w c m s D c k 6 N K G o H 5 Z G 6 A 9 5 o S g Q s 0 Z c s M k f Y s Q H b W n l y 5 M b m H e 3 L r K M W l 5 7 9 4 6 N K L m 8 n y V q Y 0 D 8 l I u R V 9 b C q x c S 3 4 m V C T i j u B b r G / y 8 Y 9 h C J x B L H I D j J S t c U 9 O F Q 9 S f G n n y W f l j b E h W K y b a b U I 3 H d w y e b K Q P J Z P f y H c / G J m m 2 s z c O t y S s h L F 4 2 Y K 0 C D d k u c t k x N X J F U l / R T x / 9 r e k M L e H g N o 4 R o m m s z c e 3 o 6 P z V u d G J W C U S m w J j B Y U + t x E z a L g S h x U 8 i T 1 U C q F I q y 3 R q L s j E K 3 R 8 I b e M Y x Y 1 + c i n p u t i h i w R 0 C 3 6 n 2 W I E v w 8 i 0 N 2 l + H a 9 m o 9 v D c m j k 3 B R h F x D g M x z B E q B r T 4 J 4 a q W h U I g v A l M B O Q Z d J 9 3 2 O e r D O 7 h Y l Q O U m L K T 9 m i X D M Z C l x 6 y 3 m 9 U G J o L e f s k w y d 5 S 6 i X o z / n E 7 u T K t a b n 2 r n J X K M C f X C J m 2 w j / Q t J Y B B b H d E M G k i + T 6 D v Q D t b 0 9 R J R 6 k h J S f v a s t L l 7 4 J A q t r l 7 8 P A z J X P 3 Y I + t j g c b F 0 / y F 0 + P z z o e 3 9 1 N T X w 5 b u M a 0 d y H T p z 9 c l a E 7 v W C x b i G 1 e U I E G X 1 5 9 Z p X 2 V w D 0 G l H K T E l J f j G v 3 e o w s E u U 3 9 D B B k u f c 4 Q J C 7 h + o N k M f Z C m S Q I f t z b z Q V C H n F C f D G I i 2 b P S 1 U 9 0 Y F 7 O 7 M z f g r 0 U K 0 7 Q W 3 N v c Q W d t n K c H l Z 7 M p 0 M A e I w 0 6 y B p x V 9 f A k Q F w B + o x G v B 2 X W j 9 t r h 5 R P D Q j V Y j H Y H J E S w p V F D 3 + Y t K c A e s R A n y N 7 Y j i T v r 3 a f a 4 h 7 C S j 1 J C S o v K T U C b W H l g i V u C i s D l l g U V g O W u A u q U J e K 5 5 q O k Q P u 8 Y z h 6 H J s w t u 5 S n K D N s g h v A 0 k Y D a k r p b 9 E B Z d o W u E Z b N A l b u m 5 b f D B d U W 9 x C 4 6 k l K 4 H o p z H 0 2 X h v 5 9 9 2 Y c N i m Q r 2 S T C Z g Q F r R 7 D d U O E E j p b e L T K m 0 t g 9 P i l + l P U f x o 5 c k O M + n M / b P P 5 u 6 K q 6 C s 4 J j v C x Y H W a S 3 Z I a w X M E G i i D b j w T i 6 h J Y f 2 g N h a 3 P / P + e v 9 b R y k e 9 V J 4 V o + D d Q E D t T h Y A x p I 4 m A H O F D 3 q D 4 m U P L B i Z o x G 0 E U T h Y a l Y z V s o 4 s N U f e 6 / 6 + i F j e t 3 v u p L 0 9 x N T m O U p A f f C R m T G s i z x B w t D 4 9 9 k T p 0 e s n M r O 5 8 Y Z i U v n R n C K i z d T w I o e G t r l g i x p 6 N w 0 T o 2 e X X y F 3 2 8 8 3 6 s k M C T / 8 G u U Y L 5 Q E a p w C 8 3 k r i y D D I 7 / o A R G t E O J e c / q H g J Y d 5 o S x l 6 K A r + c z i C x N r T k 3 K g 2 k h F y 6 8 D Y 4 a 6 G 8 6 q T 7 g b 1 D A q a 7 n c W l U W x i 0 B f Z X A P H l U O U p z p J d n G y + X 4 u 8 h Z k R H 5 a K T C u X R 5 Z h N k b A X U N o y l I K q c / c l Y Z Q V l l J P S U q O A Z 4 c h 2 X r b R B p + U J n d h 2 v F 7 6 Q e p z j 4 0 s d H 9 9 f x e v a F l o E h X l 0 7 f f Q L A r R W Y i l Q 3 M K p S 8 F U j m Z q E S O g Q 2 p l m z 8 1 B v f g 1 K 2 j F I d 6 2 e k 7 n X y b G q v M P 5 x G v 4 Q j 7 R + u V 0 A x V J p t + w d s f F I A h E E I F x Z z a 2 9 K a 3 t w 5 e Y 5 i h / P / / A Q J f h i P T f t g r k 2 C 8 B I Q 8 r C j l D J / d q 6 M Q z Q v 0 V K P K G P l 9 b I a r u y R p j b g x 8 3 j l H d 6 O N m 3 2 O Y X R d y n S Q D 7 S 6 a P r B F y u K 0 Q d I I y S O y X r b A 6 O z F J L v W 1 e k G m H Z / D Z + N Y x Q 3 e s m R p O d i c Q G m N V w s B m C a 4 G I Z g G l d 1 a g v 3 l 2 c 0 B b v B i / I 4 n 1 w Q + c G 8 r n t H k q s 2 Q Z x G G P p E T Y u I I A W Y W N A A U i E z Q A D 6 F x N d q 5 x t Y s b i l r c J j a 4 o R B 6 w Y M b O j d c j p d m Z g A 3 F W 6 w T K g j w F u M C l x N O i 2 r b 3 Z G + A N 4 F s M o S t O i v i M f l x + q z O 0 h G 1 Q O U h I J L 7 d G H g f W X D o V a M m I x W X 2 l l l V Z 2 g h G y Z V J y U Q 1 O J 0 U J B 9 K + u / s M v s V b j L / r J C 9 S T F n 5 c + l m n 6 h 8 o l J 2 k f K k N O I h + q I S f p b s h m T d r Q x j p 3 j K u U s I E T p 5 B 4 z 7 a N l U O 2 A X U K a + U h s L V d s B K N y T 3 c k 1 t H K Z H l Z Q M k 0 O J A X e b r D Q 7 U M F 4 X O N B h u t 7 F l b 7 k c s I N N v N S E 3 B Q z E s H 5 G D n h r e T p R E F 5 t a i Z 1 J K T 7 c s G b 8 k 8 C Y 2 9 B i R G K A y d a m R D / b S W d L a H q 6 1 z X O U O 8 3 L 5 n y Q a v Y b 6 z / 7 i 3 Q 1 9 X 5 j W i / 2 6 I g U U o H D H Y g U u n D S l 7 U u T 0 t b 1 h r e F l n W D o 9 L 5 4 Y X k 7 s b 0 0 q c 2 6 0 W o + Z I c z x A Y S m 5 P + N A V R c 1 Q A g t y N b k S L L u R D x e 1 0 p 7 e 7 j X N s / 5 O 9 x r J 4 u 5 c b n R l b k Q S m Y h f M b c E Z 7 5 i B i r k D y p o O p q J C J E L 9 e u o p X W 9 u D H z X M U P 3 r J W X h 0 C 3 P T n U n W w w 1 O m b O M m h Q B n S a G U 6 Q W D R U X c E o 4 D F s 6 p x 2 W v 2 u L e / C m e p L i T y 8 h l U G q 6 d + G L n D H R p w 8 N M A d U / q 3 4 Q B 3 7 B 6 6 x / u 3 T u g p I R O f I D M H L e E G H R r L d O i r J H G Z V r s 6 9 t R N S m N 1 f y 0 / 5 S A l p k 5 8 R E z p V + k 0 4 y / r / d R m l c 6 Q w o t V u i G D 7 y L q + X L 8 X 4 u l M e d w 2 v y G 9 w f m z z z N S j h + w F J E b V U s g E 6 0 A g m 3 e s 3 G L u d o D O 7 h o d o 6 S o k q L 7 e + 3 0 + / f h 3 f G N q 3 Z 0 4 C H 8 k o z w q B d k L C i F 6 t 2 N e v U k j W F k l H Y E s u A Y V T L l g j 1 y q D e 3 C n c p D i T C 8 F P o 5 v l t O 7 1 d T I A O o 0 s o S t E K F F O E C F B B x h 2 n i z F M S g c H W F q G f C V G j f s m o t 7 s G h 2 2 c p P v V y c P l 4 D u M E Z Q t G a I j B T 1 8 A H t 0 g M 8 / h p 4 9 B C q d h K T R S r Y s 8 J b P 4 b 0 t h f B S L 0 6 P Z n P p f 9 Y V q a n 8 x W x m 6 X 1 0 K c z o x C o w 7 0 R b G A c s w 0 N L k 4 L E b 5 d n q v U O Q N s + F b k A e h W z r 2 x P X C H N 7 u B w 3 j l H u R S 8 p C 8 N A g 4 b T l d g u a D j t 2 K A q 7 R 3 H B u S 1 I o F 9 c G w Q D x x u p D L L 6 d U q e q b H e r h c m y 3 W w 3 B v S q z H c H F 2 F + f F 1 + n 8 i 6 F S u H A S P h J r o 4 L p F S b K S p e 9 G Y c W I k O p G S u t s x B p a w / X 5 u Y 5 y r 1 5 4 e N i x N l k P l 5 e G 9 z o V L / z A F L V M d E G t 1 h C K J X V Y 9 I f y 3 J U i B 3 R N G Y W u x M P d m V w D 7 5 U D l K c 6 W X 1 T l 6 + j R N O n p b Z C A 3 l T 5 8 W x k / G b T h R C K J 7 4 r 4 I Q z C S T c M n R 6 o 6 5 U O J y p g 1 x n A X x f H a 4 B 4 + m e a 3 a Y 9 S P h o v h x O X 6 E K O r 0 z k j a + d e j 6 0 d s I s S 1 G p K 5 P k H h W + U A m h c 4 B L s z I q h G a 1 7 e C w t r j 9 l f d Z V M r f p j 1 J 8 a e X e t U s W 8 8 n J o G K N + / c V k 8 R H m d 6 K N Q + C z R f 6 N R V y O Y Q R 2 c 5 M 8 V I N m r t W 3 i V w e 1 v v D 9 v K g c p z n z z z s P 1 0 + P F a m W s T 9 + 4 i G z F l K G w F U f o L + G 3 e 8 S q J V k W V 2 1 A n i X Z H W w j s z K 3 B 1 c q B 6 m u 9 F F g S 4 / h 1 D z O 9 g O r u u G a 1 H u l u u p R r s 0 N Q h V d 2 X I 5 v r u B A c 4 c V W 4 Z T D b K U b 1 i M h U x C + Z / a / a B i 5 A b E g 4 G E E 8 l G H b r G U d n c g + R p T l M i S 4 v s 5 j 3 y / X t x 7 V R 4 f r N K 5 d 3 j + k + a g k Z p W c E h R 9 N 8 G b Y E Z D F h B B r k M X E O x H e N C b 3 4 N S t o x S X v n n l 4 d v 3 Y m w U V r 4 8 c X F n P A o y g j P M B f V U x 3 R T l A g u U 5 m S r k J 6 U 0 0 o 7 S b L w t o e P L l x j O L F y x M P v a j f H 3 F p m t Y z D o E F e K h n K v Z H h p Z p 9 + i R + V 7 z 6 B n a P G 7 d O n j E a d b B F A 7 W F w 2 m D d r T h M Y P I c V o n + e w b r A + D v K t L e 4 h o t S T l K D y s m t 3 P v m G L 1 + N / z Q K l R + / d 7 k h e f B g k h b c f G W a U K y z B y k L v Z y F l I D K o C y o D 8 T g 3 7 p u x 2 q 4 u b C 5 B 6 9 u n 6 X 4 9 f i 9 j 5 e l F i j q s s b a 5 C n C f Q / d l h I o O q y x d t c l 2 1 c y c j b o S W M X v o V m n c v E t y D F m g a + h X t u 0 M 5 b X b Y e x X q W u M T S e n K k q 5 j l m t a w 9 d i 5 4 X T x p 6 k 7 7 N a B i l l 6 5 B 2 J w H h u U N + X + S i C 7 7 k q t X b A G w l j e 3 h e N o 5 R X p Y 3 P n a f f p t 8 + s R O i b G X 6 L a a j y d J C a I g g Z 4 7 F 5 V w k y 9 k I 8 q p G g C D g r H 9 g l B r c w 8 O 3 T 5 L 8 a q X y / l v 1 h C e G r L 6 Y y c t 6 m K E t l Z C V h + R v o d S s 6 B q 9 Q d o R 2 Z l U G Y x e 1 8 M 4 6 x 5 7 a S 9 P X h z 8 x z F k 8 c + q l G D F r / 6 Y s z m 3 d Q + i x G w T q E l Q u O x Y I + v b V / B V M P 9 m / G n z F d F 7 W b b 6 6 8 t 7 s G b 6 k m K P 7 3 U + 7 y 4 m c w + m k L T F X g N 5 X a Y M T f d h M c U x Q j m V 2 i k 4 I l K R L 1 d L 7 M 8 X n B X B v f g T e U g x Z l e g q 5 / m X 2 5 g S n f c N G e O K G u w x E S h o i G E n 9 y s b Z B y R T p S M g e E p e C Q B + 6 K O t S u 7 a 4 B 3 e q J 6 n + 9 B F 4 r c f J a M R 4 H c C i t J X Y v j D m W 6 4 3 O t z 7 J F p w I W U s 0 Q v 4 h H y d Y e C P g c z B / 1 z T u O / S c 5 M m 9 / D V N L 9 O e 5 T y 2 X h 5 p + v X e F 1 a 2 c 0 z H B p 6 2 b I 7 M z S z u 3 p U D / X W D N I d o v d 4 O Z 6 a 2 u V u A 2 K w b I g s I L y Z J v w P i K G b 0 A 1 G U c h 0 m F c 9 k L m Y N c B V 2 t s G 0 / 4 g N J v n K E H r 5 W B Y D 7 v Q 3 P W 7 w y 4 M w u s S d j E I r 9 8 L W i 1 b s Y Y C w S F o 9 W 1 b l 8 W A t m 1 r W A y Q b d t h M a B z 9 e l 0 f r W Y m V Q T 3 I a N M b t T B Z T 6 p D h C m j h u G k 3 Q 7 b N N h f A p z K v V / W l b y t Y W 9 3 B / q i c p N 6 i X w 0 b 9 B N + F a a G Z 4 N f F q a 4 L L y b 4 A 9 N C F 1 R v p 5 O l E a T t q v z E r k 0 W l K F Q A w + b i I J w e h Q C B A 2 T L A P 1 K 7 t G d m i Y y t w e A k o 5 S I k n L 7 W e j h e 0 4 k 0 T F V c x Y Q Y q t N u B H z b N 2 a o u p A 8 P 6 0 I Y F 3 B p 1 P e m n T M r g 3 t w p n K Q 4 k w v B Y X f r + 9 4 7 E z 0 e W 6 k a z E S M l T 4 B G U m K T M a q q 6 C v 4 h R B + I P Y d M I I E G x f e x q i 3 t w p 3 q S 4 k 8 v q d c Q a t 4 e / a f J N p D G J U 8 N N W t a s S Y X t i 5 J w h o J H h v o w E L Y f O O B D q x 7 U v V 9 B E 0 7 x 8 H V b I Q t T U u y T l O A J G R 2 E 8 N 6 z h b l R i Y M i j U v U R 9 o 9 K i s 2 w j S 3 B 5 u h s 1 z l H v B y x H A 5 U T y M T 4 f V 4 s D 7 x b r z + I J f z u m Y 3 q z f W O c u j D J C d o I K H V A l V P K J D k M O n V / C M 5 U A a 5 E P a J m Z 7 G e 7 g j z D 6 T x B 9 L 0 g 8 r w P b I K H D 5 4 p O L u U x / Z 5 R 4 f 3 7 k M f A R v U g R 0 k r F O B q t O u x + S E r a 8 8 y x E R 7 u J g y g z t f 3 1 / 5 S D F F e e + D j s + W 1 8 9 9 U o r H r m B J I A p y T 6 u A i r 1 r K 5 T a w y h g E J w 2 5 d z Y 9 l P b u r D O 7 h F l Y O U p x 5 5 i N M Q t + L 0 P T + r V O n p h d R 4 x 4 e 6 k U M K 3 T 3 E i c t z Y A G p e y Q O O n z c A 3 2 0 + G M 9 x P z F u C J E 4 M J k t k p Q B s 0 e k u U X O H C q y 8 G 6 J W 5 M n I Q N + w C 7 k K O J 8 3 t 4 V r Y P E e 5 F U 5 8 J D H R 6 z l o i j b r W 6 E F C t d L m r p r Q Q K F k z 2 m U A f / v p v + x 3 w 6 e / a D t P v g p 8 O f K 2 8 8 y V / 8 d H R 9 v Z z c 3 f 0 6 n c y u 7 w 5 / / u n l Z P F u c r e Y r V f T x V z 9 9 + I / 8 G E 8 W 0 / 4 1 5 P D n 0 8 O v j z 7 4 Z 8 C H z / v 7 g V w n 9 u Z c O T S K M 7 q d k d k 6 B R n + d A q 3 n S D V r H J p b 3 Q v J G G 7 o L o 1 w / N h S 4 W 3 o 9 n H x c m x N i Z y + M S F y P o k I E Q 1 F w b 7 Q w s z 0 Y Q D X Y U 5 O I v 7 J q 8 l c F 9 P C / y l 2 k P U t 6 X M x / f l 4 u b x d 3 N w r i N 7 J Y r C H Z V S H L C D G 4 A G D l a Q E g Y g g C k v Z u W o A B B d Q p Q v Z 0 7 G 5 P b 3 3 m f N W H 1 6 7 R H K S 7 1 M m X Q q y d r V r w c 8 k v S u + 3 3 M N b k s N Z p S d v n N e w v y T 7 v s L / U X c V 6 2 J 5 L z d j C 9 g x F o 4 T t D V V j 5 4 a L 1 W Q y M 4 0 9 z 1 x a a g l 7 D F E E 8 D W K W V i u o N J y 7 I n 6 R h R l T D 6 B h t i v H l X G t j f a H i 9 P + a u 0 B y l X 5 5 m P D T V + D O o G Y 2 5 z s T 0 v s 7 7 j 4 l B o P q C D X Q J 9 R z c s b h j G m G q I j Q Z 4 y A V B e W w 9 8 K z t b X / j / T l T P U n 1 5 o W P K + d a b X m X o q 0 V 4 T M U b V K E b 8 D 3 d L c j u m r b u U L u 8 k g V d e 3 c b O f p W h g F t X M + P F K d G 4 5 n x n 1 K N / W T e J S l 7 P I E S K C k 1 R 5 s B c y h m C v Y w M v Y s 9 x N z U Z Y 2 8 O 1 t n H M 3 + F O e 7 5 e f j F l G i + d p r O C O o p 1 m 3 s k 1 J U b o 1 E Q A N u v V 7 V 2 S D a k u T 3 4 c f M c x Z E v f R z D v l 7 c X U 3 X d 1 8 W e 1 y 9 g 2 Y A u T Y o T T d Y b s T q H V n j P X 4 w u 7 q 7 t b g H f 2 6 f p f j U y 3 n s r 4 u 7 l X E e e + 7 S G U s k T z Q B C j + t W H 9 t q a i g N C W p D B p e t x 3 C s z K 4 B 3 8 q B y n O P P e x M 6 Z v + b u k L W 3 L 3 1 B b y 5 b / k L Z 0 a c v Z 9 P q b T F x O 7 m b j + f X d d i r 5 + 9 l 2 S e b S 2 t L O G F y 2 q p o Z g 2 G p S s w Y h p 2 q z u t B r q k Z Y p f S L a 9 r h t h Q u u X U D P F Q u t 1 z g 7 a C d o m F t o I 2 B I O s o I d o u O c G b b d d g 0 q x 7 k S 1 3 f a 6 1 a S r o G W 3 f e D O 6 9 x w N J t N P t + M 5 y b u E 9 f t a d R B c g D P a Q q 4 D s q a b n u a 2 j p n w a V R o 7 R L 2 V u L e 0 j x t s 9 S s j w / d 6 i 1 w A 4 X R E G b 5 R k g B T L L G z A F X W j p w Y 8 u 8 8 Q m 6 T K M E 0 X S N U w T O y f o u W M 0 s e C S X W u f M s 1 m y u 5 P m Y F o R D 5 l A 9 F I 5 + o X Q h n p z t B 6 O n q 3 X V R Z u y S G M D E r i 4 x B V 4 0 E b Z D j E X 1 i 1 t q b P U 3 7 q W V l c A / P m H K Q 8 o Y d v f N w z v U b / H p m O i a 3 R c 0 I v t K C 9 d o 8 R R x J 6 E A 0 W U m C n h m C 5 k h g t X Q F d n l J b X E P 7 l R P U v z p 5 a K m v v P k U n W 1 O Y m h 6 p I 5 y V B 1 d X e k P i d x q b q a n M R Q d I m c Z K i 5 O i e c T l Z X N 8 a e u h v V X D 6 C l S p M g z J n S i J E 3 5 q 7 L Y K f E P 1 O G u u w W Y l u u y 0 8 s b a 4 h 7 t N P U m 5 2 7 w k m u P X 3 u 7 g B p r G n k u O q W 0 e a v J Y 6 4 S m b R 4 a a j r Z P B x q u i 5 0 j 5 Z X N + v Z Z G V i k H B j c S Z 4 S 1 o l A S N r k s 0 u M W H 9 f U S q w l + F A T q 8 E n R s l 5 i 0 N v c Q v t t n K Q H s J Z s z g 2 N N A L s w k e V 1 P l k D w H W t y D z 8 x 8 H A Q 9 a F F t w I 2 0 4 I n x b i f X k z X X 0 S C 1 S G K t E N b Z I I Q m e h n h v H 8 L 1 0 b G f Q v C K 3 G g V F k U m h s s J 6 N a C 1 u Y f w 3 T 5 L C V 8 v Y S f 6 5 d M n f n + 1 P R 6 X n c V 2 X G H Y W Z Q 9 n m F n s b s k f h 1 / n 6 x W J r D Y 5 Q e X J k 8 B L L 1 A + w x I O p J Z 3 R Y w W q A B C u e Z I H e C x n k H a u / a 4 h 6 C V z 1 J C d 3 L D x 6 2 e c 5 A i 0 0 + G 2 m 3 3 f o 8 r B O g l x C m c S o J 8 U T J 0 9 C r d X 9 m T b j T m N u D N 7 e O U t z p Z 5 d H W 6 W 4 d H n a K s X Q 5 Z F V y t D l 6 W 7 J M 2 i O j D H 1 / l 8 u l 2 Q k 6 K p Q G W S g G w P Q E 4 j 1 a n c H D p W U H A c a l S h F 0 c K 2 u 1 C Z 2 0 d M y d + l P U i J q P f / 8 v C C h H n f T I f j p u c F B 6 / Q m U H v q e 0 I V a 4 s R x k 5 b B 5 n O D S C 0 s q 6 V V Q Z 3 P 7 G + 9 v e U Q 5 S n O m l q t c L a M j M I 6 r X T q t Y A j O b o D I D i 5 F o + 7 V r 5 m X K K 0 h I Z n k j 0 G Y b m r X F P b h T P U n x 5 2 s v l 7 G 0 R Y G m 8 L B u y r V F g Q H R J 4 u C A d H X P X f H y 8 X C x N r 4 x m X u y 6 Z q K O i A 7 g 8 E 5 R U Z R g H P n R g T w t w r 9 h 7 r O u 5 x 7 S Z p b w 8 h t X m O E l B v f J z 6 n k 5 v W V U 1 U z c c n b r k L v R n I M 1 O 6 M 4 k J Q T a 7 R V Z Z K M S s u W y T G t N J + s H r 7 W 5 B 4 9 u n 6 V 4 9 e j U w x z m a L 6 a z B Z f T V X 7 + S 8 O T k 2 g P R c C h / B k B 6 X w a j P w Y o k k I I 0 J C e B m u c S y Z V 5 b 3 I N L m x + n P U r x 6 P k v H n p U P 8 1 3 G S O 3 0 3 z D H F l O 8 4 d B c v f w 6 a f 5 L k 3 J Z p p v 6 E m K a f 7 Q k u y c 8 G E 6 + c / 1 R O D O z t b z 6 d X 0 6 3 Q h 7 7 I N N f K 3 m h R E P w 0 + / H m D 2 O 1 g t n r 2 Q 4 i 0 K 2 Q Z Z Y L y 8 o Z I Q J a O U J V L U n h p 0 5 x K X L A W 2 t 1 w t d V 7 p M M 7 b I / Y v N F 2 Z 8 M 7 f L u e L F e L g 3 f T q 0 V 3 G T 4 9 I d 7 5 Y r m 6 G d 9 + N d N M n h 8 7 P F V x N q J 9 n M d w n x Q 8 W W m L h s / h l M K L c F B W a g / 2 K M J 7 V r d v y P 6 q b t 1 p m / 4 9 P D / u n F T 9 1 Y M u P / x 9 P l 1 N r g 8 g G F 9 N 7 r p / 7 O l 9 + 3 Z q X D F / 8 8 r F q S V S H U g 7 4 t G 4 E u t o m s x i 9 z w r c 7 R 6 K y C O d Y k g z O 3 B m x v H K G 5 8 8 6 r z h z d u P B 3 f L q a s r B j m t x / e O 7 i S a i 8 L 2 F J h g s u N G y R C w l V W e z k o X 2 7 a P G R + 2 x A W 2 d 2 0 j c k 9 u H P r K M W l H 9 5 7 6 F I 9 7 Z r L T n L b R K l r O B 3 6 Q j Z R h p 3 k L o 3 p A N f 7 E U m I R j F c G 0 g h l B T f D A 7 A P 1 S d 5 m g k c p c Y X g c 6 l 8 C a r A v v B g a 9 f 2 0 E 9 S Q l r L y U R N A v v m g w T f o 0 V L A X P 8 o g f L r 4 P D Y J B z o h 4 Z I A f c C E n n U S 0 q 0 R e N X 6 i w H u M Q o B w W X w t 5 R C b q N e k n m 8 8 S b t 7 e M e F r 9 L e 4 7 y t X i J g H u / X s 6 N i G Q 3 V F Q 4 y s M s T i N C P E f / J m X g L o M f W a y M 5 i l w R h C P N f 2 H 3 a t a G d z + x v t L e J W D F G d 6 i Y f S a + h q Q t 9 6 L C G q E e G w x I R n R L A q G Q C N 3 Y v 6 f s o 1 Y E h U 3 7 r Q W i E m x d g 2 4 G 4 E U y j B / H V I U U h G a R J l Q I X R X K 2 Y N S 1 D S t j b R 0 R t n K M E 1 F s f e a 3 g J 9 p u 6 Y Q u 4 P u s x g e H B v B 9 B k A 4 H M D 3 X U D p C V R c u s 4 t u s j Q d Z b o o q H r 3 L n h c b E t x 4 u N D C E o 0 N T K s p h / b S p w Q A w x y p k s a 5 Z x U h N J 2 F 1 s i g r W / n I F 5 S D l a j v x 8 W p 7 t V i L g a v h m X K b t 8 I O T J O T r C 8 H W F s E A h R W Z X 5 4 k x Q e H v 0 S w G 1 Y w x 0 e T + F r e 3 t 4 p t S T F G 9 6 O W n V 7 1 B o M j + H o g / 2 x e 3 H 0 E k O t e V P M j y G k j 9 p e A y 7 W / h x h f E T t z 4 o w y S q t b h A a Z x d t H a k H r E f H 8 F 7 W 4 C F F 4 J 5 1 t h p R f p 7 f 7 e w c p A S t 5 c n H v Z A 9 R u k G q o Y l 7 j V J r E u 2 V O b x B q y J 5 n E D t l T F 7 c v x 8 v / M l W F b t B s O m N 5 S Y o U J G X K I C P h R p X P L Y k T E F A g o a B k 4 O m H w 8 R 2 U C z t 7 e G 5 3 T x H C V o v o d n 6 h 9 A l o N q H 0 B B Q 8 i E c A q o L K P 3 8 y G X n p J 0 f G X Z O 5 P x o 2 D n p 3 H C 6 n k / m H 9 f L z 4 Z S w o 1 I E I Q m / W N R S 9 B B T j K x Q S v v t r y A y 4 c e M p V E R S Z o D Y J p b e 7 h f t s + S 7 n j / K Q S T D X J v m 4 p 2 7 q V 3 I o x 1 V 7 S D W e l G F O 5 R 2 z S g 4 C U J / m L p 0 e v d M P Z 4 8 V 6 v v q + X Y C 5 q T E x h h F j N u p w U g Z U L Z o q n Z 4 L f 8 J D R 8 Y v w E r 2 2 X 4 z M q 3 s 3 a M r D 9 W T l L D y U p P p g x y b / i + 4 v 0 2 6 T G 6 p I H P 1 L O b / o q 8 l X J r e 8 y l q T M A G g y Q I B I + I 9 c A d q w + k z T 1 c l 9 t n K X 7 1 M i W E p G U 7 N M O n 7 b 9 c C p S i 4 Z F 1 n d R C M J O W i K / F y F s i i N 3 0 6 2 K 4 o 6 C k i b J s R x 1 s a W 8 P X 8 z m O c r X 4 u W c 9 n T 8 b T m Z X 5 n A b B d O 4 h p i H 7 f I Q B / G 7 O s m Z U S k 1 9 U g a u f 8 W 8 p B E K f i Z r e t B h u T e / D n 1 l G K S y 9 8 F N j 4 Z W x u p r u R G X C l s 9 5 C Z K Y B S N M 8 a 6 5 0 y G U Q 4 I t h d h O t u t g e O y z N 7 c G X m + c o j v S T y U D L o a 1 h I 7 J O f N s N F 0 P i K z d c h s T 3 X l U 5 N s K 2 n Q B m M Q K V 7 G 1 G M c r c q R A c b S a N Y Z C N W O c E X x E D 6 m Z / z L 6 g x N w e w u n 0 / j F K N H k J L 3 t 8 y u i W 6 4 a M h k E C h n l S S M K C p u 1 J / c K 0 I g l K M N 1 i P c a e d U u d / u 1 v X K G e p P j T z z x X y 3 j 5 t H n u 8 8 U j e 8 C a l S r r y 5 g 9 H L A F A I 6 D I o p y 8 q M a j / M j + s M B g 6 0 S Z p M i A 1 w l i K H t U A b S 3 h 6 C f / M c 5 W v x l M v b p C 5 y 4 q Q j H Y y S O C 9 D k O W 5 W N d o m 4 I I A g Y B 2 / n c 4 K F I l U T 5 a + f H 3 3 o R 6 b x / i u J D L 2 U A j 4 G J G A H C b h v c X O C l A C 1 G E B f L u X J d q Z Q l I H D i M K 0 o T + 3 7 T 5 W 9 P Y S j c p D i S z + 3 t 4 N q s r y x o V p T m d C O / T C e r S c H N 1 f P f r C + T u s u g R i c i C D T 9 n Q B M w 7 C J F 1 m y + r C d q s o 1 X D H O I z 8 L d r G b x x A I i T Q Q V D w V r K B X M H 3 m 6 i l 8 Z B k i L 7 n 9 a z G O o F W m 7 n 7 S 7 v U k 5 T A P X v j I 0 x E 2 1 7 U F K U O 3 8 z x c j z 9 f D M Z m y h y 3 Y R U k O q N g 5 y v B s I O J g v N N x O M B N 0 1 S 7 Q l T 4 G Y N d g + 2 K 3 F f d z 2 z a / T n q V 8 N 1 4 m Y C / W f 4 5 n h p b x r 0 6 U O t A g 0 Z E q 2 d 8 T S z 7 3 I J 4 h U y U c H Q I S k 3 t a 1 h 6 V 9 r a / 8 P 7 u g M 1 z F E / + 6 i O V D j f t 9 q s R a c A O D j e A H m a v u W W s 0 4 M W Z m 9 o f U m Y / d D 6 6 h K E i 6 / j 2 f V 0 b s J T u I 1 6 o M b N i N Y g S W L m v h C Y 1 T c x 3 W R I j i O u 5 2 D H p b z G 5 B 5 C d + s o J X q 9 H P g w b 9 2 O X p 1 Q i H V k M b g R E 5 2 6 S a H L u 2 P y 7 j 2 O 3 5 8 E M F H 5 T v P / 1 d M j K S h u G L l N T Q j M c 4 3 2 t r 1 D E l Z d k Y M D 0 R v H 4 C y D Z k Y j m s o F r S V y n m B H q p 7 a 5 B 6 i q v l 1 2 q O U q D o / 8 z A r 1 i 8 9 V J G 2 U c 4 6 v I l v F 9 + u Z f v j 3 f R P Y x v k z I l 9 h K U Y 5 r T w 7 q a V K F 2 T H I d B S n Y c h L S 4 q 6 V 3 6 2 5 W Z T j U S Z j d e n V / G Z X 2 O O U j O v O S h U S L j t d 8 R N Y 3 Q Y u O N 2 h 4 S n T 8 o O H Z J T 1 n i + V y 8 c 1 Q q j g R N U E p A Q d B A M c W 6 H g u 6 S b h E Y T m q L W w V l g m t B v t e 8 W V u T 3 E l X K Q E l F e U j U F U V U y b H Y Z X c q I q B 7 Q N v N Y X b o T Q U 8 Y D m V E F 1 F h q N l d T z R b C g 6 v 4 / P 1 F R L y R i o Y N + g 3 n A b g z s T i S k 1 t 3 k V u E F P B A E y t O g z W 2 2 i N y T 3 E 7 t Z R S v R 6 C f w + W X 6 b m r a C 3 U p P O k N B x N 4 v r P R J c Y 9 l D T 4 Y 4 P 1 x F C Z 8 t m L 4 a t 0 y k v b 2 4 M z N c x R P e l l 0 o p N g A h m 7 S o 1 G J f t m A E P D p G 7 a S o Q h 4 1 c h R Z C B M 9 5 t v R t j e / C i + E 3 a Y x Q n e i k x y i x 7 u 3 P g x E D S j O w M O 9 c Q + g z 8 I / P u K X 0 x u R q v 1 k t D d u o m 3 8 G s u w B 1 B u U F N W D Q Y J i o + E Y k p i W s T o C c Y r T K b Q c j t b 3 t h 7 6 / s k 8 9 S Q 0 p L 8 U 7 t K t N G g y T d c X X r j Y Z W L L k a t P A k t U F 1 d n U T D z n i o A P w H X G A a y T q a T J q h P H M h 9 l N L g R B u h 0 O u 3 g Q d L e H k J q 8 x w l o L z E v i P j d X c z n p k G j W 5 i V Q n i j A l L K L C a l W y n J C 1 m D x U r 5 B / S G s q 3 w 0 Z T Y 3 I f / q x / n f Y o x a V e C l Y F m S b t S K s / 2 2 i t W t + R W Z 1 3 C A r I h 6 B C G Y l H O m C F u j t S z z / n Q p H c N i f r A k v X S p H N y Y E i + Z 4 b t B 0 t l 4 y h 7 W g Z M g b Z 0 R o y h s 4 N + o 6 W h o 3 R o a N 1 O v 6 0 W C + v b s R u 3 l 7 4 s K N S t K J j U p M i p L P F I m 6 T m Z D t M 4 7 n L z s J Y r v M p L X 5 Y P + M 2 N t n K c + Z l 5 z Y e t k i l w B u l 7 o M A S y X u o Y A v h f A W h D T 0 7 a k h X w y 4 J n 1 r a F a d 5 o l A X 5 F r 0 U E M E 2 u i g e t 6 n y F 0 J Q g v Q l J p R T H b Y Y V j 1 M b t i a 3 K e L + C v b t s 5 T 4 9 X K k R L q + M n a l n 4 A F I w b z F M M + e n 8 n K E G i A L q E A u x G R W F p d y F X 5 v b h T f m 7 t A c p r v S S A e N s c v U F J M 6 e C Y M y 2 A u Z J o j l 6 I r z T I Y o h E E x Q r h w m k R R k A c 7 Q I 3 v W d 3 + 2 n s M 0 u 4 3 a k 9 T f O v l 7 O i X u 9 v J E v C i E W T 1 w W X x I K 8 6 p X D V g C H n o u X 1 l Z 4 N Q / o 6 b P S i 0 0 P L R + i M 2 P Z K W 5 v b X 3 p / f t 0 + S / H q + Q c f Y V b a E Y T m 1 b b u B T Q j i B r M p K t B x Q h i I L v r U q f n k 7 l p m O e 2 D 5 + P h A w H y 5 K B 2 I Y v G t G H H 4 X g S g C 2 P 4 t g j 2 R j I 7 C m C x H m 9 h B Q G 8 c o s e T l P r y + r + Y i 3 N n 2 1 Q z K n b K v N k h 3 d t H 0 x 2 J p 0 g 0 / c x I l j k c 8 T w J b D 1 l 9 z b F T Z R / o G g G 3 r 5 S K d + B q E c b 2 E E s b x y i x d O a j F r G + H f S 0 K z G v F s v b 6 W d U S B d 7 1 3 m N E 3 i 3 E E U q 4 G 1 r A I p Z j u A V 4 q + Q u V X X s l 3 9 c c / q P W 4 A H G 4 c s / n F a C D 9 1 X / g w b / o S + v 1 1 W S + N L E S u K o e p G G S J f Q H Y K c V b m v w a i l U p S G N g b A o S / 4 X 2 + x U W t t D 8 G + e s + n L Q y 8 V D / Q L c U + 7 R n 2 8 m K 1 v P x p 3 R l y 1 n G g u p A U Q Z M g s 6 q z 4 x x y p 4 C D l Q + F T C i X n n u 3 X 0 t j b w w e z d Z T y z f g p 5 5 R r V u 9 j l z Z w u + B o a A P L B c e h D d x l X 0 e r 1 X h m 6 h G c X b j 0 C K h Z B M E P 7 I f A P A i s p k d Q M H k p G L C w B l C D F m 3 j q j K 4 h 6 h S D l J i 6 s x L N F X N H 7 K B 9 o 9 d 0 P 4 t C 7 t h a V i y s A 9 o / y 6 m 9 K w i G s C G w 2 x U v 2 + n Q S O 4 n K E F n j i t Y z X A E 9 M 6 l g C e D O t Y 3 e d k Q S D j d E c z 6 4 a f V v y f N C l Z B G j z 5 A J d W A B e r M 9 K x K v 9 H o B K 6 7 K / L q 5 6 0 t / i l t Y u o G u u B + s e b l 2 i G t B c L K A P W K 4 u p C 5 g 1 z J O R i 6 O X b I e M J K g x Z D W C 6 H r T j v 1 x A K 9 2 E h o r 5 d Z K V c c r T d r K o N 7 y H q U g 5 R 4 u j j 2 c S Z S V k / S R t a j W 8 t w e A q f T 6 4 / L Z Y m O i b X 3 T r Y e 8 J a n j E t 2 z w 5 l w g l I c / I B g I 0 4 r Z Z c m 1 v D x + M e p L y x X g 5 G 9 U v 8 m i 6 l d Y 3 c D N F M 4 g V i S n a o F X U 3 c F v x l 9 m a G 8 Y o E G u P O 2 I J M R Z w 0 n a t n R Y b w R a A i Y h i s S W u T 2 b Z W 1 w D z G l n q T E l J 9 c 7 a V m 0 z x / 2 o J E P 2 V 4 4 j O 0 u L i n B b a e T / 5 L Q F o n S 6 P s x I m T 7 A T c y h E z j L L M x N 5 a F j T Q 1 j B k U S N F 9 b d 9 b G z f F K w + k D b 3 E A H b Z y k x c O K j 8 M S 7 x T f j / v 2 5 U 1 Y p 2 G d K V G E i 8 g S E g 1 p 9 q E I S a k C Q H 4 m 9 x B 3 k o a S 5 P T h z 8 x z F k e d e p p T a E s 0 F Z l O X a A a U D S X a A L L p 0 g N 6 B q b c w G 3 J F 4 B a i R I B m 4 d p X k W M R A V A d C 2 o T w G e R k K p Z w e l A m F t D 5 G 0 c Y w S S K + 9 7 E h r 8 W o u L c Q m 0 z Z 0 E E W m P T Q Q u 1 A 6 n c w X U 9 P G v O u 7 x M M D l 1 N S z 0 i 5 4 y q M D V E G K Q z Q U C I q r s T v 7 D A T l c E 9 x J N y k B J R X j 5 N R 9 f j W 4 F / e U i D 0 m k I z j 4 F 6 l X 0 r G C / 2 1 B y y C H / Q d Q 6 Q b O 6 l e m x 8 6 W 0 t w d X b p 6 j e N L P C X h q W T H Z d y H q J D 8 3 L J S m c H P l w 0 J p d z v q Y a A a 8 I q 1 G 1 o Y q I E R V s J A B 0 7 Y z g 3 s 6 U w X J r K r 9 y 4 S N T E a u h G i f B A W 1 L t i H R g s Q 3 w o 2 V 1 q q D K 4 h 5 t N O U i 5 2 t 6 f e 9 i S f z n + b B L U d J O p C e C h E x 3 x F L B W c q + z U W Y j I Z Y K c B 5 W S a l e Y N v Z E O b 2 4 M i N Y x Q 3 e q l R c z S b / J s W r Z F r 9 8 R J t g B M L d I E e V w t 9 c G 5 1 I R l i Z 4 B 6 q j 3 S z T L f K O x u Q e H t r 9 P e 5 b i 1 R M f 5 Q s u x m v h U 1 M S 6 R a g 4 U h 0 1 n F r h P R 1 x R 9 Y l d c E K N B K l j v L C g 5 m D b 1 t T G 5 / Z w r h 2 / F q N b k + u r 5 e T u 7 u D n + u / 5 d f p 5 P Z N f + 2 c s S D C O c H / + J w 6 y j F p V 4 G 6 v F s s d 5 f t 6 Q E I M K K X x I F Q X W x 1 k E q + J t o k w D r y y J i l a G 2 7 Y U r 7 e 3 B m Z v n K J 7 0 s m F y P B u b E P F O I j H Q X c C v H L B G H S Y 5 7 2 R 3 2 4 b o i s N 5 F y S C k X k 3 R / Y i 1 C d + l f Z z U d z o p U T M m + V s M p 6 L K 3 Y v x C V x M A o y m F t Z a m C U K e R x u 3 c T V i 5 K d 8 n N V T E i 2 L 2 b t c U 9 0 J a o J y n + 9 J O 0 R N v H 1 E w e r Y v E p o 9 p K t X p Y w 6 V e l c i s s a z z b / q t D L Q w p s N K w M S 3 j y s D N x z g 1 Y 0 U b M 3 6 4 C 3 e j v + P i G 9 M / Q 5 3 a b j E q E H 8 3 X L W V 7 f n 3 I 6 j i B T y p 5 1 k d D x 5 G K 1 u z 9 r i 9 t X a n 8 Z q n q S c n 9 6 O R l / c 2 f u C L h x U l J X 4 E p o e 5 n b I e / U 6 U g D g m C d C 6 A P c 4 g Q y H w d 5 o / T A E l 7 e / D l 5 j m K J 7 1 k o / x l f C f J D 8 Z o h E i a 0 f 0 k O K i B x G G Z p / w f E O h l x D N Z 1 Z A U l 3 C N C D S X X V w K e w + O K 2 t 7 S G 6 0 x y l + 9 T L D e U e j Z z H 7 e m O 4 c s 8 c d W o T s T 3 d y Q o 0 H o 1 G g m k 7 L h k v i Z m 7 v W s b k 3 u I 0 6 2 j F J d 6 q V T 7 d n p r 2 u w 7 + l 8 u G P d o x J p T l A f w r 6 V C S q 0 J U D B 6 8 A I h B I K 3 R S k p x O D t I l W Y 2 4 M r N 4 5 R 3 H j 0 v z x s p u s 1 f F w w F C 3 j q Q F E I R l P B x T F v b R X i w n T p L 3 W J W C N C T O Q x Y A J G 6 h i O h e 8 X I 6 / 3 x m H h G 5 b G O S R J P 5 k / 6 w m 1 2 0 w m X S w t x N F Y G Y h k Y g a W I T d n V Z b 3 M O 1 p p 6 k 3 G x e 7 m E I 4 o I 7 0 x N 1 f O T y R J W j M M / R p K K t W Q h W h 2 b 5 H M Z B k k i e L u D R M V V D Z r 1 W U x n c g z e V g x R n H h 9 5 + E w 9 X 5 s L d l c N C a E t k D D W p e U J s W A L Z 4 c W L Q 2 K g L i t C W D t A l N a 2 4 M j N 8 9 R / O i l g s T x + O P E q B 9 x 6 c Q a W Y y Y I w E x y 9 O s g B q y D c q C m K T h U k D V F Q U i X K 2 H g 5 X B P f h S O U h x 5 q W P f J E X N + P l V 0 N J d / T O 5 Y L N R m E W Q q I G z + e G 8 F g Z Q r t W 5 n m S s G k i N Q F t a w B p b w + u 3 D x H 8 e T R O w + v 1 / f L 8 d Q Y l u d O 6 0 I 5 8 l Y w H A n A b i z A u g 2 I l x k v P k 5 B T l V L J / a y r J X B P f h S O U h x 5 r m P i 0 J c c N u T D C d J l 6 J + E E 2 S L g X Q z 0 H S 5 Z 6 W 3 M X 4 I 8 J X e x v S h q O U j a 1 M 8 B 6 1 2 6 c l 6 U o q Z L B o j J B 5 s n 9 q f T V K Y 3 t o Y V a / S n u Q E k 9 e N i + P e e Z m k z 8 X 0 3 8 b 3 j q 3 d e K U N B M K q w D B M l j p p b x V V R s i F 0 + r O g 7 Y G 4 r F t M E + b 2 m N 7 u G S 7 H 6 h 9 j D F s V 5 u F f 8 + N 4 O C n b Y d U C I v M 8 g h o e R A 1 V E s g k u P s u u A e w M U 6 5 I d u c m k t e 3 v u 7 8 J 4 O Y 5 i h + 9 3 H X 4 Y z x b f F y j T G e K T y c W I 6 F L V 6 B A H e W C i 7 6 9 b y G a Q 8 W T g h H t 6 k r N 2 P a + b U 3 u w a H b Z y l O 9 Z J u D l S W m b r Z Z V 5 E c L L k H E c J E 4 Y s r + Y I z Q Q Q O q o 4 h t h V D h 7 s t V 2 k v T 1 4 c / M c 1 Z N v P C w u 9 C M G F 3 h T O 2 I w 4 J v k i G E A O H X 9 b T 2 P r o Y T 1 Q F Z c 7 a Y L x c m Y I 3 z l L d k / S J n q a Z R d a m i l n l h w J / w 0 s L J Y k + 6 X J n b Q 9 A q B / 0 t o l Y 7 k X K h + 6 w n U j W O W 6 c F w k R q o P r s I v b i Z s I i g m l t z X 2 V A i q 5 N G Z U A S K t Q z Y V I / p q r M e k 6 B u I 1 W r 7 M r K y u I e I q n + b 9 i Q l p L x c p H g 3 E W s U l 3 T a F t 8 M q a q b U w P m U s w y I l b Y h O e a u k N q z O d w 9 u R Z 3 t B S 2 A 0 z s P q g s r n 9 s f d X f G g O + z t 4 N g i r l d 4 N l s C a 6 + m v q S i H t f R 1 U m P R d N d l G D L B H 5 g 3 u w v z 9 6 / m A f 5 L p 4 l v B H 9 L y E Y h L R o A v N 2 U s E h G Q q 6 c P y r Y H U W / w x q U J O 3 t I a o 2 z 1 E C 6 q W P 8 1 5 9 D 9 s F D 9 P 2 s A 2 I G N n D H j A x X U C J 7 f C J a Z f T L Z 8 v x P g n D w r m s h t z d 0 Z 8 J f o 4 Q H M T k Z f I f q j d Y 1 U Z 3 E N I K Q c p M e U l Y v N 0 / M V U m r n C Y Z C 7 Y i C L n A m 9 a q j i m p 0 H 4 D B s 5 a J 1 D f 5 W p h 6 2 L T J h b g + O 3 D h G c a O f U J j l 4 t v + a g L w 0 n E A h K I Z L n F b V i U 2 6 5 3 w l r U U P f a P 3 H N h b w + O 3 D x H 8 a S X 9 Q A L z 9 u D 2 s S F H C Z p U J 8 G c p h E 4 D 4 H c p j u k T t e 3 I 5 n h n r s / b 8 c Y C y s R S M o D V U 7 K 9 B x K R g B m 4 A q R v B S h G X B 1 b j L X o K 0 t o d w 2 j x H C a f 3 / / K w z 3 w 5 X o 3 X n 0 1 D I D c q u g x c J 8 y o 0 D q K n I V h b O 1 J A L z 0 T 8 A O l o C V 6 m G C X b Z S W 9 y D N 9 W T F H 9 6 S U Y X x B o R L 6 f r M a 4 3 2 R P D 9 R j n w / V 4 O 7 2 P Y 1 k t J I z l I U 5 A N w 0 v p F I J J S o A r k K A K 0 F z P T J a R e o 7 J / W X 2 e Q O x M M X w t 4 e Q m r z H C W g v B y p v p x + N P d H T p x Y 0 I p R H I Y F 8 9 S s R r E 0 9 2 O O H F u S B h R 5 O 3 J I V w b 3 4 E v l I M W Z J z 6 y o E G W v k d 5 0 w g y p S K B r 3 g T v V L A 1 I n C D M R o u w I 2 p b k 9 e H L z H M W R X u q b P j 4 z P X H I P x P R S i F n Q Y Q L X v d 7 u 8 4 o V b D w k A T A B G M y V O s t F W W U u b 9 R g H K Q 4 k o v A W X 6 g s 4 F 6 d A W d A a k g y z o B q R D V 9 B d j m f f F s u V a d v 8 0 i m m u B 0 z W K f j m F J A o v u a l 6 4 Y C U I B d K F Z V K 7 J 6 W w r g c r k H m 7 I 5 t d p j 1 I i 6 / L E w 9 p O P 2 D T C K d Y 7 8 e 2 A 7 a a h O X B A V u + R 2 X 1 B 5 k C n + Q v f l J o C 3 9 6 O V m 8 m 9 y x F 7 k C + H r 4 8 + a / h 9 f w p w 9 I 1 0 3 4 1 5 P D n 0 8 O v j z 7 4 Z 9 i o H m v F j i b j m + n h l a J m 3 A C 0 Z O x t U X j n z l b C h N H 0 y p J R t Q H Q U M b b s / h I M 1 t v / M 9 P l X i Z 2 n P U e L J S y Z A Y B / b r c f Q B d 2 T 1 Q P r B j G p i 6 e M g X U 4 I H y 6 l 0 o P j X S 5 1 l p o p O F a k 9 D I 4 V q 7 5 w Z t p 8 l F s q / t N B k 0 + 2 S n a R D t 6 9 y g V 2 B 7 W o T q + U R A r 1 6 N 5 4 s / j c z T b q 1 i E C F w E U V M Q + E L y z o 1 L b Y / 2 M w C n I V 8 a 5 S I K 9 M u P c T q g 9 r m 9 p n Z 3 3 O m O 0 1 5 1 P x s G G v n a S 6 3 a V t + G W 5 T W X 4 N t + m 9 M N a K H G p y C w e g + c X V z W Q + u V q N r 0 2 E x u d / u H R O w H u R i L L v E + Q F g s s t p C F n G w i 1 X O j G 8 n I 3 K Y B 7 V v c Q x r r T 1 D D + w 8 N a 7 w y A r P F u d u M V Q K F V q B y m g F W Q B u A u b q q M e A S 6 I a X 6 g A V E N q p t b + f K 4 B 4 8 q h y k O N N L Z g E Y M 7 c L j U D z p l s X 7 j X E o Q Z Z 6 s o M A A 4 D p W 5 3 H + t 7 J y 5 6 k 2 3 v p O 4 a 6 5 w g w c m D 5 u Q 9 N 2 h Z v j X P o n U k 1 N h + U 8 U t 1 A q H g v u e E 7 T c G C 6 Q q x Z X b M A U S F z x A L m 6 5 w Z t + 8 n l V W j b T 4 Z 3 Q b a f h p f h n h u i 6 v r Z W F s J X V 6 G t v 1 k e B l k + 2 l 4 G T o 3 X H y b T F b f x i t j 0 n v p V M s A U a O x D n k B + y v I m K V 1 E v V j G B S I c j K x g g 9 b w G 8 E P N G u J d E Z 3 U P i q z l M S X 4 v f a x k j i h k P o / n + y x R Q Z T C A p T B b 1 0 y 4 K / x b T / m B Y Q V 8 J v v P j J p T O 7 B q V t H K S 4 9 9 9 G l + h G / S 6 u 4 7 T E Z W s W y x z S 0 i r s r 8 3 S 8 X k 6 k B N J D s M S L Y 4 f e T 5 y g S h a z P p t k j C P v N Q k g k g y C l K u S 2 A p Z T b K 9 L W t 7 e 4 g q 9 S Q l q C 6 O P e z 4 6 C t U l 6 y 8 r V A N W b m s U I e s v A s q v u z t X k 3 o k p U 3 F a o h K R c V 6 p C T 3 3 N C o s n J U 5 d Y S B r 2 R k M s J I K 9 c Y i F e 2 7 I N Q C J e k x M u 0 s C Z Q 5 u r p 7 9 Y N 2 t y f n 5 x S q d G A 2 L F F v X N M s B S M T D L O m e G 7 S T e R d E Z T u Z N y A q 5 W R + Q F R 2 b n g 9 X 6 y k M N N i P V 9 9 3 3 4 k X r s U p 3 E + g h U Y q R f o 9 C X B X o P 7 I t m C 7 i k I c 4 h O x R T d n h 5 Y 2 t t D s r V 5 j p J q v f a x f j m + m a K W t j B g + M 5 c l k A S w W R K 1 k w p W u Z S o L m Z r u H L A E l 1 o O Z i f a B + i h 7 X S q v t 7 c G X 6 k m K N 8 9 8 X A L R V 6 N V F v f X X q m 2 G j X w z s h q d O C d 6 a 7 H d 1 P A R H f T 6 / 3 R K 8 S j H C H s h L V T 7 s m i G V m D k h 3 B P J N D R k N Y 7 d K 9 a y 3 u I b C 2 z 1 J C y 0 u a h d / G V 1 / M 2 3 J u m i M x S 8 O A D + A G D t E 3 7 / q x d G o j F E c E Q K H Y Y e u x N r c H d 6 o n K c 7 0 U n b k c n x 3 M 5 1 / Z j P U 8 P A 5 y Z 8 j m p 2 F Q c p C C O i S K A U f V D 9 8 R c q y S I p K a C i J Z u 3 B 6 5 3 N P T h V c 5 j i V y + V 0 P W N I 5 d u b N s 4 M n R j Z e N o 6 M Z 2 7 9 + r x f r O H F v v X Z L K G O Y F o U S f F D R d c 0 H B 3 c R W P p L S I Q X s C 1 C q c 5 f a 9 m N r i 3 u I L P U k J a z e + 5 h W P l 9 O b o 3 D y B M X I r 0 E R q g 8 S f O E d 6 / i F + 1 q h D g s g i j O i n B H w S 1 p c A / e r H 6 Z 9 i D F m S c + U u l d r E b i 0 V t W + h U n d z O 0 e L c r + A + a h U g 9 P v f w 5 4 0 1 s o M Z v a w f C V G C M B K r x g m y e K 1 K N v 8 W u C X 6 u 2 w g C 2 E 1 r U h 2 q G u F f Z h e r R b L 6 f i / Y / v u 8 M P J D m O S I y 6 / 5 X g m T G 2 + h 6 f f v A s T D R l K p H n p 9 E 4 7 + M l i u 4 8 q Y v v D C D T N N o c z j t c s F H 4 2 Z G F u 7 L d s u 3 N 1 1 D J T 9 + h v y w y e k R w R P 7 5 Q 6 I 7 z B j N n 0 Y C Q B r c R v 7 + t i + q X a Q 9 q P q X 6 X / 0 k M N N 2 Z 1 3 a D 2 1 3 1 t B + k N 3 Z o f 3 Q p V + / Q N J p i i i X 5 q x 4 r F G s j U q Y b 4 s c f d p 7 E B N S s Z z V i A j M P I S P 1 r m X M L f 9 z P c X T x v H q N H k Z W t 2 + n E x M 9 K X n c n r + a 8 1 9 o A 0 Q F 1 M D 6 l E t D b M m M h K X k c B A E M 7 I U j j J G i k 1 u 0 A Y M f S 3 B 4 c q R y k u v K s e 3 a r v 3 p w d / 4 Q a a M V b O Y X K 7 B 2 d 9 0 / 9 v S v t b 4 v 6 w K s b P u y B m C l 7 M s O w M r u Y r y 8 m U z M q 0 R O 3 I 5 x O m I 6 F W U Q 1 R F T l d x e H V T B C N 0 v Q R K S o 1 + 6 w + C q t r i H q F J P U s L K S 4 Z H l H 3 3 n q A G W v x F t c T 0 1 2 7 e F n 9 B k / e h w b / E X 8 T / H b X O g 7 f l L n / x 9 D f o y 8 X y 2 t i t d e P y T x h T x h E 4 P i H d 3 u m 5 Q T R C 3 z 1 i e A n 9 e A D 4 z 7 a f V J n b Q 9 g q B y l R 6 y e X v x Z K 4 4 J o a q E 0 d c 6 p 6 x 9 I K M 2 A a L r 3 G I 6 X Q G Z N d c J v D u k l i n o 8 d n H E s 1 d 1 e p o e L d v S E M P D 4 4 k i O w O S H W L q U h r c Q 0 w p B y k x d f 5 b l y n 6 k 2 B q B W c 0 r R p r e F o 7 + D D g o u T g Y 8 B F d T F 1 T O v P 2 C g / e + 8 S U 8 w 9 U u I G b Z m Q V w m R 0 b Z o A 2 Z T j 0 L k 6 2 V Z s U l r e w i o 6 m d p D 1 I C 6 u y 9 j w G l b W W 5 c I e 0 r S w D 3 l O 2 s g a 8 Z x d Q g T Z X c C m c 2 1 z B U D j L X G E o n D s 3 v L 9 B E 8 G k + + P e p Y + z g C W a S v C c N K 6 t m 1 O w E y G I C W Z G Q V Z X T I 9 3 6 S u D 2 x t n f 1 1 F 5 S D l a v O y S / 9 q f D u b m h I / N y B T M o I u B Y g u + 4 Y h z K e t L E K Z j 5 B C i 2 O Q u w k s I N a l V G V u D 6 5 U D l J c 6 S W O 6 Z i U e D E z i Z W c n L o k H G y 3 Z U U O x X d A 7 C V 5 m 3 D A x o 9 g P c P 5 F B 2 n n Q r j 2 u I e 3 K m e p P j z 5 N T D r A O O 6 9 X t g r L s y r Q j f K a Z z V v n 9 S C y x S o w + v Q F q I s k F N o X 8 r J F t h D k I Z q F + J p d R / 1 o P t K V 1 v e s 7 s G v u t M U 3 3 p J B v 7 b 5 N M n U M H G J p b b M 1 p J v X K 3 Q p V b c A E 3 M x 1 x 8 w K u Q c e + k Y G 1 b W O 1 N v f g 1 + 2 z F K 9 6 + Z i G g Q a H E W g S V A e M h L 4 F 7 T J W b 1 v Q h r G 6 b E E P Y / U u C b 6 c f P x o a J c 5 j Y 4 i k I v g h e m K q V L 2 5 Y i U C b A j C D k E c H Y Q k x X m 9 h C 2 G 8 c o E e v n 0 E i L n N K 0 n 1 0 i V t s 9 0 N w K 1 s 9 2 2 z 0 w l K 2 y e z C U r V 3 E H t 2 O r x d L Q 8 y 6 a Z w W o 4 T N N p Y R Q R r f J w S F 6 B d 6 H T Y 2 2 N x o l K H t O n K V w T 1 E r X K Q E r d e L u C 8 k M L D Z 4 v p 3 K h A 7 A Z F D l D H o X I t W E s k A 2 4 H g Q g Q k x h H S U w R J P c 2 r K t X r D 6 o b O 7 B q 5 r D F M / 6 i U i + u l k s Z l f L 8 S f T T r F b 1 Z O N g j h B d i x I U G S p E B h V 1 Z P h 2 a A I y i B C s N h + D x U y 3 c b m H h y r O 0 3 x r J c 1 j z 5 z d Z F t b z N X 5 o l G 8 M Q g 2 9 6 9 g 7 + u Z + Z 1 H D d i 7 B h p R k D U Q A f j D f g E o 1 4 K T p Z R s z I W D Q X 7 X b f K 4 B 4 C S z l I i a m / E e N Y R R L z F w F J 9 b a p i K 0 H Y 0 q o R J c D I G k q P p G r V f S M l V w N 9 s y l K E / r T p y h J k / h g x l K 8 u 5 i 0 4 8 H N V s w 1 n V W O x 4 0 7 H v K 8 e C w 7 9 m 5 4 e V i / l / j m T E t d + u O l C P k t H M E Y 0 s 6 J G K o V P e s 6 W w m Q k Q d M l P A 7 A K y Y l d n N Q b 3 8 M J s H a W 8 M V 7 2 S J 5 P 5 u a E w U k Z G G w Y Z X O E 3 g J q z l I x o x l B w P z D U m A Y t 9 W X n T s r c 3 t w p n K Q 4 k o v d Y F f r W + / 3 i w n 3 0 3 T e z f J b t I / I H 6 o o s A 8 S y y K x R 9 Z W p X B C L R S S s X F / F 6 U X D W S 7 P H p f W t z D y 7 d P k v x q p f S 3 R a D X 5 c N e y I U V h n w G E K V i i 3 d t h F S Z E K T U b S 9 E i 5 e R o h 1 s v K 4 T 9 V x 7 P 4 g G e p J i j + 9 j F J W R r a z y X r z 4 K 8 l 9 W 3 D 2 J D U y 4 b x k N R 3 i c x v 4 7 u v Z v z m h Q O c I g Z O A d 9 6 K j R N g U A 3 m 5 O A K R j G C / K f L I A E Y Y c R T 2 V u D 5 e k c p A S U V 7 e k C / W S I L d z U 2 L s L 8 7 g X F Z 6 S o h 4 S q h K d w Q f Q 7 D g L a H H A z Q S s a f 9 r 3 i 2 u Q e H N r 8 O u 1 R i k t / 9 x G T e z w b m 2 A x l x 9 c Y p N h D v T e r C + D X d v Q 8 A 5 H A d J g 9 I h z x r B R Y M 8 p I 8 x t f 9 8 9 P n f 3 j 1 H c e P n B Q 5 D T 6 f i b Q D i Z I t O N H i g d o e f G a n p E g N 7 n n C w o L 8 q U 0 q N E 4 G I n s v b K 4 B 6 c 2 f w 2 7 V G K Q 7 2 k B w I 4 + R U + t a X J o 2 e O D E G s o w d 5 h C x J A 0 2 T J U Y e Q a Y W 5 3 m U V n S H o X 2 J 0 d j c / t L 7 i 9 D 2 9 2 n P U r x 6 5 i N P 0 L v x x 7 U J J e y 6 c F k A 6 x b L l Q E c Q W j g N i 2 A m B 1 q Z g a w D y C G H Z X 2 K 5 f S 3 v Y X 3 p 8 3 N 8 9 R P O n l w u X r 6 W p l x h 2 6 c f w W 8 H d l E E k k v J N y 7 7 1 p A A i S H c B L E L R J O K J 9 d N Y W 9 + B N 9 S T F n 1 6 y / F L g P r J l 9 s Y l E 8 p G J Y x J Y c k + N H B 9 J n q N O w F H Z F E s I M K Z Q K L t V P t j c A / e r H 6 Z 9 i D V m W 8 8 z I a O V u O 7 q 8 W d i e f F r X e O o F c J n z q I b 8 g p 4 i x v y I L L g v Y c H G x 5 F B d V y m v b P W 9 M b n / n / V 2 2 W 0 c p L v W y e w 6 / n a a Z o 0 H / P T n C 0 E W b p W 0 Y G c R Z Z M N o U G e 5 3 z B 6 j B X 6 3 E l 3 i l K G 1 n o O + 2 U s I W n N X V z Q d I f 9 m z 1 g 6 K I p d e z T J J W u e X + x q 5 6 k h O 7 5 D p S K v R E 1 n U 7 + / S g v t J u S W I z u g S h M 6 9 J U 5 E Q V E C 0 c R e x 0 M y e p P K 1 l x t S u 3 7 Q 2 9 3 A f b 5 + l e N V L P b H 6 S z Q B g V 0 y J j H P J P 8 N k V y E F + 8 e u B D k 0 4 i d m z x O o x I u c E l U b D f R V G P n v y 1 K j 3 3 M m X 6 Z f Z w s T V h R 1 9 o 0 h B C P B S o m 1 K K D 2 4 Z o N A J A S r V a j T k j 6 9 l X Z W 8 P 4 a k c p M S m l 8 W p n s j 2 a Z O l 5 + P Z a i r 2 K r k B r q Y 6 w a K z F y 4 V E z s 6 Q V C y u x M U a N k E Z f N K 5 5 k Q A b i 3 1 G P 9 x b Q W H x x j 7 x 5 h d 4 f q S c o 3 c / b C w 5 r p d P z F 1 G t 0 3 V / n f Q 7 i O C v J s E C p N N U v S 5 S g V Z h + F 9 z o X O U 4 2 e 4 u F 9 b 2 E P s b x y h e 9 H J 5 / X L 8 E R k O w 6 P s C j I q A I 0 h G C Z a / h X P V J V o p S P 0 V c C L B U U h m J + L u t 5 5 H M J Q G d y D K 5 W D F G f 6 C W D I N D V v D W r 4 a w A G Q f Y h H C b q U h F o u s 3 z D F T y o I 8 4 7 + r R y / F 3 4 8 j b e b B G P 5 C m P e Q P a S 5 H o V V I s b 3 K y l T K a k 2 5 G y p I 2 t t L R P G 7 t O c o A e X p U O 3 7 t 8 X i 2 n A 9 u n Y W U u 7 F O K c a L e J q r F 3 5 E m E + V t 2 y E P 3 F v J 7 M 2 L 1 z r 8 b S 4 v Z X 3 l / N o p 6 k + N P L z s L L 5 W R i D M 0 3 r 9 x S U P K V F l l 0 L z T j U Y F I X L 2 g u o O A W G V v D 8 5 U D l J 8 + e a V l / n n / N o I E z t 3 g q I I c p 0 4 h z M c f H T U w s T Y / m e H M S 8 S g Y L f Y f h y i r 5 L L 8 M X 5 S D F k e c + Q l F + W 1 9 P V y I F f T 6 + M 1 J i u f E 2 4 j j W T h M w C h C i A o l u e R u B i s H i G O L p U k o m W P O b V Y Y f S L N 7 i F H t c Y q D v a R x v J h / N 0 f q W y d c S g B r R 1 m A b 6 f U E P l Q 0 y n K 8 X j O w 8 p C c S i 0 q 2 x L x c r c H h y q H K S 4 8 q 2 P e B R 4 n 5 Y L U 9 n v u s V A W 4 / Y j N E 1 q V G b V T 4 E M F D o b y b s M j A 9 3 a F c r A z u w Z n K Q Y o z v U T n 6 g U x X M a X r S C G Y X w p B T G G 8 W V X L u q X W D X N V + v 9 y W a J 1 U B T I 5 Z Y B 5 a a z g m n 3 + d X N x / X S 6 G C p u 9 O f 3 B 5 p G J 2 J I M g C W M h R S v Q k 2 1 3 m r 2 D E s B W K d g 4 q 0 6 n X a H X G r z 3 5 r R 6 k n K 1 f f D x n b q c z s x g u 9 d O O y T 5 K E 3 F / K m e T Y n t A v l O l b Q 1 E 4 G S B W 4 n w M / 2 i I D K 4 B 7 e K e U g x Z m v L z y s 9 P S C w i 5 k C y 2 v v m E v S / L q D 3 t Z 3 R X 5 f P F 9 Z k r 9 X r t I 2 n F B s v k R i 0 l v J U D b l G c w o s L f x c w H B t x y J 5 Z b a W 8 P E b V 5 j h p Q f / g Y U N o 5 g U v G 0 c 4 J D C m H n B M M O U c X U B d f x Q a O i R r P a f g W I y L I 9 J T e R h K K 0 r j B O F E W s y Y e p B n i 3 b V A m l 3 K U d v b Q 0 i p J y l B 5 e X w r f E r C e T i k 5 w Y z N a 3 H 6 f j b R T q C y c 0 Y g F 2 D T n n X I i Q M O w R K Y b M P U S 7 I 2 Q 3 h 0 5 H S l 6 C P K h t w 0 O g G w 4 W n w 4 u m Q R X w L t 9 Y h 1 0 p y n + f e E j K l F P M q z h G n I A F N d b 8 / L r W c 9 1 G B k 3 Z k V 2 n 2 O x Y B m h L C o 6 2 M 2 3 U 4 p H l t F h z j g q T G G u t m 6 W q X v + + 5 s 3 q S c p 3 4 y X p I p / T I y 6 A E f v X K Z N c M i L y z 1 L 8 j g W I I q m 7 1 m y v R W G 3 P w Q y 7 P R T j P N 9 i I Q 5 v Z w u 2 8 c o 7 j x 6 J 2 H + d L b x S O 7 P k 7 v d B K i e 4 j / E D 3 M S H 5 r x M W P L M q C f C R M W a 5 M B S V B X a s 8 D p G p z O 3 B k c p B i i u 9 f K X 1 z T Y N 8 f T O z b Y 6 y n Q I G d F s G 1 Q P m w Q p e v Y 4 6 M x F M I W 8 N 0 l S I D I 5 6 S 9 C N 2 F b S u Z A h 6 k x 8 y T j f x T W 8 a Q g w f b 3 x C k H q f H k o 1 j K M T n u Z D l j v G 1 I W l z n e 6 S 1 G f v l I Q k K S 4 / N O 0 f C K 0 Z F H U u 0 X R X T W d z D D a k 5 T P G q l 2 M + f c f N Z T L U d t w M k y H Z c R s m Q 9 0 9 q Y f l a 9 z g U H L 8 O v 7 f Y 1 S d i d 6 z 9 X x 6 N f 0 6 X W x X r G 8 1 i a r + z M O f X 0 4 W 7 y Z 3 i 9 l 6 N V 3 M D 2 a A R s M C R k F a e O x t k L B S t D Z w 7 i x F p o x m B F R m j O l 3 m X 7 U V u + z T m 2 P 2 A z Y X R S 4 6 3 / y 7 Z p F m c X B u + n V o k t u n 1 6 d W 7 / x q l H L 1 H v u 4 K f D n 3 / 6 M J 6 t J / z r y e H P J w d f n v 3 w z / H 1 7 X Q D 2 v q Y X r F T b 4 N N r R J i U X p T Q Y x A V t x O y Y q R I L D m D 8 U D s M v W u y I j v M + 3 W / w y 7 Z O y + d E c e o m G h F J p O 9 R z F 7 3 i h q J Q v N H i N d Y l w 3 n 6 j 4 N 8 0 C t + 7 J Z / 2 r i 9 G M 9 X k t 1 g u f 4 v Q 6 L m J s V C w Q q / K C M c O k h y O 6 / u T I Y R f S f S 8 I D 5 T c V l a d u Q k G Y f H G N 0 G 1 j 7 i 2 D N Y U o U e y n J 8 m o 6 m 9 1 9 X C w X 6 8 + m P Z 5 f X U o q l L F K 0 V G i P Y i I g G A d b Y Y J E c p Y J Z z Q M W x f O y 1 k 3 T e 7 B + d q j 1 P c + 6 u P B R Z o 8 e 1 L W r f T 4 / C q 6 x n c X Q b s L Y N 7 X W R r H w K 6 I v E w Y L / 3 E G g p S z T v s Y O r z x f U 6 o Y X w I n m B m 5 V 0 N U J 0 6 l o s y U d B t B x B o K v u N O w t a v W p b 0 9 3 A + b 5 y g X g 5 c E N 7 8 t b u Z m j J P b A n 4 0 E v 0 z l L g C 2 F X v w a o L Q f c n s G x C r 2 k n L s 7 a 4 h 6 8 q Z 6 k + N P L H f z H 6 f 5 d A I g J K V h B D l b S S K O u 6 s j E S / 6 C L b O Q l f m K T d x 6 E 1 f h 4 d 9 f Y q Y c p D j T y 8 H f 0 f V 4 a g R 2 O P k y J O m i a w I M v i U 3 r u C H a D 3 l M B / A 0 U k i b s 1 z I I 3 t I S o 3 z / k 7 u P H t d L 0 y Q d 6 c y K u Z U 0 B w g J Z h 1 d a W S w 3 S j b B J C R V w y G r w M r I O p f U A V 9 r b g y c 3 z 1 E 8 6 S V t 9 a / L 8 f z L z L h e 5 j S l i N k X j H I Y 5 V v u 6 g 6 W w + S C 4 r c m O r A n b G x M 7 s G f W 0 c p L v V y S P E o x t t t z x 5 N S m g r g E / A H A V s v 9 0 X R H 0 D 5 j A W f V m / b 1 h z 7 X J Z B X q 9 v w d T O U h x p p e b 9 i S Z 2 2 V u 8 r S j j t O x 0 N 8 5 m k 9 v 5 f 9 y v N B D r I 5 d a M j A M Q u l c D h P W r X F 6 k 4 P E r B X z D 5 C n u 5 U Q D J t e 2 B Y f V D Z 3 M N F o D l M + X q 8 5 C I 7 n t b K Z / u c Y U X c 4 A w h w M d J r o b 6 f s 8 Q 4 w F y C R 8 Z s I J a p c f u O q i M 3 u c I q z l h 0 4 X + T r A E R 3 s l e b a f F a w g K X L S q Q Q 6 T x T O 2 u G S u N B h T c l z w h b k i D 1 e r r Z 3 7 x t Y m + d s e v P Q y / 2 r i 8 X t Z H k 3 M d E D u r G 9 g W 1 n X R + Z F 7 a 7 J U d Y k 2 6 l o y L l 6 k 0 T M O 4 7 M a c 0 J v d w y 2 4 d p b j U S 7 4 3 f S N a g 5 x z 6 E 6 e L Z a f j e 1 J 1 x 0 j t s u F G D I Q M D h 7 W y Q R R L 6 I V 4 j b X Y K f d 9 B I r g z u 4 Z N R D l I + m N c + b h n p 0 S u a q Y L D B 6 P H P G i 0 Z x 3 O e L 7 + x D 8 t E D I P Z Y z n v 8 j c l S G H x E 8 c 3 F w 9 + 8 E a P w p x L W k h R Q b v z w a 9 d F l y x y X c c u i q N J L e d p l F b X E P n 6 V 6 k v J d n v / S A V 6 q v 3 o w + T j s j V 5 a v 8 j x t B f Z 5 e T j 3 S P y E E 4 L y D G c p q i 0 8 s 1 s y n 0 i Y x c V C H 0 w p o U N d Z c l o N r i H r 4 Z 9 S T l m / G T K i O o 7 i 0 B h 2 o G d s + c o D L 1 6 o 0 J K V M O Q J k N 8 F m g X V v V B K 7 1 3 d u u r R r A + 3 J t d U D v N 1 9 9 9 K x q o 7 y d T q 6 X s o + y Y 8 1 t 7 R x g o w L p 1 + p T t 8 R O w E a L j G 5 r L q q 2 n T S N R X u j N n y f d f f G M Z v X 2 4 P v 3 4 N / c d g T f F Q P A t F 0 4 K w d 2 I J A D J j v X I B A B s x 3 F 1 1 i C R c e G h N G 4 / L E J d 0 k e E q w 1 g Q Q q u C C 8 K 6 u n M s Q S m b Y t R s q U v v 5 Y W N y H 7 l D / e u 0 R 2 1 G 1 + H l i Y c J 5 / F y / O 3 T Y m n a k H H i H Z U V B O 0 O t M J Z F r y / 8 A S N b C h m F V X D a 4 e 6 t j G 5 / Z 3 3 N 6 z Y O k p x q Z f k o 2 J T a z 2 / m 5 i G w 2 4 U Q 6 z 5 s 9 s k B s C E a 8 I i W x O m d C t Z Y k T j I M 7 E p r a 9 R E 1 r c w 9 O 3 T 5 L 8 a q f R E N l l U x u Z P m B 5 g l 0 6 S Z M P 3 4 0 t B J c M V v 0 s F i W K + i L 3 N + f o M G V l e h D C n L i 3 V r c z z G 3 h + 9 l 4 x j l U / E S r f X L e C 2 8 O A P m Y 7 o D 3 J 7 q Z A S S J 4 f X t I 7 1 Z m L B U 8 1 d v z O g A J s P K o t 7 8 K j m M M W v X r 7 V + h p T 0 1 C 0 z o L b G j N 4 e C d G 1 p j B H k u S B 6 u L J / m L p 9 9 l g + F m G w 4 Q u 5 T 6 S c 1 / 1 E z 3 d I j 0 J K c Y G U r 9 r h j 5 Y w x B 1 X f D c + U q f 1 C U j G M F v x t r + R 0 p J h B j s e m X M s g D T F 5 x d d t 1 v i u D e 7 j e l I O U q 8 3 L d b 8 X 6 4 + L q U D A P D T G c G I x E W j G L E E t P B T 4 / z Q W o E W J f A E v V T D E A G Q c S r 4 q e 6 m f y u A e n K k c p D j T S x 6 T / 7 k e G + P y z K F F E K d s 2 y Z g 3 o T 6 A V Q A 7 Z y U r H I E J o 7 R Q 1 k R c d d r n o 9 T 0 g h z e 3 D k x j G K G 8 / P P G w N M N Z d L r 4 Z Y v K N Z v P e O v V I U p i g o I Z K k Z a h N 9 C J K I Z h O U q R U E t Z q Z a 6 M 9 a a B 5 X B P b h S O U h x 5 h s f a a J + H X + f r I x 4 c b f q T v B 6 Q R K N a l o E 7 q V b 4 Y A i F a A q g H F W b 3 M k D 5 o U 5 / G w r C 3 u w Z 3 q S Y o / v a z x T r 9 f L R h A C U r w h 5 5 M J 8 w 4 x F / 0 b 8 Q m R y n Q K N 0 C g K B y p E y n h B e l v L 1 y R W N w D / 7 c O k p x q J e I 8 S D T V B V O U 9 y s r i p M Y 9 y M q m I g P L h H I v J 8 P S e w P p r 6 J q 5 1 B Z I v A K 3 h s 0 x i A e F v U t F o l A q R 2 P r R s 5 9 w N B b 3 E F h b R y m B 5 W V p o S / X X b o m b b l u 6 J r I c n 3 o m n T l + r v 1 3 R f D Y + X W j C S X z F O 2 0 e B 6 Y G g o R e y q p c N w R K i F q L n S Y p a L h 7 a b D c L c H i J q 4 x g l m r z s Q T b w Y I M r z 5 w Q h y k r C z F d l w S q l g x Z 3 o Y a P G O J j b Y y p N K w S 5 e R 5 A e 2 6 7 s 0 J v f g z q 2 j F J e e + Y g 5 P F 3 / 5 x q e l r 3 T r C V i X Z 9 s M k c 9 N G r d i i p J x I I K H q 2 k Y a 1 X v B u z 9 9 i Z P u z O 2 H T k 7 p 3 p v p A y 5 x N R s b + e z E 3 r D a 5 y Q a m Q O 8 s E w T O Z T A v S Q M y + L N k Y x s 8 V K t i a q B u j D 4 T J P U T o 1 l G b j v V z Y + X F 4 v q z M S N 1 u n G h e M 4 L 2 A / F p S p l Q 6 u n M x t B Y N r o E + 7 C f y i t 7 c G V m + c o f v Q S 3 X 2 x W K 9 u J u M 7 E Z u / M p 3 9 y N 6 3 b H p P 5 n d r u f + 5 n G g 0 G Y 5 e O z R M M / R 9 B c o m y q j l o 4 q e s N r 6 T N g s k R 0 Z + 1 q j / S 9 w 0 J p / c C y N P z j C 9 H 1 e x Y 8 e r X w A R 6 8 9 b K n S H N s e H e q K f A c Q x + n k m 3 G S c u a y Q g y c i 6 0 2 9 k n J s S M 4 / D v o D w i 9 b n l p F x Z M a W 8 P 1 8 X m O c r X c v b G w 6 / l 1 A j h c m 1 D U D E F a Z k G A q w s R T X k r Z C j + c c b D m 8 e Y B 1 o s e z v B q z t x Y v d K Y o P v e w + n I 6 / Q b 1 6 Z X q 9 3 Z Q 2 M q S j w w h P M d 2 k b m r n Y e B w W C Y K U N q A q 0 W w K t k n 1 r X J f X h T P U p x q Z e K G + / H t 5 K u 9 A G K B m c V H D T m y g g y U k h 2 2 J J q o J W i P Y g 0 z r 0 O h 1 3 1 K 6 z t w Z M b x y h e 9 J I F 6 8 X 4 z + n k z g Q 5 c H o o B e c O G V c K C R 2 5 l 1 A A b x w Z j 9 i a J B 4 h 4 W B J b g c Z z t r i H p y p n q T 4 0 8 v H 8 p f r b 3 D F m / z p R B 8 Z 4 c 8 i y m D X y S E Y R B S 3 a W A I + k i h p i o r J 7 u Q r E 3 t w Z H q S Y o j v e S O f D X B j 4 b 2 o u u c W r Q O m V D H X L D 3 k U D g S u B O I R 8 S D O / 2 Y 0 1 p b Q + e 3 D x H 8 a O X E + r n a z P e w I 3 P u 4 T o k w c S L z Z 8 g l V R G 4 U j 4 h N a O t m Z k p M A u 6 C U 5 v b g y M 1 z F E d 6 S e L 9 y + 1 4 v p 7 M 9 h a S Z D Y U l I g i C c E 4 s T L Z T U R j W E G L c G d w X m 1 x D 9 5 U T 1 L 8 6 W V g 8 n h t N y G e e J P k b H w z v v u y v z R Z s I y C H C s K 1 s f E F d B 8 M z D G U r W y g Q s h / A 6 1 a 2 1 u D x + M e p L y w X i Z K h / P J n 9 O H p H R c i t i 6 V G W B Y D q F H y Y H O E 2 y T J k o + T O D d Z T o p D s r v P W 5 h 5 8 u n 2 W 4 l U v y 9 i z q 5 P 5 a n F n 0 m U 4 f + H Q e E 4 g q Q Q 5 l h O H p V j l b V f k 4 Y 6 h c y g U 0 7 j Z E U + z F 4 9 s T O 7 B p 1 t H K S 4 9 f + F h w / D V e L m c m n n X n Y o g O P T T B G I z Q P S b o z 8 0 e m O 6 h m A t e M K Z 5 d q 7 t D G 5 B 5 d u H a W 4 1 M t q 6 H T 8 R f Q O K w 3 D t 5 P 5 l E n R T L y r z y t V l e 2 X 3 G l a l K J P S X l L F g b p G D K U Q f O w k p b R G C 7 x L f g L w d 1 j z e A t / h s c Y P 9 B a / 1 B b f s + x 0 W m U x W / 9 z A p 2 t a d 4 4 d G b o 5 h O S s p 1 Q Z 8 / e S F q d D W L d m t 3 p X z 3 v R f e X 8 r 8 q Z T + / + h f 9 r 4 p e 8 s V O P 0 j F t P u 1 e t h y B q 5 N n t t y f q 9 l N c h + G D G 4 P p H o N s d x T M L v / E 0 y 9 u H s 1 m k 8 8 3 k 7 l p O c k N N I + S T F Y I 5 k 9 J y i 3 u y G a o J v h A i x R i 7 o D / a T + L a U 3 u 4 X 3 c P k u J X 0 9 x 8 5 q R e q R R q L O O r a z e D h Q Y N V F s 6 G I r g x o o y o f Y m o p P 5 G o V P Q M + t J 2 K 1 H / 2 1 7 g n o 5 q F T v z r Q 2 6 I o K G L B p m u D m W t l 5 D X v G b W 0 Z D W 0 V C P j 3 X B I C T k B 5 q s z g k X 9 L 4 q R c s H R s R O r W 8 g O H k W 5 + B v i k p x t o 6 T H 6 W U J d P + j D X Y A D C O a I r Z N U s q g 3 t 4 Y p S D l P f F y + 7 3 2 f T u T v y / r 1 + n h g 6 4 2 6 y Y L X T h T H j B i 1 L Q g z e z R c G Y W r J O C Y s 4 V A Q M / 6 1 3 m u 9 Z 3 Y N b d a c p v v V y Z n y 8 m H 1 E / t r g 1 y M X Z d I Y j h x w t a K v W e t e N Z O N f M S U U U j y w I V L l W 0 b p 7 W 9 P X h U P U n x 5 p G P a q R 6 m R b N o p c D u P I c r e L 1 1 R e z e I C r f l r J V j w 6 W y 2 q o K o h g l E I 5 Q G q h 1 S T 9 M T F m M z u d m 9 t 7 u G 7 2 T 5 L + X L O j j z s m / 7 P 9 W Q i S C 2 P 5 v P J / z B B S N x 0 I e B M j 4 X C I T s T b M P L J m n l W j B 8 E G N z v f P X O 6 0 2 S c N R 4 B F m 9 + B d 7 X G q g 3 1 s j J u R t B f H D m M O L v k w Y w m G + j 5 L 0 n u I v S J A u C F B V V b Q B d U b 9 H Y B + 9 + O p L 0 4 9 j B I L + j c 0 E Z e j E 0 T K 7 f N p g K 1 g 0 J o A W d A 3 C u x n S p A C 1 Z k g g S W E v 6 a l R j b m 7 c z u Y f g 1 B y m h K a X a j z H 4 + U j Y g T v H a I T l h m g l 3 l Q o K p C J i Z R 0 N K l d N c B 1 G a o 8 F Q y l m L Q Y R e d l c E 9 O F Q 5 S H H m 2 X s P Y / T 9 5 N 9 G + T q 3 M k n I 1 1 H X w g z U i h t K X w J 1 L 7 O k r J P p X X A f 0 t 4 e X L l 5 j u p J H 3 d P 2 O z Z 7 u e F m r a q Q z L 9 6 2 T 5 W a 6 9 P c R g c + Y U + j k T N m g 2 o o Z i u m E o p a A e R V E S s 6 e a S I E u 6 / u 8 M r i H 7 0 U 5 S P 1 g f A z 9 5 + M l t b S h l H a j n M a Z 5 F h i Z w m I g a C Y a h B C x Q g O W p C 8 a O T V 6 6 t 2 1 3 h l b w + + V A 5 S f O k p 1 7 Q O I Z h t v 8 M O w f / L c m p a i n I j n Q + F 1 r j 4 f w g O k c s 1 b R f g K z n w B c D f 5 A P 2 b R d h a g 8 f y s Y x y m f i K d H 8 k t 0 2 Q 8 i f / 7 H 9 y V g P H l h P h g C k h A Y E W q S o b H i S c r C C 9 N P Y T I 8 z 2 S K x 7 p 5 d g o 6 a z H t w p H K Q 4 s p z H / X w L l Y j / P j b 4 m Z u a n / 8 6 t I N F R s 0 w L m J S P g A M 1 7 l Z j p e E K 0 k 5 2 V D G 2 E / H c f q A 2 l z D 0 7 d P k v x 6 6 8 + 9 k T h Z N x O 4 y L N P N D h J t e j W z S p o n 3 o N + g W w w R e E m w N E / h u 6 v h 8 J q a N h t v Y T X I + J c / K W U v l O o Z j F z h v 8 6 i y z 0 i f i w e V z K z + C 8 s M T B r c Q + h W v 0 x 7 k B K 3 f k r O Z 5 r y q y a P + G t w i h b V U l c 7 u k G + R L U M H P P 3 Y m q y n I 9 n N T n W Q 1 X q u S O f N Z g N R o R x D R t r A b c B B D y C L 5 d 1 H Y G W F x W P Z V y 1 R r e f / P 7 g n 8 + 3 D 1 P i q w d u 6 w 3 Q 5 8 E M z B Y 0 4 Q E d I e D K 3 E v Z P R q 5 U P y s Q N T B 4 7 U 9 3 u F n n c y u B V Z 2 4 3 d U / 7 0 N m P Z y c r e 6 X S w f W x Z y B V k S F A i o k 0 Z u M F 5 A X U K x B 3 k C h P 4 7 7 W P f t 7 q H k N E e p w S N l 1 D L t 4 v l a m w k I n N j 8 Y Q q n O V 6 t I M L 9 D b u U Y j D B 8 + f F t S C U J 1 U C 6 J 2 I V s b 3 I N P 1 Z M U d 3 p J 5 c k S / H Z t k D x t b Q D d 3 m p h a h G c O U l N R 2 J b R X Q B x H 2 Q F E n T 4 g U 4 B d w a S t h 6 j c X 2 6 a z M 7 e F 7 U Q 5 S P h c v Z a a B B J k a d m 6 j H Q a s g R i 9 s v A t d w I B u l W j n W g U 5 W W S o b T D G I 8 G r z W L k T C 3 B 0 d u H K O 6 0 c v B T l T t n W z o C N Z d g o 3 K w q U j E G h u l l T T P 7 b u C N T d v w b 0 p C t e 4 n 8 c p N m A y G 8 R + S y h 7 P 1 6 v x h f G R o O r k x Y 0 J l F k A N z v Q t q 4 P Z K E A p A M L f U / N A 7 X A l Y 2 8 O N c P 8 U 5 U L w c r v / Y j W e z 0 w r U a 5 E g z G K P k C k u N d l Y t f 0 j Q Q 8 K i i A w x W g 4 k L r G W x l b h 9 + l L 9 L e 5 D i S i / J B v X M H p o 9 Q 4 e 7 / e 1 i Z u L x d 9 O E S h g R x D l 9 x B A q i B C R 4 f p j A R m J v l A E T X E F p c u t t 4 + F u a 0 P 9 9 c G 2 T h G + V S 8 1 I P S D w a q Y c G T p Q F a o U y X N K D Z j I h r t J Y u D 5 C D g S E R 6 J q Y 7 I 9 s J w J B 9 W d P 5 e q 3 S z o / x k L v 8 o M 0 Y u N A + / R P t H Y g q k U V Q t L 9 t B x R 9 H y Y 7 6 O a A 8 8 i + G n 7 a 6 G y t 4 + b Q T l J u R w u P 3 g I 4 w u 0 0 w e X w G 2 n D 4 b A l d O H I X D v B 6 6 m V E u i 7 T h y e M 7 1 e 7 u a J p B 1 r L Z 7 u 4 a N U b m 3 O 6 y M d q 6 G K W n 7 j k 7 / f / b e b b m t H E v X f R V F 3 u y b S u Y 8 H z o y 3 W E r D 1 Z a k r 0 t l 9 X Z d 9 M S b X G Z J r M p K V 1 e V / s d 9 h v u J 9 k f M E 8 i C E N g w c R C R s z s 7 n J Z q o o x m o M A x u E f / / 9 t M z f Y v n d t O K 1 o 5 x 0 K z 7 S i n U 8 r 2 t c I N Y 6 h 1 q u 4 a z I v 6 x M 3 q L h 3 I 0 J d V i R V 3 K d N + T E M l 4 v l A Z m y A D v F b B y A d 2 K Q k e R 5 1 Y 9 1 6 4 p d r w L W f b F P A u m d a F n b D T N a h z 1 k L I o h J W E J k i U r 0 v W 6 d N e n 9 Z n q G 4 5 d R q k 7 U q L h O N H r j C d K P 0 / S 4 M B c 0 h X t G + a S r g x v m C F d k W / Y l K 4 8 C H W h 6 S 2 n L m E Y 3 j B D G O Q b N o X h Q R i 0 D R a X V G J o s B h S C d l g m V K J M Q w 0 P 9 4 Z Z 6 N O y w w o S Q A A Y + B B N s E g 9 M G Q O 4 P r m J l o B h 2 n + H V h z Q 7 S O u w h l V A M K a l E k E s N x 8 1 q Z W x k u c J o K 4 Y e s d A F a f t V c s x d w Q B Q M C M B X l v 3 a 6 p 2 W W H r r o d Q K o a U U I Y J o t V m h d l u / 2 T v r L B L 2 r + W F W b T G H o Y Q 7 9 p 7 o y w E S f 8 D z e g W A h k i A i X q p A r 6 4 e L 7 J p k G c P F g i k x J N T 2 f M T C X Q + n a c u M c p a C R P / o k 3 t N S 9 g h u X + 2 + A C a 4 P l 6 Y w K M X f 7 h c H 4 z l v 4 h M O a 5 B G c o 9 D B 7 U A F / Q b w 2 T 4 A V 7 M d u j M 9 H w m M P 3 5 k d U 8 r 3 5 j L E x T J G r m I n 5 d l 8 Z d L 0 c W I l p 9 c i u L R K N r 3 Z I 8 u Q a O r B Y 2 h L l x F 3 Q 1 F n y E X s Q b s q v D 4 S P n s I 6 6 4 t J a 5 h d l y 0 I y I N 2 Z b 1 2 z q M i K K 2 I 6 Z 7 X O W I K J p e 1 + F 1 j X L N p n b c F u d 8 g G + b 5 f 3 8 6 O b q p + + s w 5 B 3 p y e m A y Z S U F 0 Y 8 v I f R 3 E 6 h W E I w 1 N 4 B D 8 1 G 2 M R 6 E p N h C J k l S H 0 K Z g 9 c 1 H r y c q h B D k L 4 y e r e T G 7 L k J m w 7 a f P P j s 4 Y 7 b t a X c c W F S E y 2 R o v t M Q m i i t T g 7 d 8 l H S h g J y j J L 2 X H v R V p b 3 H O O o E Z V 1 y C e 5 M / t A U + I 0 X R O e 4 i r x p g S 2 L P z A P E N F 3 O 0 P 0 1 B / a c L 8 U x a 0 b B B + T N H a Z C S H r 7 3 H s U W x / B + M v a B 6 q + k C W C / 0 t c 6 7 C G g i i E l m P 8 M k X h G v 3 7 u 0 o s e m q C G X r R s g k 6 9 6 L E J q i e M 0 m Q i D g W i f s y n s W G d 7 f R j P k O y I 8 Z 8 U 6 4 z B l o P I 9 G M + a y D 0 F + Q J s E F O Y K b 6 B 4 e h K H W g c M 0 Y X A 4 b 2 f N 9 S N y Y m 5 b X y U L n 0 C 6 a Y R H o k k n l r v a 7 A d J 5 S x j w 2 N Q m 7 J N a j u P P b y U q i X l q Q y S 7 / x 0 I e j O T b s e T o 2 Y F I p q 2 D Y r + m h 1 J h n r + 3 h m M x T D R B u W v p u U x r G N Z + e x h 3 i q l p R 4 B t m E O b 6 Z b 9 Y f 5 6 b + u i u B f U w i S 2 M U V Q l 2 a d N h v x Y 2 G P r u q C y 3 b V T 7 / n r v s o e I 7 p h S Q h o k i f 3 z 5 t N i a U b S u 0 6 T 2 a u B s L p G l U D Q i / S N h I r W e E b z u 2 a i I p T / b E 9 o 7 7 C H g O 6 Y U g I a 5 D y Z T a Z d 1 G 3 + b b c v L p q l a L I L K T 7 D O q Z T U Y v q D I L r C R v 1 v b j y g 6 J W U L c J d i h w j i h d 2 H 5 z h N d H U j 6 w Z d Y 5 Y D / x y a 4 t 5 b s T Z m m r V e r + t t 8 d f T q v G e z t n 8 4 b d j 1 k O j / t e j x M 5 z U L A N E 3 X g D Q z m w 0 + y T W o R 5 m N h 3 0 S D c s k D O b 5 I C H e x 9 R y f b U 7 / P f + P Y y l H q d G s 2 J c 6 j c 9 P s k 3 / b m + O / m r 0 Z K E X + N G M 2 p m E g Q Y 0 B k m m q C D B Q G 2 H I o D s H D F a g n V T n j X q G J Z b 3 0 1 z r s I V F R D C l P T Z C l x C / G r W 5 X 7 m 5 B G p n n a N 4 g Z f a A y a G Y w e 4 g 2 L p G + h 4 7 1 B v e e g j j Q y t K D M O k 7 d b i 3 T S H 3 v p + 7 9 u j B s 5 I 0 R 6 d K C P H h / y S r N a I H 3 U i U a b F U m S C + D r N k 0 i I D R G Z H k H K r h F 8 2 V F R V 5 2 4 l N 1 Z a h 3 2 c J w U Q 8 q J C p I + + d n 6 f n l t n B Q e v 3 Q Z / 0 Y z S O 2 o q P K 4 T F N u w r 6 / A s H N L M 3 Z a 0 8 T K R 1 l P / 7 t P P Y Q T t W S E s / j E M m v X t 0 v m 9 u P J i H P 3 1 z E + 1 L Y y t I k g Y w g F + Q l M j V p T y f 0 J e g O 5 D X D / i o V 0 G / b I r n z 2 E M 8 V U t K P H 8 L U b h P D 3 9 y q W g G + J O h o p H w p 6 m i G d + 8 4 / X 7 9 3 P T W M E t f 6 w 4 V Q W P G q O D N u X v x w r g O 9 F 9 i c o a / q g 6 t m 4 8 t e 5 6 O F K K I e V E B Z l D X p C 8 m J q I b g O / Q i B j o h Q u R 6 o B Y t e / d z X 3 Y 8 7 t C L 1 T F g P N 7 n n + n r a r 8 3 8 t b h f r V a L r L k h / P Y R y 2 4 4 S y S C H f b 8 v P t E M v p w v l y Z J D 7 c a v e Q A Q u v G c A i W T u B O P d J J b r m T h 7 L q H o v F D N v X D p + P p M c e I r p r S 4 l q k H W 6 n q / F p c Y b + F o M R Z 7 k a 5 m q v P H F 0 y O R X O D v f a l t Q L + L U n s C v z 8 I g p b A W p P 9 O T R S T x d / L V Y f O m 6 z V 8 1 m c X u z O 8 4 7 d S o a o h m 6 3 u i S R Q j c C b T o 8 C h G s 5 L B G s X C e L v a l f S j 0 0 e t y w f s v j / R G F M u 0 t M Q S 4 f T 5 j N q Y F e m X M c V O 4 F K a Z G m 8 J K D e 2 H 9 q O / U C B l T s L 9 S e n I f s d L e Y w 9 v 4 4 4 p J a J B Q i d + n 1 O F b M y k P i c u a H 0 B 7 K 5 A S L T V R h u 6 t r z P O c L 8 B o H o D I E z a + z E 4 L G H k O 7 a U m J 6 E i R S H 4 T T 4 r o x L Y S e / + L S g U M S M s q q A t J Z x O n Y J O 7 h M H E k t A W A s k U V 2 K d 2 t d j u 8 k W H W 7 r s I a Y 7 p p S Q n v 8 S 4 P L F 5 c 3 i 7 p M x o p c u z 2 l W C J l B V K K T B M Y M Q Y s x A F V Y t n m g F W E v M 9 h 5 7 C G g q i U l n p c h P q S X z e 0 N K Z J 5 6 O H 2 l C I Q G d E + R d S H i Q c i c 1 2 u / H 1 F Z 4 i f Q K V W y e 7 5 H i E d n P Y R 1 V 1 j S m C D f E / 1 z V U N w t x 6 n D g 0 V w 2 6 j r K 5 O g H 9 x y r n 4 n 6 5 X P x l v D D d K G m K W R 4 n 7 B n G d F i B + I p D 1 G Y 1 y Q z p h a w u S u Z T P I 3 2 I N / e Z Q 9 n a 8 e U c r K C J K b 5 5 f r T e m V O V F + 4 0 F y k q K U L a Y U K U c E U T a 2 B L h u e I Z a E E e C t S k I L Z N M a O 9 O 7 7 C G k O 6 a U k L 4 I k e c C Q S e 6 r S y F k P s Z M L i u 7 X M e Q X h t R F 5 a i 2 F / f 1 J h Q R f I 3 K h i c L x X W H H 7 q H X a Q 2 A 1 x p T Q B t l I 1 / P n f 1 u 8 3 s X N o v n c 3 N 4 a d z n O T t w q H U b S J Z v m f F M K A Z p r L / l s B q s c G + h s o W c x D E r d 3 N N i 8 j K 4 7 O G r M 3 4 + g z H 1 q 3 M S Y K 3 D W t t u t z B 1 W V g V Q j k i c C I H F v W o b i Y W x / 8 4 S q e V 1 T G F u l y v r 0 1 D s J c v H A 5 W y l A T h i G m X / A P P e R n Z A i 2 x f S 8 R 3 U i / B 2 + 6 I d T r Z G f y 2 B H O V A v X w R 4 o F 6 t V 3 f r u 7 V J d c x N U T K b J a i Z Z / B z b 3 c P U J R E m S h j 6 y 2 R S p P 2 w e x d H j 7 n w 8 V z x 5 Q S 0 i C Z 5 a D Z M v c O X K s b E J F l z j 9 S R U 4 U M e 3 D B x E 7 o J I y h y C w 2 A t y 0 D r s I Z y K I S W Y Q V Y 2 e l k p z V z U Y S S n V 6 d x Y T 0 e 1 l i 6 z r 3 u U Z V r L B P r 8 f i o 6 p E I L r n N g E Q w 5 D Y S i T D l N m M Y G L + K G e b L x q T K 5 4 b y q c A i 0 w A S u C 3 R D x p I M 0 l w 6 B m V M d r L b e v I G u c j n D 7 C Z Q + X 6 I 4 p 9 R r 9 r w D T H D 3 b 6 r e 9 R j s C C 1 O z 4 s I l L U 5 m B b 2 n C F H n j K c X J Z T u 4 a 0 B v a d p C T q M L w 4 Y Q P t M S q X c O F w i p V p S v j N B 5 l H D g N c Q 0 Z N T l 4 h y D 0 Q s n R R 5 H Q s p b t E 8 7 F M p N s B h i W A y v p 9 I 9 + C z h 4 t g 1 5 Y S 1 Z P T E G 8 C r e C J B u N k P 4 T p M m B x j X + t g y D X s y e E + / j K v l r / a U I K u Z 0 r a J B Y F c n j i k t R M H j 2 G A T G m y B r 4 f z k l / t I J A t n P R y o L T N / h 7 P 0 R / O / 1 2 v D 7 e j W O U g A B 4 H V q 5 M Y 3 X K F z A q R j h T E 1 5 4 M r d J f D 4 H c t q N E M s i 3 L s r a O q N h P 6 A / p D / F L q P p r M M U x I b R d A Y A N 5 5 G 0 / 0 H n v y k 5 3 z U U G 8 6 V P t W 8 B K n + o a d 2 g S W n p g R S F X Q s U 1 6 e E l d g D s B w J k U E L a K w V r X H n h 8 N j I 6 7 e H 4 a o w p Z z j M T Y a q b d l s n e H E Z Z N B A C 9 F Q p o Y N h k q I U c 6 b T I 8 O M O p Z R g c z v B p c 7 + Z L w 0 v r y v a A T x 1 n m Y Q V G 2 V J Y w 2 K T G T O M 9 L u U X d 0 f k + f n x b f z 0 c X c W Q c m y D B D q c f j G y G 7 h u e m Y i 4 0 W 1 R y K R h g q T m x j 6 Q Y Z r + 8 q z C G 9 9 x P G h G T W K F y G W l Z 3 u 8 / b l q 2 k w W Z e V Q / P W s M A k m 7 f T B t N 4 + e r J 1 1 z e w H 7 N x P Q G y u p + e g P H M D z b r K F R N b x P l 2 8 d + m Z Q J 7 L r D I d V R m U Y V w 8 2 g S L U H 9 D u o F 4 U u P R C 8 B / b 7 R i 0 D n u 4 2 B R D y t V 2 + T b E q 0 1 b G 2 r g W t Z X 2 1 A b G g g N Z W 0 4 E R q O Z 0 p f G 2 q m t A 5 5 Z b / / Y j i 5 5 z + 7 n F w h z w I r b h X B q 5 S m f V 8 u j g Q / u Z D d K e v 9 N N x 7 h z 2 c 3 B 1 T y t k 9 / z n E s 6 v F y 7 m 8 h w N e z l A T S r z c 9 B 6 O Z 1 e / + e F y h Q 6 b H 4 Y r V G 5 + T F f o G I a z + e b K S D 7 m l J a w J J B F X G K s J o u h / q i + U M X U z X G W Z r D 1 C 8 7 3 P Q a 0 0 m E P l 1 v 7 y Q y G l K s t y L T k B a v J N 4 1 Y E v g a X e r F s c N T l W a z N K U 8 p q J o O e O 6 X t j 3 F U k m m t K I X 6 I e J + b t 1 i C N z u P h U z 7 c u F 2 1 p M T z 4 j j E p 0 r b v n Q Z z A 7 t S 8 N g V r Y v p 8 H s e E e e N k a 6 K u d 2 F A t U 1 G 2 A H Y R C z c M E k G 5 j V k O 5 K W 5 O + z U q 4 a 6 H A 7 V l R j l N Q d K O 6 R s h L v 2 o o R F i 6 E f J R s j U j x p P 0 7 P 5 Z r O Y m 9 g W 3 P g x Y z o h R S S 0 t 1 k 4 E i e q R x C l w O 5 B a T 9 U l 7 D s h L Q e e z h T 3 W c z W F K O V Z j 8 m N p 6 y u W R G u o p w y M l 6 6 n p k X p w r O 7 v l s Z E 3 o 3 D h F O F V N r W a o r E 5 d X l D H I + K G n o M A o 1 W e v u o n R 3 + K I f L u 9 7 t m 1 I O V F B s p e w e i u z 9 O 3 B i Q v y Z E j 7 D M g T m f Z N y J P x R P 2 6 b D 6 Y j 5 Q T z X p S z z K B v A P u S k m V d T u X 3 1 M Z Q 3 e Z F / C N 0 L W H r t u 6 l u r 8 9 X C m V E v K o Q q S Z v 2 3 T b M S A l Z f r Y y d m r j 5 7 K H y 4 L D 5 z E w Z 0 r 0 y i g a q b r u M Q z r r I Z D b d p Q w X g T Z v d X q C 2 n g Y N a T l 2 E x q 5 u M f X U x a 1 J i H u 9 G / W K W S 9 I 3 z P Y N S Z + c 7 U 9 J 3 x i G 1 / e 3 B 1 v J Q m g A 2 n P w 4 k W L N R 6 B M h m X G q C n G q L C j u b B 7 l Y T 3 n q 4 1 L b M K H d a k C j F W A e U y b + t L t v r h U C l i / v + 2 g R C c J I a o d u f I 0 t R w U U K T 8 w D 4 Z g 4 K m a U B w n 0 s 4 U g e b I H I e D 2 U e u 0 j y / O r j H l 6 x O k 4 I j A T 3 w y B f X 8 D 4 e m f 8 Y 1 U E D c V S K G 9 p D U p c z R W 2 b n o C q z p I C V V K g E 2 V 0 D r b 8 e 4 q k Y U m J 5 H i L F 0 z 9 X i B B w U A / D A p 3 M A J l X Q F V h I k W G d x B 2 q m F h K 6 F 8 g k o Y e t l 2 T G c X S + m v B w L o b T t K J I P k f t b T 8 r g U 8 U N b z F D E y 7 b Y V M S P G d L F / W Z j U o 0 5 d x q I s r w R Z y W d M e 7 A p I D 7 q u 8 1 I 6 H G x c g u V k k n e p + t D u m v h 7 t x 2 4 5 y o M 5 D H I a + a j 6 v j N R l r n M 4 V E Q A I r T s r 2 x I d q G s a 6 E M x C A B 0 X L g W f v I a k m H P c S y / W Q G Q 0 o w g 5 z F t V S G p + v V t R H p f / z G J X O B 0 h c N o K I C X c f j J l e r Z M + 6 l J W N Q N d 1 X I b W m F j B L t g 6 P X z a h + t c a 4 w p o T 1 + 8 7 c B L b i M W Y f u t W H M K r v X 0 5 h 1 f P j 0 H R q X / G P o 0 B j y D 9 m h m f K P M Q w X V + s 7 U 9 v Z b S s N b n I 0 6 e q E b S b G 2 j 1 0 p M q o w 1 O 4 e Q H e S W b e r q X 2 + F K a 9 N b D 1 b Z t R 7 n V g l x J 4 z I 2 M 8 i 5 s u 7 W p I m C f b 6 u J U V q n 3 0 I y B 1 s S O x w 1 B H S 1 v b r w a 3 D H m K p G F K C G S b b r n Z 9 w 4 V W b F j f M N C K y f W N i V Z s v B v 1 J b J L p j C U y I Z M Q Z b I U 6 b w I A x F O z 7 b g h t E L r O c g o R a L s l / n f 2 n q N i R P 6 B k 2 N G / b h f / s V o s f / p O D g K P f n j y Y 3 s z f Z N f / P D 0 + n o z v 7 3 9 d T F f X t 8 + + f G H 3 + b r 1 / P b 9 f L + j v 6 d + n f x H 3 j b L O / n / H n y 5 M e T o 4 8 / f f e f 4 t N e j U G g 4 W e a 5 F w 6 t X D J B w B t Z y h D A z M F T d o n C i i E k S l U Q k 8 q a b e M b H u 4 w l 0 P b 8 u W G e V l u Q y x f 6 v f a t F s p F m P p 4 e t l g 5 a p R t P y 6 2 W i T d 0 P E 0 W v I N O n Y V c s N R B 4 x K X q R Q F 6 u U U 2 W m Z A e a B e b A b m l p 3 F l Q 2 w M O 1 F V R L y r E 6 C 7 G n c N x s 7 u a b u a m Q c m v k Z r O q p v c n N M C R E p Y K B W 2 r C O E a f g 6 L M 6 l 3 m U i V E 7 v J S O + y h 1 t y x 5 Q S 0 i D b u U + v m 0 9 G v v z n D q 0 / V B Q r G E E T n j a F r w U R c N h a g N W h x y d o 8 K z F a a S / H o K 5 b U e J 5 M v n I T b 8 d P C F J H M I 3 9 B p 6 r C P u j d P d p q y K Y N c i K / I 1 V 3 y 0 8 / z J f I u G x M Q 4 J W L 6 G F a z 9 h F K p N x g a L r U Y A E A K d a w 2 v W X p 3 W R 6 r 3 2 M O p 2 j G l H K x X I a o e v l p c f Z y v T J e k m + Q h C z F V B E f y I D b b B R R O 0 K i q C h h 4 W d H t c A J 2 j 1 7 n s Y e A q p a U e I Y p d q h t O 7 k U 2 k P b y Q C a l G 2 n q d Q e i w N 9 2 0 k D t 7 O u 0 Y a 2 U 3 f 1 6 d 4 r 2 X b K p / d q e K + O 7 z + 9 m 2 + W A B I N q P w z J + H l F L w T r J q 0 P K R k 9 i D T W 8 K t k o N d Y 6 R f i Y m + f R Y 4 O u 3 h j t M Y U 6 6 5 s x D F l / X 6 L B p m D w d W H v 2 K l M a G 9 R k e h s w G 9 h A 5 Z J 7 Y Q 8 a r 9 F W z W i 8 b w / l 1 I 8 0 V 0 N O E I g 7 k a S R w i T 3 f R M 1 U D F o R c l E 0 t K j J 7 c 9 v 6 7 C H s 6 s Y U s 5 t k D D 0 4 + X i E Z U s N w r 6 a s Z a d p 7 v a g C z C A e E D k J O e G L 2 W C H t / P U Q T N W S E s 0 g R R 2 e b e 5 X t 5 + p I A y n 0 7 V n F p X s L m b s i K D K M Q o A l 6 A S g B P X 9 F / o p 4 k u i + 1 U Y f D Z Q 0 x 3 b S l R D b J r d i r K + 1 + X a 2 O Z 7 y Y 1 m c 2 E K i F V Y c 0 S a g t d b T e 9 W f t B n q k e m m r W v e 3 T + Z F 0 2 U N U d 0 w p Q Q 1 S c P L n 9 X p p w i i 7 8 W H w i O Y l r K A V K G U G f X U P b K 3 S G V o g j A Q R X U e w e 4 9 j K v 3 1 E M x t O 0 o k g + T C e P m x W a 7 X t 6 a M y G l n H B k B 2 j L s T 9 G 5 R r C l 6 g l o v k d 0 X S g m s U m 2 r 9 J k 7 7 K H e O 6 Y U k I a 5 N 7 4 q 8 1 i d S V u X U b 8 m w / z / 8 v U j j t z 2 S E X M 4 s E 2 F 6 G y l W v k t 3 P o B h m w A 6 1 t / R V 6 / t R 7 7 m H E H / N o h L p s y B X y 7 V E N i 4 1 5 d A X M t S U s i 8 0 1 Z R j T a l v H 2 i A y w 7 t A 5 g n 5 X h q C / K U a z h g H W w 8 f f d u / t d i u T Q N Z F z p G B M h J M 3 g u u p h v v L C q J I Z 9 w W D z 3 h P 5 r j B Z Q 8 3 x a 4 t 5 Y 4 I k 5 F R O + t 0 u S O G W a f h j p C z z u m O G O + I V + v l 4 e r a H A K 5 + g H m g 8 D 0 x w r 0 H A J r d Z 3 2 I B H L s R j u e j h S 4 l M Z z C i n K c h q 9 t l 6 t X r 0 j j x x S a q y F O I B a p w M b v W 8 y L J h Q 1 M g t W B f q j N + 1 n M V 2 A V z d H r 4 r A 8 H 1 t I Y U w J 7 E m I q 9 f T 2 i s H 1 I V f Z 0 b s g o r n o G y J k P H K T R I A U I K R 7 I B 9 r F 9 X B Y w / L 7 L u 2 l J g G u d B + e b O 4 M + U y b l 2 K b F b A h g b Y o G Y v k z 7 T w y 4 F m 5 s g E V J g l S K h t o u n 9 N b D A d 2 2 o 8 Q x y B 7 F R S M I J k 7 v F 6 K S f f l u c f u n S a / 0 2 A k y B D K I P F S 0 h x H o B i I 0 4 G S T C G L 4 D F z l y B R j F 1 e 8 P x K + H 7 W e e 4 j w 1 y w q s T 4 O E U F 0 D H O t 5 P 1 Z b 6 5 N U T 5 x i T J v b F Q h n Q Y 1 P P p p 7 M r 3 6 w U 1 A K M i Q r / k A V + 8 X Z S l 3 0 e / C a 8 9 R F h n T Y n u S Y j R f d X c / s / 9 + q 5 Z H S 4 X L o h g R r u x Z J N U M v v 3 m D 9 + A T V 5 k h T w I t B U t r 2 W R 5 c 9 x F V j T A l r m F n x Z v 3 Z R I 9 9 d u 4 A r c 0 y A g f D D 0 D 3 H L w 7 W g 1 d R J m p l / w V B q C q 2 A / 0 B 8 3 S Z x 8 C i N t 2 l E i e n Y e I j I 4 0 R L 6 Z y z Z Q h 4 D I D M t A i M 9 m 0 y 7 Q 2 C s 4 Y 3 d k Y T p P b i v 4 5 Q z e L G Z o Z R y x Y w d 7 z N g t Q O 4 Z V Y c U k R t R o 1 i P S 1 u H P d y P i i H l R A W 5 h v / y f z f 3 H 4 0 s Q J c n L r c j 7 Q I g K i k p i 6 A v H H h 8 K 5 g N 6 y x n R g p c e i + C t M 5 h D 9 F U L S n h v D w J 8 I L k 4 O z 2 4 W P N I r 5 D H z 7 u + v p b v f 5 v b M M C O u X 0 a I N X h Z y v h E k 6 r Q R D X 5 9 h M / b N U L S I + G a 2 3 S 3 r + l i F N B 2 u h a V a U r 6 X J 0 E + 3 L n u e + n C M j 2 s 8 X b P g A 4 i L t d 4 J 5 b p B 0 / 3 4 v p 6 O b + d / 4 t O x d d 4 2 8 9 / d 7 n v a U P Q h Q A L X s S s 8 y J E 1 9 c 3 G f 0 J 6 t m o i n J E m O R C q F 3 p e t b 7 7 O H K 3 7 W l H K 7 z 3 w O 8 9 J 8 v P t w 8 A v t / 6 b T 8 W c 9 i B q I C w y Z I c w Z O x h T 8 K R i K P E o L 6 J K s b 8 r e X Q / x 3 D G l h D P I 9 c / j Z X M 4 8 B p D G l o M J a 9 f n U V 1 P C T X g B S F Y C 5 j H Y 4 u 2 / b W D Q j h r Y d I b p l R o h h k V / j 3 + f v 3 q E c a 2 R h d J 3 H s 2 s Q x E F K U u e A s 6 3 O Y O I Z 9 m P Z + J t S P 9 1 r G G X z 2 E N B d W 0 p U g 5 z D 6 V f d X F a z B 0 i T Y T V b Q p q m 1 e w x j 7 m 4 2 s z / O q D k X T L j V Y P o l A 4 8 8 q w Q e / c 9 C D H j F m Q H S Q 5 u u y 7 s e f c 7 j z 0 c L N W S c q y C v C z 1 2 2 c u f b 1 h + 8 z Q 2 J P b Z 1 N n b z x W l 8 3 S O N V y W x 6 l A q j A F 1 A X A A d q m R c l D K g g v R R 6 r D U 0 + l L N w j r 3 k P 5 6 O F L b d p Q D F e T K 6 K s 1 q 2 c d u O B P 2 d 4 7 j A B C x A o L + J C E X g p z j r 7 Y q 7 k m k S s B L k k e I o r A 7 m 1 7 2 l K 0 / b U Q S J Z E V 7 G 3 f o u Q 4 r U H 5 I j e n h L h I N E j + k z E 5 c o c M h H D l S k z k e n K H K 9 M l O g 0 D V c N 8 N l 6 b 7 o D 6 v T 1 t O 6 U x P 8 4 i u O J + W B g P o g q D f o 8 d j k L V d f k E B v S o k 2 l i 0 K V E o b p L I x n 4 b L Z b I x J u W s X C s R E k Q N 8 i g v U q P M B R p y x 1 V 6 U F c i J D r d v C 5 5 o H f a S Q I h P Z j C k v C 9 B d q F + E 8 E 0 M q 2 7 L W d B l M r i a 6 7 0 F E v E Q U o x k o k J q V i 2 s M 4 F O 3 + H z / h w 8 x f V k h L N I F e x X t 5 + n n 8 w A d b c J M 0 g A S x g V a f v n 4 r u 4 s A r U Y J q i t D t 4 X C m E K 7 n A o V q 1 / V v H f Y Q T c W Q E s w g N c 3 O F s v P h 5 7 a c 7 / m K f y c L R q t y 0 m + F 2 P 7 C s 4 J s b Y u 4 a f W i f 3 g s 4 e Q 7 t p S o h r k 6 J 7 u + 2 4 m m b m M S L k 7 R Y G d G S a k A t s 0 D U j H F O b i / v 3 7 R 1 a h / n A b j z J e S W p I j g c M k + y B o K C E v h n N f K g i q j 0 o W z p / P R w q 1 Z J y p I K 8 K C + b L 6 v D b V j E s z y P M z B N V Z L W J c s W Y 5 N Y 8 H o C x 4 + F B q S U y b J 7 9 K S / H m K 5 b U e J Z J g N Y m 2 Z 7 a R s 0 U Y r N g l b U N 9 N u h b j 5 f i S J T Q z O 5 n r 2 g N s V T m b 1 w W F w Y O V p T p n a A 2 + W q w d x g I 6 Y k 2 I 2 3 n s 4 U i p l p R D F e S 6 w y + f P h k Z 4 L 9 B N C O u Q H h V W D S L u m z k e 3 D x F O s Z / O 8 V M 7 a q 2 9 J + v D U s v f U Q y W 0 7 f 4 c 4 R o W m / R W 5 8 K 8 W X f v L Q L 9 a 0 P 2 a 2 F f H y 1 H f g 3 R J 3 4 c e p C F / l z 3 I K Y E f w 3 C 8 Y f / S g G 5 0 W 6 o V Y i R J V b F 9 C U t f K 1 7 R M h l A / V W A b O S J 4 l b b R 5 5 Y + u v h V t u 2 o 9 x q Q a Z 8 p 1 + M 2 C n X J R M A c C z L F i U S 7 d E D 2 i / B 1 E 4 P C 0 m L G C H I P W C q w l 0 P c d w y o 4 Q x y A W T 1 / d Q U i x N J F 9 u l L Y x l N R i l 7 2 u Y s F G E f c o O G S m 4 d C E b r 9 i Y Y h h t D 1 p Z u e x h 2 C q l p R 4 B k l q + z M M q I u V G d f o K h x e g R A v A a G 2 R 3 N A F Z Q Q L 4 p L N 6 f u L g F l W T e T B 5 8 9 x H T X l h L V I O X D L f Z t n D b a O a X g i 1 N G A O T + D 4 u B a M a Z p X s C I m i / X o m 6 B X O 4 e Y 9 q S Y l n k K X d 0 7 / W X + Z Q p Y l 7 9 z D I n 3 g W l S y q V 1 A S J 0 X R z 2 L r Z A Y i o l t t l y w y d p 2 v w V 8 P m J 9 d W 0 p E g 8 T 7 / L b 8 s j I t 3 b o m t k k q A F u A u V g K Y D N z 7 G X m N D K Z 7 K V Q 4 w l m e N s B n v T X w 3 2 7 b U e J Z J C J 7 d n V 8 X p t Y p i 4 c C T o o v e c R s w X H k q Y 1 y W L u O C W U / r U + y W 2 r b s e I q k Y U k J 5 E S I t 1 7 D E Y K g 4 3 b p o X L O p S H Z S + q K S + 7 0 7 m E A s a 3 h E w M G M z V K 7 q 3 b w 2 U N I d 2 0 p U Q 3 y 8 e S L u G y M D A d u h P A 5 b y S s X I B b 0 g L O t X h 4 P E u W J x E U R k M s a m V 0 b C / b z m M P E V U t K f E M k g 5 e v x T / b Q l w 9 T h Q z e L 9 3 j h Q W r H i Y O s Q i A I H m k 4 4 0 B E H q m M m K F 3 0 4 P J u q C s o u L 4 W h Z w w l J M e 3 N i D P V v Q 8 r l p b k y s / d 8 g x + F Z T N C 4 y e N 4 J E g r k G C g 5 0 P j h 3 w 2 2 2 M / a / D Z x x 3 a f z 6 D L e U W D T L X 0 e O T X K Z M P T 7 J M G U S + K R p y j Q e r W f 3 V z f N S h J O f o 2 / w S 3 f h O m 8 j E r Y l + B q k J Q 9 Y 7 5 Z M Z 0 n Z y n k s r E 9 M L d 3 e f i y H 6 5 T s 2 N K O V d B Z p v P g J w h c m K o I N z u y k w 0 a t j 2 Z 7 c O l j p Y l / q I A r W m r I 9 B 7 o K u 2 A e m 1 H n s J a D y s x k s K f E M 8 5 6 s N D j O x G k Q 3 F 2 U i W k Q z E 2 Z T I P g 8 a a k h N u Y m i z n b x 1 w n C m 4 9 h i t R P i y S f x b X L s c B L P u O I O 9 D g J P x s A s t E Z d 9 v 4 4 v E X 6 O 3 z R D 3 d H b t t R D t T 5 2 w D p b S 7 R / G i u T J Q o T h P E R F B + C T R u m p R x h l p Q v + x P y 6 y I c + i M a J x J K i N r s H v n s Y d o q p a U e A Y 5 Q X z L l v n 8 f 3 9 / L M i I / 5 I 1 A t T 2 9 2 J S 8 X Q z b 3 Y x 8 E 9 f O J z U I o Z 3 i n + Y H I L O q J j 5 d 8 8 f 0 + K Z N Y 6 w d f n / + 3 / + 3 8 7 p o 2 P p 8 p F w + I D 1 9 x O z X S X Y T 1 8 c / P A i f P V 6 f r t e 3 t + x w H 2 0 p C 0 h P t + y F g K H t C K F p m w / f x e f L / J p W Q b r I 7 v K c i f I r k G 5 / f 3 w + 1 H 3 3 8 p t q / 4 / 6 B + 2 P u n b J z / + w K d y P + f P k y c / n h x 9 / O m 7 / x T 0 i 6 v x v T u 7 e j E 3 1 g W v X A e 4 l A V U B A I 3 M 1 C A o U w K S 0 p N 5 I s 9 g 9 y 6 6 + G G V A w p o X w V I g 3 5 Z X N 7 s 1 h 9 u D P i n 5 6 + d r g V 0 x x w D G G L 8 0 7 E p d 9 d A J x L Y o N O a Q 2 k B l i U P c n u 6 L S H o G q M K Y F 9 + v r g l + H + Z 1 T f J H b p T 3 Z x E 6 i n r 7 U n R Z N 4 6 k 6 O F + V j U l e / O J y r L I Y p k U U F p j e Z k F 3 p S 2 3 W J s X w F Q T M 0 F W x e w u 3 F K g O V x R s m V F O 0 v k v I Z 4 k r b S k S 5 E 9 s J 8 Y i m z J f j I V 2 e N Z E n P S d + u N X L I 7 D M w o Q c M V u q h B f b F P L w E a o a c t R N K Z g T N D F W w Q d k d q 8 N k D 1 G j X l n K 4 g o Q a s d K 4 W 4 U l G k 1 G B x L x t 4 v N h 8 V q I c q / Z / P m 6 o Y / r x Z 3 X 3 b t v n V J W + n T l I h w J B m c 5 R D 3 p a K D 1 u 7 b F j O 0 B S I Q F F D Q 2 + + T 9 V 4 f S Z + P j v H 4 o O V f 9 y F t m V O + Q W 9 D z G B / n i + b z 8 3 G t H v r R j i B B j t 4 U n o 1 o A 8 7 + Y A 2 r v D Y A h v O s 5 R C h a L T n q C x d 9 l D 9 r p j S g l p k L v U p w w t D T M K 1 6 k T A P 0 a b a t R K k e G E 5 R T D g M n P y 9 R s 6 M 5 Z 9 2 C E + 5 6 C O W W G S W M Q U 6 b L u f v b u / m G 0 M k z 1 4 6 J M B p O S P L r U r B + c e W 1 J A A 8 4 y X v O G C L J y t j D 1 g p J 2 / H k K p W l K i e f Y y x D R Y u x b v M p P v C 0 r D T F 4 U l N N M f k y C 6 c F f r U 2 K C q 7 Q 7 L p M I G s H G l h n r T S c v B s r S J f S J I + h b R f 7 1 Q T O L v 9 t 3 f V x o O T n M h h S z l O Q 0 O y o 0 M i U Z C 7 n q e i u Q I G o / 1 q H p i g n l M t W L 1 s P N d I A N q 3 B l D 3 U i G h 8 L Q o C a l Q e M J s / + t f t 4 j 9 W i + V P 3 0 m v j 3 5 4 8 m N 7 J L 7 J L 3 5 4 e n 2 9 m d / e / r q Y L 6 / F v G B r g K D + 3 W a g Q L m 0 W 4 0 l G s o V h y r w 4 m p t p B h 0 X S T M A C z R c o O B L m p Z i O X N G U e I W k e A A 9 O W u E d Q U 9 j d n d L f 4 U Y 7 X D 9 u 2 4 5 y c w a 5 Q E g t t v t t c a J g 7 Y d M P d J M B 4 D O J g r W 7 S n g q 8 V H U 9 H 9 9 N Q l t 2 e J M 0 o y t q k 5 U 7 H Y P O m a K R X T J M R k E D + N 6 v 2 U G Y W 7 H o 7 T l h n l N D 0 9 D T C v f 7 m B r d N U b r s V a Q V k c 0 V J v J K q x b z 0 c w o B l u B S L N C 9 E A G 2 b 6 q 2 D n s I p W J I C W a Q R R o r M / e b u 0 M u F E G A z C Q 3 r p I a r g P U S Q a I J x A M K o M c 5 C c y Q f s 0 y Q e f P Y R 0 1 5 Y S 1 S C X i p 4 3 n x Z L 8 4 j + 3 G m U G N E y E Z o K 7 M Y D 0 o X a o j + k U J T Q 9 a R V F l f x X k p 6 v c s e Y r p j S g l p m E N F L Y + W C 5 d / z 6 P V F e e 6 F E b w a E 1 c / m M 3 R V / 7 u S h s 9 b V f 1 z v W B U H U f p O + 1 h i E X 2 7 N G q F v 3 z j k k Q I Y m E D 0 y O g 2 S V E i z P o u c R n P 2 H E G X y b m v T x j 9 u A j 6 a + H a 2 3 b j n K n v X 0 T Y C a p n + V + 2 y o e Y O B u 7 Z e 7 d M 3 K 7 i u R G 7 p m J V 2 z f O p D j 4 d W 3 7 D R P F 8 O D R t 9 m e + C u x n K f A P u R p b 5 E + 5 m D D U T N s 2 J 0 4 T a u k F a 9 S f O k K p U 4 s R N u c o Y h t P F n 7 d X 6 0 / v D N N U p 9 U U s W Z U l v B K A l y B O w u y 8 a 4 G E B 1 M d F J i x k G Q j O + j Q 9 m 7 7 O G x 3 D G l v J d B L q f o I b o u o 4 c u Z r F h 9 C A m q t P o Y T x X + j G c S x C G M Z w h C n I M N 4 V h D A O y l 8 v 1 Z x O L w 0 u X J Y Q s n + W l Y A X M p O I 4 A J H + d o t h e q x i s Z x c c M V J 6 n C 7 + U z n s Y f L T b W k 3 G 0 v Q 1 w / O F 4 v / + d + Y R y 4 u U I V A N y x T Y 4 e K K I Y E F d 1 A Q W q A C 8 y c K C k z F M m b / a A y 9 5 l D x H d M a W E N E z A g l Y 0 y C U R 7 L s l h j x Q d E u m N H C 8 J 1 9 + n M + v b t b v p M 7 u 1 2 g 5 f n U Z v S W w 9 y G h x t g N I G S S D L i 6 i i Z x h W S G w M J y w L p q + f F l 8 9 F j D w d L Y 0 w 5 W r + G O I M 7 b j b v j D O 4 f 7 o 0 w d J 6 B p 6 V o S n X Z S 5 h 6 M P j B y V u h R q 2 0 M q u M / j m b c E J r c M e A q o Y U o L 5 z x D b Y H q J D M 1 K g 3 X B 3 L f 2 u 7 0 T X V d Z t P a L C V E 0 0 L P p G 1 S a 9 U e H B p W + 3 6 k p H R x s v J m b 5 3 6 X T h J x 6 Q x u S E H B i 5 B m I W j O t y 4 G s b Y L t j p h 8 6 F r m D 1 + 2 0 t / P d w L 2 3 a U a + H y j w C 7 4 3 r R F h f W x k G 0 x U D b K E V b J t 7 G M Y H S N 1 1 c b u e + 6 W K 4 n U X T Z b q d H w Z B w 1 u V u Q S h L y U M Q R C l x B S E M Q j 6 5 + v b P p G v 5 p u N k U 3 p 3 G G 4 C 7 N E k S E I w A L 8 N h Y J 6 e C K q S 6 S H n E i l a C t 8 1 r p r 4 f n a 9 u O 8 n y 9 O Q / w + d I T G 2 u m c Q 7 J z s X d + v q 6 2 V w b Z h y u Y E Q B B S h Q l E Y c J I L m v G 8 a I e B D o g M 1 l 8 B u 7 6 E l 0 X v s 4 S u z Y 0 r 5 1 g S J R 9 Q n P Z o 7 x r o W G p I e A w 2 J T H o m H p L x q t c P O V x a d 8 O Q w 9 C 7 k 0 O O q X n 3 I A z a N R e X M M Q d U j M x h C G m N Z B M Y R j D c D Z v r k 2 b C 6 4 c u L w w j C B Y I k / k K l B f U 0 c J J H U F L w + b Q M k + k m L S X w 8 v z L Y d 5 X k J k v / 2 t 2 b z X i y h G R I G t 8 6 p S C S h A i C J f M i x F M c s L 7 A Q y 9 p C n X Q S Y 3 Z D w 9 5 h D 9 H c M a U E N M j e q T 7 L b I t F 2 p 6 S m P D o 5 u q n 7 x y y T H 3 d o 7 m F H W z o Y Y o u y O I B p m i A F k u Y 4 o Q t H m 9 6 f b N H 8 3 W y T j / 7 Z k + 3 x q l r x Y t m T z 2 1 4 o d W P C w c u w D C V B M E h / P 2 T A z Q 7 k 1 U I 8 7 r i O I N Y F R W F g + Z Z 1 l H T O s U e m 5 K S o k j t y a N 6 T z 2 8 B C o l p R 3 I M i l x P 9 u / m z u T G g g J 6 w j I 2 5 o m i t 2 1 c j G 2 A J I h 3 2 n e o Y k V p 6 m g u x C U K 1 b N 4 5 a h z 1 E U z G k B D N I n O P F 3 Y w E 7 b R Z X c t e 4 G H I + 5 h k w 9 4 E b Q k 7 p Q 8 X P a R K a F 6 h 4 s u U i 5 Z P 0 d 3 c j 4 + y c P u o d d o D e 5 / G m B L a I O n 7 X s 9 X J j U R N 0 6 F c k a t x C l M w a M I 1 Z C + W 1 c L 4 f Q i i g D s Z b 1 w j F 3 6 L d z 1 c E a 3 z C h h D J N R Q d u Y 0 G z u 2 O d J f W M i + j o L i m x M R F O m N G Z K W k o g l 7 H Y 0 K Y z z M V k m 2 4 a j D 2 s G n T T S Z f T 0 E 8 n D Y d B T C e n s / A g C N p F P 0 2 V b n 0 l D R W 0 o V c q K + i p V / o g D F n 7 k Q s F i P 6 n P 3 X S l 1 s N G e s w 9 I t F Q u 5 S v N q 6 E j q j h p 6 2 v x 4 o b u g b G Z r p q 3 U Y + k a G Y R V S N D K m T c j + W 5 / 8 d D Z f m Y f T J y 6 4 6 y y C a 6 O k m 5 B m S J w 8 I O G o a s G F h D p U z i 8 g W L H f a G g d 9 p D w K o a U l P c k R M j 1 6 8 X V z a f 1 y j Q 6 c F t Q S W c I I A J B E b Q q N B V 6 p E G C R C I t h 4 J Y w w k n 9 1 Y s a 5 f O Y Q / h 7 D + b w Z Q S 0 D D X U 7 R 7 y i 7 M A M O e s o E Z Q O 4 p T 8 w A D y / J z e L z / O 7 G y P v s e r K i D A 7 v o s x Y 2 s t Y 8 e r P V g b X W C V + B X K Z b Y a e z e / x V s / Z v H d 6 + M o f j n B R Y + x v c b 6 0 P Q I X / P I A X j D g l 2 W P Y M I v j + f r 5 f I T p O q m Z + v M B V M J Y Q 7 6 e p D i 0 H E r y 3 p o j K P V H L E n W 6 Z J X J Y l W w G 2 m 0 K d v x 7 O l W p J O V R n Q a I q t Y d K 0 / F x m I 2 h G 3 C 1 X p o Y H k 9 + d k D h Z i n f m C T N S w h w a 5 m g 9 o C X G K 7 A t I r r O E l 6 V j m 7 V K f z 2 M N 3 R r W k f G d O f g 4 Q i f s C v T 4 D 4 O X S R c Q m K 2 d g Y F k H T D t J 4 a 5 M / J 4 1 6 x m K 3 l W G q H e Z o K r Q 3 d m P v 6 3 C X Q + R 3 D K j h P E y R N 2 a 3 z b N t Q k a 7 5 Y j C U b H r I S u H x S a l D M Z c y S B c M 4 T M E y C 0 t H 2 G p f e e g j j t h 0 l j k H W H c + W o A l N t + v 5 s c P t m p L T x g J 7 x q B L S C 8 I / v B W f U j I o T L r l J J E 9 t v Y r b c e A q k Y U i J 5 f h z g x a o H q 2 v 2 O a 2 b b A N Y 3 U A F I 8 H q E x X M m O H q C c d c s H N D I W / A z s l C f s L O j W H 4 b T O f S 7 H F r 7 F M u N 1 r + S w D l I H a V l I W a S E l u 9 t 7 r Z y x i Z x n M B H D P y E w O P Z P l H D Y w 9 X W f j K D o b / F 1 a a t M 1 z 2 c I b i 3 b C H I 4 v 3 a Q 9 n P F P 6 P R y X y f I w 4 D e M l u W A f 5 o t j 2 G 4 k O L 1 v 9 8 b N e x d F w e Y 0 6 B e T 0 7 R Q g n 7 o j g S 0 x w y c + i p 0 G 6 G o M r 2 e s P p I + H y c O 8 c r k O 5 Y 0 q 5 4 o J c H d C T e b t c c T 1 q w 3 D D C d T G d M G N J 0 u / 9 + D S J B 5 Q G 4 Y m s U R t T E 3 i M Q x 6 9 h t N J e P Q V o y 0 y B C X U A / I E E O o J T J k C v U Y 6 u f N 7 c f 5 c m l o C L q C c B k F J A W Q a s G d 2 Y + x B S k w i 2 8 9 9 6 I 9 J K F z 1 8 M j p l p S 3 r A g c b j H i 0 / N Z m N k g n v 5 w q W b h E Y 5 b f o E / E G O W g + b j U N a k s y A y A s K V E o x G r z W a U n v s o e I 7 p h S Q h q k d o + + q a S Z 8 O z f V D J g e m V T a c L 0 j t e k f g l N A 6 B z e R G 1 R b Y L A m U o s g 0 I F F l k T w i U M d T P 5 y s j 5 9 D L 5 w 4 3 a B b P x D 5 K D Y l M U Q u F 5 H 5 A V j E 4 R 2 Q m q e l e J T V / W O 8 Z S X 8 9 X J / b d t S 7 8 3 m A D X l 9 G v t t D + 3 x + v N y b p r D u a Z P A k d R x X m S F f B U d 8 9 t X T B M Z T 4 H z 2 7 b 4 + x K z M e n q a 2 7 H r 4 t i i H l 6 x J m 9 r R s v p j Z M t 1 m q u k M B C 4 H G / a o F n j W R Z O j D / y B 6 4 B V N Y H o t M + G j 1 u P f Y R T s a T E M 8 j J K t q v 8 q b e 2 j 1 I X A Z B w 3 t q G A T J 9 3 Q a B I 3 v q b 5 p 7 d J Y G 5 r W h s 6 a b F p P r b U x D M f r K 6 P e 8 h s X 2 B 9 U i n A S 5 T E N 6 4 I d 6 l H 9 B z k F q n w h b J 7 I M V 1 l z Q Q s / f V x s 4 n P Z b C j 3 G t B U i n q O 2 c u d c L Q O T P U C b J z N t U J 4 4 H 6 Z f l p v T H x g L n C I t M 8 i 2 i I J 5 G E z F G t y w E 3 G s k z W A g Y V 8 A + w U m z n w C 1 D g 9 f 9 c P N f x R D y p k K E h R 5 P I c 4 1 N A E d e M N L V E R T a s 8 S v j f 7 M H t W K f w g 0 F A 2 y m j 2 c O w p L s e I r l t R w l k k I y h l 8 3 t D Y h R c x 7 v 9 t a h d F f T z i 4 J Z E 8 f I U 9 m B c i 9 L v M 4 E T h 3 O O / t 2 V 9 G p z 3 E V G N M C W y Y r 1 6 u 2 a q P N T R Q 1 o 3 Q v B v Q 9 n s + u k 3 i n A n t x M b 1 Y J P 4 l + V y c W u 4 K F 3 n C 0 k M F 3 e U i n 9 h E a v v j t X 1 r B Q L r G X M O o B Y 2 b K W D 5 L + e j h V 2 3 a U A x X k Z O H Z m l C u P h g X 7 V y f v T R h x A d S H B z L A 4 2 1 W q w q I x x E w y O X m 8 r W G L 3 B Z w 8 R 3 b W l R D X I 9 0 / P T v l t e 5 7 6 v q r m K n Y Y h l z M / + d + / a W 5 O d h V Q x Y N I x + E o b T j 2 Q U V j 4 B 8 x W s k 3 / M 8 J V F j H a n e Z w u 0 d 9 n D d 3 P H l P L V D P L C O W 0 2 9 6 Z 6 6 c U f D o O V t E S h E + J k I M E g D e I e a A D B I l T K A A / o Q N R 1 Y X 3 R n D a v 7 8 e u w O F K p W 0 7 S h R f H F 6 H 6 L f 5 + v X 8 d r 2 8 v 1 u s V 0 d L + F T E B 5 n l P L T M 8 x l V 1 c O M X 3 y U L E Y D u K 4 q V r z q 1 L q V I w P v 4 V R s 2 / H / Y f 6 w 9 W n e P v n x B 0 k 4 z J 8 n T 3 4 8 O f r 4 0 3 f / K X r R D 7 I p G m W 7 L e p I 0 8 p x u E n 1 b X A N m M s 6 c R 7 a 4 I a 1 F N k G n 9 Z S x n b R 0 8 V H 4 5 r X h d O a l 5 g t Z S m 6 m p k Y L o / A n C q e F U i 0 l Q m / Z C u T 3 9 r i h a W / H g 7 t t h 3 l 0 F 6 E u O f F 1 G 3 x b r 0 x L r e c X b i 8 Z f G s p o M A x 3 8 J A w z J y T D 3 j W Y 1 2 X S d 0 2 W Q 9 L L W Z d D g s 4 e I 7 t p S o n p 2 E S B Y Q N 9 V d 5 k W D l 1 1 w 7 R Q d t W n a e F 4 T Y o 6 e m 3 U / X Z L E 6 t Z H J c 0 5 4 D f 9 I 2 E t n k H D Q H N O 3 a d B X x x H 5 a s z m M P B 0 u 1 p B w r D + n i / h n O z / e v m g + m r N + N 9 A x W A a 5 C u E X o x N K V 7 R E V g u E X u m b Y n I s o z S E 9 s 3 3 1 W n c 9 x F I x p I Q y S M q z U 6 N o + N P X L i 8 e R X c V E c I 0 h s C u r S 3 a a j w S v 6 A h W L e t d v v G H 9 5 6 C O N D K 0 o M n 7 4 O 8 J W 7 b J b m 0 Y g r x E l i 1 a I K i g i Y 6 / o O + / f A A E S f J e N E S j n g f U Y j w m E P k W w / m c G Q E s y / E c D J B R s + V H Y G b L i s 7 C Z s + J i y H N 9 / e j f f L N E n M D Q r z 3 9 3 u R 7 r W S q m i h w g m l z x 2 K w s c + A 1 N b w e R Z Z G h T 0 d y + j y 8 I U / X I 9 L Y 0 w 5 X e e / B 3 h V Q n 6 z 2 5 t J X f o m V G v i U U s N b Z P 8 H 0 f p 1 D U Z z 5 Z + 7 0 I T B I c G 2 f H 6 U 7 O 6 u j E l q U 5 y M S n l f C Z a p p x f y M x G D h 6 E K H J A 3 X m E d C z 4 b u v m d O + w j 7 P b f T a D K e X k B i k Y 8 8 v t 7 f x f h r v 4 r Q v F G f 1 x k F d R x v S o E 2 L s i o 6 y I M x k P m B D g H n v M z i S / g 6 f 8 O E u 4 m 0 7 S i T f h k h y 9 m q + u l 7 O z R n r 5 V u X l 7 V i P g R C u Y a Y k m 2 c k Q y 2 5 M k F z 4 o k U F n m x F u w x N q x D w 4 + e 4 j o r i 0 l q p d v A 3 x Z O w b C N m H 6 v + + h 3 T n g Y S 1 j A b E j j k K O q 3 u B v + e s 0 k V N 6 J P H 6 X 6 z L M k T i O d H 0 m 8 P I f 6 K Q S X O Q Z 7 e 4 8 3 i 7 o 4 T b I y v W 9 8 g n y X o 6 U E 2 G 0 e l Y A / t U b J A T A h s 2 f + Y f p 7 t 8 R 2 d 9 h B c j T E l s E F 2 E f S p s U v h 2 a f G h r p T p M Z T 2 f k g N d b N j n O X I A w D C 0 M U 5 M B i C s O D M G i 3 z D R g q P 3 H 6 9 0 K s A 6 X K p s w k 0 r s G I a W k + v X D Z X c 4 v b K J C p 4 7 J j 9 M z 2 i D Y P K J 1 Q X 4 6 A d k u o Z y Q S g M W S 9 E z J G 6 2 p O s G U N f n t 4 c / T 2 l G f n O M R q I N J C w D X Y R u u j 1 j e o B V 7 s a 2 J S E g I + 6 R i N R y 0 q N H u 1 k U s Y B B u 4 6 I w Z o l C k / z i a g j A G 4 Z f b q + b T u 4 V J 4 9 h V s j q G 5 0 c 0 p r p + R j 9 b L d E 4 5 n + g c 2 L I s 4 8 g b u + y h z t u x 5 R y v Q U p W q 2 H b m s y C Y d e p z 5 z 1 w A O 7 a / Q r q n d Q Z F 0 y Y r I 3 K f N 0 f H s 6 p v a G m 1 K h 0 C z c q 2 Z X n z b L 9 P j F M 9 / O L T m s m Q G t z M X D D w n W 6 l W i S 6 I 4 C C T / D n 7 7 A I p x M u H a 7 Q q h p T L 5 / z w s O 7 9 c T p 6 l L D L o z 7 M k g 2 v u i x j p m d 9 v B p O m 0 9 / N r e N a c P O d R Y l z g 2 V C u B S u p / E p s X Z V D N + C D 4 j j e K S Q Z U 9 Q K P 3 2 M O r v m N K O V h B D q P O 7 j e b x k Q Q 5 b Y x m c G D n 7 B A z s 5 G x a 6 G w H e 3 A S 3 h E x M S k X V W 7 K e 4 1 T r s I Z y K I S W Y Q a 4 w s f G 9 + 6 p m G g J 2 h 5 d b n 6 K 5 A J H 7 5 q o B h y x S t A m G P N 7 D b + e b l e R R f d V s F r c 3 u 0 E / d e o i x T N G i / C A w Z k j R X l 6 H l U I I c S y b J k J t b y 9 i q v W 4 a P W 3 R 9 / O F x u o x h S T u 1 p i H 2 j n + d X z d 2 9 i d 7 D j R C C x b g o E X p Z o D n A r g o a D 3 k H V 4 D N G U J l E O P K l q D t C K r z 1 8 M V r F p S o h k m E U T d w n + 2 a N 1 S z d z D 4 Q 4 W / d i P b M c b 5 t J u q / E V z e I 4 L l i w l D Q H w 2 C 6 j t F 3 F s o 2 N S K 0 e 0 C C e o c 9 f G d 2 T C l f m i D X 4 i + a T X O 7 v j O 1 y 3 5 1 U V 9 P 6 I q R h A l t 7 r q u o T w A 4 9 f e A Q m E r 3 B a J B X 4 r w x 2 i 6 4 a e p y q s 3 f Z Q 0 h 3 T C k h / T V E B X Z 9 L v Z t o Y F R r s n 3 I k 2 n x r 5 d 1 j 0 O 3 X h I 2 y 4 j G Y s P + I Q f / e t 2 8 R + r x f K n 7 6 T X R z 8 8 + b G N 9 z f 5 x Q 9 P r 6 8 3 8 9 v b X x f z 5 b X Y g d 5 a i l b / b r M k / R q 4 z X r 5 p 4 k K w m 1 r I Z 6 V Q m 2 H n j a s T s A z + 2 w M Y l Z Y Z 2 J w Y O I E 7 7 P x 3 r v s 4 e z u m F L O b p i b C 1 p s t Y v 4 R 1 / j G L Q / R I 0 z S X + M N c 5 p c 3 8 9 3 1 w 3 S x P y 2 W 2 R W c h + Z 0 m V M 0 N C F r h f Y y Y v h v S u i H J + s x / / z + i y h 5 O l M a a c r S A X m c / W m w 9 G Z T K n j c s U J i 6 W L W n K J / C S p 3 1 I w d s l L G E y K s x p 2 e 9 D X 9 + 6 6 y G c i i E l l E F u X D 5 b 3 6 / g p T R 1 D 9 1 I R i t e P v h x I t 6 + d h 2 6 y 1 o p T S A Z b Q H R 3 K x 2 w O f e W w + x 3 D G l R j N E 4 X V 2 t 3 b 7 S J k m Y b V P J r s q I z N t F J V o z E 0 r R e O z p + c j d 5 l 0 D X z k h k m X 5 C O f J l 1 j G M 6 u X t 3 M N 7 d G s S o 3 7 Y x q B g q v Q C o z K V k t f 0 A m i U Q w + 1 i o Z 4 q S v U R x w f a G G 3 z 2 c M X t 2 l L u u C A 1 N P T D C x e y / z 6 x 7 w D 8 2 o K Z x H 6 i + h + P l h 4 n 6 f T Q 9 F S 5 p o d G U O V O D 8 2 D M G g b 1 d 9 2 W I g o 0 2 r + p 7 l R 7 S L s k O W z K M q K K s s Y M 3 f t y 3 a + n M 6 y E s E q t q g E H W C 3 M f B 4 V 7 N 3 2 M M N u m N K u U D P z g P c j d M n i Z r p x v 5 J o m G r I x d J 4 r T V M Z 7 d y / X 6 + t 2 9 u f J y m Q A D b h N E f d C h x I L g T Y 4 F 2 n N V z N g t L l g v 6 L W 9 b J O T 3 m U P J 2 v H l H K y T k K c A j 9 H 6 M U s 1 e a G r E q Z A g t 1 V L G G 2 P K H y Y D G E a G m / 8 U E q O M c s w 1 o 5 7 C H e K q W l H A G i a u C 9 0 R T T W v K O I c x 8 H G z v G p u F / N 7 5 s C H A Y L Q N u M L U 4 K 5 k 6 K P Y j r Y P 6 9 o w g H Q g z G C i W L S a x Q 8 / s A O P n v A g u z a U r 4 5 Q c J B 9 D W K 0 1 C v j V p f S H 6 t R p m G e u M D + w e t z Q 8 G e I X r X Q z m B t H x i h q / E N d x f 6 w E 3 Q O E D o N 2 k v V a u P T X w 1 W 8 b U c 5 T k F e x D / P X z T L d 4 Z Q u i F l a p g a Y A U s Y q r a r l n T 3 p A g X 6 l M y o h x R K u b a f u u / j w / E h 5 7 C K Z q S Q l n k E i Z 4 5 v 1 1 V 3 z 2 R B P t 7 2 y Z B a J a A J W h t d R T N u 7 o 8 l Q E I n A d s 6 + h x B W 6 6 2 H W H a f y 2 B J i W W Q G 2 W M v E C v G k L p 2 m A V h O O Q V 5 V C S e M B + U Z B g x U y X c F h L V a h b Q 9 m 6 + 7 w C R 8 O w 6 o Y U k I Z Z G P 1 2 X z 1 C A 2 S U z m K p l k K 5 z j L V s g Q D 4 N 6 1 J Z m Y N m A v y S I a L T M Z Z a z Q O m u h 1 C 2 n 8 t g S A n l Z Y i F a D u I N p z K E 5 e O H Q P 6 D L 1 w c R y T F I G l g R K n Y q Q L o n S Q 9 b C X A m g d H j 7 j g 5 5 L o A u D I S W Y J 3 + f f p 3 T Q m 0 / 1 O 0 G 7 9 p q Q v T r p p X a s Z x 4 0 6 x N 7 9 z 5 m e w V 8 F F K R Z a j m 6 s O / P j k x y 1 4 I n D E r b + 3 i j g F 0 k K I 3 l R Z V S H T D o 9 Y l 7 K Q k q K u A f M U m x y V 6 J J b Y 3 u F u 8 P X / H D n a c u M c p r O z w L s f h + v r x 8 V 7 7 z 4 2 S G W W Y a 0 R g m + n q Z r I R c d + 8 p Q A L g F Z z z g e 8 S i G H j Y Z i 2 D z x 4 C u m t L i e p F i M C X N 8 3 q w + L P 5 m Y t 4 P e H 6 q M h c 5 N X L F R k b E O O j x 6 4 N D g 5 o 4 q j y v m 0 r y t G l z 2 0 0 T T G l L A G 2 U d 7 M 9 9 s 5 s u l I Z F x a + K I 3 i j c u B E 0 I 1 v c f q K j H p V F i p R y C 1 H r M L + P 9 0 Y 7 j z 0 c V N W S E s 8 g G z n 6 v q h m X m 0 / e m w v 1 z R q 7 1 J t J g N 2 I 5 q W H R b i C 3 J 1 l / z 0 8 / 2 7 + / 8 x y i S e O B V 6 I L K 5 B + H T Q E c K 1 n i h H t + 2 0 6 J Z x Y R / b 9 B n 5 6 + H I 6 V a U o 5 U k D P H Z w v R 4 7 6 g c j d i 7 F 3 q P R A a G W Q o K N 0 Q u w w F l X 5 7 p a b e o 7 3 W V f S g 3 K x 7 3 X h 9 J H 3 2 E N V d W 0 p c g 0 R p v P n y 2 N N 3 7 i T n l 8 8 q p n 6 c U V Q 2 g d k M 8 w t 4 i + M y i m H m i m q S H T Q h b L P U z m M P E V U t K f E 8 D 1 H S 7 + L + c w O Q y n R I n d Z D 0 2 i G Y F 9 e i W M a 5 y W I 1 O 7 a r Z I Z c Y Y z X q Q 6 d R t p u w 5 b 7 7 K H i O 6 Y U k I a 5 H q o f n X T q T H T Q V F N f R l 2 z K a 2 z N i W 0 S N R n d B s P R L V h G Y T S N Q J z T a G 4 f h m / m 7 9 x b w V d n b i 0 l Y h C a G d k t f c c F t E + 6 z Q Z j V t l V w M 4 3 m u 7 P X b B p 8 9 X H C 7 t p Q b 7 u w k w G b Z a Y P O i Y m i w o n p O I t m x I y G C m K z W S r k E 7 o n K 0 6 i W Y 6 y I s t / j I w y M h H b H K R 1 2 E M 8 F U N K M I P k N t b D 2 T Q 3 p Q O c 7 d n 8 + v 1 6 Y 1 I p c + X B Y V M e G U e Q r a J r 0 6 c 4 1 C F w k y W t m L x k x 7 H L c D p 3 P X x f V E v K F y Z I G h z 0 C j / O j Z x G / + V w o Z O w c m H X V R r L b V 7 Z O W 3 7 B D n D k I Q E F l b O K G F i b N 0 n b x 3 2 E E 3 F k B r M / w r w K n / T f F m u D x d M E M j w e w I j Z Q 1 / C 0 M F u K p i d t W r 4 O z T H x c O e w h m + 8 k M h v 4 O w d Q n v U 7 k F n 3 S a 2 K 3 E E n v R G 8 x J r 2 v 5 6 u / F k s z u Y V T 4 w 1 2 m K Q o I T w Y Z k s 9 M B H R s L i E x g + W 4 n 2 U x H u P h 2 / 7 4 S b D O 6 a U g x V m 1 2 1 x d 2 + a 8 r u N m 9 J Z Q k M 8 F l j 7 G l R p 3 x d n Y F x A 0 s h r J 5 V X 9 5 j x C 2 8 9 h P L N l h 0 l j k E O m p 7 f X 5 v 3 v p 3 E c i l c S p 4 7 6 l C o 9 R g S J j 1 H C b z h U Z k X / K 4 q Q Z / u 0 T x t H f Y Q S 8 W Q E s w g Z X L f 3 N x v b g 8 L T a z h k 2 F 5 i p 0 4 m X E O d W g y o w Z N 4 H O g H Q 6 3 n v V 8 o 3 f Z Q 0 B 3 T C k h D R K g + G Y z / / T n H F 6 o R i w + H b O p c f d F 1 h L N 9 a d F / 8 D + d O n U M M p I S V O h u k n + K Y j H h z l k j O 5 m B W c U 7 X L B 2 W D f M H r g t Y / A j p / R Y E 2 N b Y h N o + e N g I Q b W T f c B F X r G Y u O j C J R 1 5 R x 7 W / f C k V G r t 0 k l m z k e 7 Q B e o + H j / l w W d G O K T W i b w O s H S 8 X V z c L I 7 O p a 1 4 k C s Q o S u E x 5 h 4 e 2 I 1 R r 2 Y U W d A j Y L d V Z r q 2 f c D O Y w 8 B V S 0 p 8 Q w y O 3 q 1 + G i a Q 7 r p p S K d A l C u R D + F R F d 0 5 P s 0 l + 1 l S N 2 g q U Y W Q q g d d 0 O u x z F V w l 0 P k d w y o 4 Q x S I 3 U X 5 v F 5 n 0 j Z M i v F r r n 0 0 2 E v J o B c s x h U F R W b 8 q S d 5 W c q N x b 9 q H z 1 0 M o V U t K N D 1 I G W s w 3 u I D T c F E Q c q A q O P I 4 c 4 H C r q 7 Z G 6 P 3 H v 7 c 7 v u 9 T F R P 1 q / P + r + v z 0 g x O 3 J j i n / n + g 2 y 6 8 N q 6 + e 6 M S J K a p f n O g K A S 3 c U C x O T F x R f R K f / H T Z f D F i 0 9 y S Q Q Q Q G B B S d S M 3 N I o N A X p h a R D d d d Y p 2 D j b A 2 s v v f V w R W 3 b U Y 7 T Z Y h Z I M p N u y V a q T l O D v P D M 9 q p j X F + + M 8 3 L j O n m v 5 M W s W V K O m r B 6 v B L C A i p A E t D g i p m k T U X l u 3 8 9 j D N 0 a 1 p H x n / v k m w M q h V 3 I w F P l n j m B j d m l o g 7 M 7 u r W K W C Y g C F j B Q f 2 m K / N t S 4 f e Z Q 8 R 3 T G l h P Q s x N 1 S x u 6 7 1 0 D i Q v 3 X z / E F Z F F k P r p X N U O c N 5 m o / 8 Z X 9 e J q s b 4 z i Z C / f O 5 y U Z K s R i m F m n h U R U 3 e V 3 E S T Z r U r C L S 5 R Z S R N Y L i a 3 D H k 6 V Y k g 5 U y + f h 3 h N r t G z u D N c k m 6 d U H Z I 6 W A n L J d m E U Q m P W q G 7 g r U t H R A 0 W A W D X B r l B X t M d z 1 E E r F k B L K y x C 7 n / q i w 4 n 6 q S 8 6 T I I u o u i Y y J / G 6 / H Z / d 3 S i F 1 y 3 X E q w S 3 l S d z u w 4 y a m M m M / B G 6 o L x r Z l q f q d Z h D 2 d K M a S c q S B 3 n P R K 0 5 o z 5 V B 5 6 M H 8 G n S k / W p i B + Y 3 w c g B 8 0 8 o 8 g e n t v n 0 b r 4 x k b Z d O C 0 9 C Q C G A M 5 U r K z V D x b Z K j T x 4 B e q Y 1 C k 6 V 6 i m M 9 a j 3 2 c W 8 W S c n A v Q l x 6 e r 6 + f 2 R w 7 y a r R Z e H i D E K T A a k q A R I V c w a i g L K S 8 a 8 Y l d f b L f Z 9 V Q 7 j z 3 E U 7 W k x D N I U a 0 z 9 v E X V x 8 N i e r 5 L w 5 V R 4 Z o b c G K W l z A h h K 3 X b s W 8 F b N Z K L K 3 I i t x d g a E N z 5 6 y G a q i U l m u e / B F h 1 6 O U N v y 2 / 7 d N l 8 2 l + b R L F d F o h S R H a Y E b F t q o g z R k 0 T u M k n t H 9 A a H F 1 H g v 4 E 7 n r 4 d v j G p J + c Y E u U K i 7 / 2 4 C I c P v Z / u T H + 1 9 z N J h 4 9 p k n 6 T R 9 O C c 8 i H X 8 C S 9 M k o 8 u b G 7 F j O W F a u w N w V k n x 6 a D C B + Y j Z C Z O s j v u A B D p / P R x c 1 Z J y c I P k d t R 3 J Z y I V / q u h I l 5 R X Q l J u q V 8 e A e 3 4 v 6 Z o n a r C m F c i p x U F P J K q E 1 y 1 Q 0 y + o R m k x H l 2 W q O o H z f Q / I 4 + i x h 5 O l M a Y c r j C p H e Q 1 C U 3 o w t i Q d 0 t 0 I L y l R S F Y 4 8 T q g F Q U k 6 m x S H X I c O o E p J V U f 7 D m 6 7 i A B 7 N 1 2 k N o N c a U 0 A a Z 8 L w G + f h p b T y u b i i r c l Y T N W a Y v O n d w o A M K z Q s c D 4 W E X P N d g J j 3 U j s X f Y Q 1 B 1 T S k g 9 4 K z + D V R Q 2 T Y O t 5 D m s S Z 5 s m 7 0 l R 1 b Z 2 y Y X 5 b x J F 3 2 a b E a n 8 I 3 E I c 3 q y s T D t W N U j W D I V w w p u Z A 6 7 g k B x Z 4 Q a l a 5 U h F g x 6 v W O P p l U 0 f x 6 H 2 L n s 4 W T u m l J M V J L W q f i t V A x C y P l l 5 v 5 V q w t u J r d Q J b z e e L H 2 R r p m W W I d h K N I N E 0 g J 0 J g m k G M Y 9 E W 6 5 j Q 4 F O m w y t z e G c e c r n Q b q M e x f 5 x G k R S P 6 o 7 j 9 y h p F P H + N X r n r o f 7 U 7 W k X J 9 B 0 m 2 8 / N d 7 M 3 X K m V N v P Z u x r Q o 5 Q 8 p C e S r W k D s Y S M k y a 0 4 X p o p o r i f 7 k D i 2 D n u I p m J I C e Z Z i L 3 1 N + t r U 4 3 v x j A O V r W G N S m H F 2 B 7 X z U i l i h O s 3 m T 8 i v J U W 0 3 9 h L u e g j k l h k l j E H y i l 9 8 W t z d G H o 1 b j 3 Q e i Z 4 4 g t w d q i F C V K z f l U K Z F Y F m 3 h N x c 8 Q U + q K 2 8 V R + u s h k N t 2 l E g G 2 Q F 9 d r 8 x L x u f n L p N L i k 2 G F k i i l J R t A + 3 a 4 W 8 j V C 2 6 V v a t n P o 1 l 0 P k V Q M K a E 8 O Q 1 w b v m s W V 5 / N g p S u 6 E K 0 l l U Q E w V w 4 N b Q E z X w y U B j 0 A 0 W E D I E v F b 2 O m s Y 9 n 6 6 y O Y i i U l m k F i C v T l i g v w q g 9 Z Y k B e y X J l g l 6 N 5 Y o e / 6 Y B A 1 h X j X m H f + v O i W 6 y m 4 N / q w 6 4 t 3 j 0 r 9 v F f 6 w W y 0 6 K 5 + i H J z + 2 R + K b / O K H p 9 f X A K F v f 1 3 M l 9 d i I X F r 6 V P 9 u 8 3 G 4 v P 1 n x 8 X K x M B 0 Y s / H F 4 p 0 B K A 9 k v R 9 I p a g E 1 / t z G N 5 U d k I j l X H F 0 z 6 2 5 z 5 7 G H u 0 2 1 p N x t L / 4 I 8 K W 6 R L z E F E 0 n G T b B Q o S y M 4 O + T A j o S b K h F v 2 W I 2 t C y z N L 6 i x L U 2 v s m / T W Q y S 3 7 S h x D F O C r d I o g e t W H 6 0 v x 6 p r p Z S G z m Z F Z 7 O c O p v j G w W 3 v b z 9 t k Y 3 m Q b F 4 N B S u 2 g 2 f 3 4 x V H z O A E f 6 g r D U J G U i e I 0 f K G m w h S O 0 M Z l H 7 A V Y l f 5 6 O L T b d p R D G y S 8 s d + u N A T T t a M m R k s U 8 O 3 t O 6 A P 6 a h l b B J T Q + y H V u 0 d 9 h D N H V N K Q I P s q e k 7 6 t / 2 + D / K e e x W W k L o S d 8 O a C q r e I g a D 0 o 6 V U 5 m x r d l k E 6 1 h j g r V M S H Y 6 5 S D C l f m D B L y 6 g V 4 9 h 6 L 9 L 2 K a c c + T e E O r u S p h e c 1 t Y 0 y I 3 V U 0 0 z y I 1 F 2 b f O n T K L 3 C m b c i e Y F B / g L f 5 o 7 u a m U u T c p b D M E l R q 4 S 4 C e r h N / w 2 3 0 b 6 6 m N J R D 0 / g t h 3 l O j s P s Z p k B r u b / j p V I Y n F S U q m k 7 R 9 k i I t g M y l Y T k A y A w N S w k g m x q W Y z H 4 b C 2 Y 7 9 h m v j N i y J x m 5 g n 7 o n V J i s 9 Q l e F 4 1 y 2 L I y Y E K A 7 1 0 E x 7 w m 5 8 P p I e e 7 j f d m 2 p d 1 y I c / O L u 3 m z M X Z A z 5 w Y 9 d E W Y W s f 1 S G W 3 y I E 8 / r p T g 1 c M E a 7 4 o G 6 l O X E t X X Y Q 0 C 7 j 2 a w p I Q z S D 5 9 / X B H U 7 J Z N 8 6 G 4 Y 5 h 7 0 Q O d 6 a 9 k / G u 1 O s u O w 1 3 2 r u w H 4 J + r R C a h j t j E F g R v j J i 9 V w R C A m 6 W N C 1 w l g v U F x d q f o 9 + v R 0 q T J 4 l M s E F M I e m g S t w 8 N 9 c 7 j W g m J I u d i C x C D o k 0 A X B Z 4 h C T Q o 8 M g k c F L g G c / U M W y R J j o C N x K 0 m i X y A l b e A q 5 j B m k 9 G v 1 7 6 C U 4 Z e X A P 8 9 R s 0 s W p L s e D t S 2 H e U 8 B c m A F l W a 0 U 5 X 7 / 5 7 r b q q S + 1 E j S u i o 3 u i K s E q O D X r x v N 0 2 n x q D i c S J 1 h Z e I t Q 9 u Q s j Q T Y t R D 8 E 6 M S B H U q q H z t J c e l u x 7 O 0 7 Y d 5 T w F S f H / 8 / z z 3 D T G d A M g 5 z M o d U a 5 3 X Y R F f A x l L q w x Q O a E 3 I 6 1 v g 4 6 a u H K G 7 b U a I Y J P z 4 f L 2 5 u 2 k + / W k W P 3 r l x K A r 4 P 8 s y C F + V J Z C T 6 U H I Z d i J F W y R w 4 5 v d g X s H 3 j H v j s I a Y 6 a 0 p k X 4 X I o v t q c X d 3 + 2 X 5 V 7 N a m M h x 3 J a L C 1 b + I d O g K i h a z e y u g V X W M 3 S V W Y l E N 5 s t A Q Q E b Y P 7 0 G 0 P 0 d W a U 8 I b 5 J L x b 2 D N P 5 g C 6 5 S Y w p M F f x 0 L A j A f o a c i 2 c p b 5 B c E W s B H I H h A T n A v S t f W Y Q 8 h V Q w p w Q w z N y 0 1 Y + S 8 / d m / l 5 v 2 C k c C I v u 1 3 L Q E G 5 v n 0 y B 5 G C T r W U A 1 i / s O 6 K / f m s 1 f x s 2 C l y 9 c 8 L f A P 6 K M f R 6 E k o t 8 m C f U A p Y L g Q c c h u C / 0 I C x f m t b d 3 2 c W v m 5 D I b U U / s i Q O z t 7 / f N O w P 0 y 1 V H o o w S + A V y p t 6 Z U B / o R 0 M x B M A V E D 5 4 g W u K n b q j h H i c X E C 4 O 3 y + h 2 u 1 b Z l R w h i k g s S b 5 n 9 T y i y X h l C 6 9 U 0 j 9 m J L 6 J p z k A t g p q s e k i k 2 t 9 h x R s R M C o X s I S f Y u + w h n D u m l J C G 2 T v V w X g T z W b 8 / k M h A 5 p a D o U m N P X Y 6 3 m x + P T O q F 3 u J u o I C L Z C Z E e Q / B U s J f c p z / c 1 W 6 9 Z X 3 d Y d 0 5 b Z z 2 c K M W Q c p 6 C 7 P W c i k L j o m m F 6 F 8 1 i K / e 7 O K E T l 2 a B G k 8 K 0 q I G o t R W V X W G 3 U C Y S 9 7 r 9 S X r c S u d S F 5 2 h x J j 4 9 a f w + Y 5 j 7 Z M a X E 9 D T E / s D z 9 f W H + S H 5 N 2 F U r s q M k 5 j Q 3 2 H l q 6 N z F M e z Q g O L h k G J p p r Q 6 b T t D f Q u e z i k O 6 a U k A a 5 g f 4 r J 5 S D + n r x l 3 E K 7 N a Z Z U k Z z W v B B E h O A 5 X 2 k J i C W W I 2 n A E 5 7 w g E b c M q 3 D 6 S T n s I r M a Y E t o g + 7 T H z c Z M w + N a N i Y Q l s F l V g x C P e 3 1 i 3 J o l c N y X 5 c J 4 / 0 9 F H x a h z 0 E V D G k B P N l i I X j q 0 1 z Z 9 J i c u P 8 g L C c m x W 6 j 5 g l 3 F Z o s I 0 l n B 9 p D f U 9 v 4 r E / K Q b W z 5 e O U p / P Y R y 2 4 4 S y S B v 3 N P G q H N 9 5 i I l m Y l A 5 m h F U v 2 n c T W C A + I 4 4 2 k l i O z z A R w t Y + t A C n c 9 x H H L j B L G s x B F J I + Z g B n K f 7 c y J Z n V J Y A p u J R o 5 0 h R 8 v Y 4 Z v w c j G 8 N w x K C F H t E U X j r I Y p b Z p Q o B l m l P L u / g t v g A + N M Q y z d 5 l 2 w G F B p 1 l 0 p 0 g P g y k p Q 8 F Q x K j E p i h C S Z s k O r j O 6 7 C G g G m N K W I O c d D 3 9 s 7 m 6 M S H w n / 6 3 S 8 e c I T S A A k Q 8 C v h 4 h D 5 6 3 2 i N a v o L M C a L b e q I a 9 a 6 T G k d 9 h B Q x Z A S z K f / H W D P / G L 9 a b 6 5 n Z u y H y e w Q Q q i D h R q R h F C 4 S l 4 6 s a J d A R / O X p N A A 5 4 U e 0 F m 3 q X P Q R 0 x 5 Q S 0 i C B B v S 2 d 5 t B u R N Q t b t Y x e 6 E c X g 5 A V X H Z u v L m 4 V J r N e J C C a t Z j X c n m C + K w A B g i + w O 1 U V S Y x Y K e / Q q 3 u M M I S 7 H k 7 U l h n l N I V J B J N r y O O d x K / z D m 9 l E r / O I Y + f x K 8 f L D P r 0 f c u E 6 Q B f W + Y I E n 0 / T R B G i 8 1 P R / P t 0 V k 6 J W L n D g c e u U i A z A 8 F 8 p F E z B 8 D P U / H 8 G g u h X h 8 Q z 4 a Y V o E T 2 T E l 2 w s W u d I G d E i l 8 l q U g X 7 T H F 0 l 8 P L 9 i 2 H e U J C 7 I O F y 1 2 S Q R x c 7 + 5 E t z G V 4 u 7 L 7 s p o l s l j t g U K B h m g y n T C A R 1 + + m S 4 I M Q Y A s Q q Y L B m s D u M 4 a 4 P T q W T h 8 d 4 / I h R 4 b y M 9 o 2 p o Q 2 y F q c Z v t m b Y T K u M F O g c o A 7 5 f k t 8 M 4 X 0 g n M 3 8 A O k N l R 9 0 m 9 g 7 t u i u d t x 4 O q W p J i W W Q o N O n H + 4 b q Z t 6 d r 9 a X C 3 + X K x 3 z + i r 1 7 u t l f f N 8 n Y O K n W L i x T u 0 a 2 / H y 1 Z i I o r b l 2 h 6 0 A 5 X t Q J Q 8 O u b C j E I Y X J h Y G T C L N d N F t / D 3 k o e w v b 0 d u f y f X J q / v 5 5 m 7 N T P N q P f Z g v j 2 Z q 3 6 l z W X p u o 9 Q Y q D U l S t t 0 9 r 1 m L m 8 v F q v j L p 8 l y e 7 p 8 g e e Y b e Y s T W G s O C 7 Z c O i R T R b q 4 B D 1 b J X g O E 1 m E P 1 6 J i a P t c P b k 8 G Q 9 H + 6 u v H r U n / 0 T 6 c H 5 9 d H E n S K b G / 9 q 3 P 1 P P m 0 + L p X k b y o 3 I S q w o o i b N n j y j n 5 5 r 4 v s y Y + E C 2 u S C P F S w J 9 s P Z 3 u H P Y R z x 5 Q S 0 D A 5 r b T t S R d F 6 T 4 z y T s U v W 7 v V + 5 W T I r S 4 y V J 3 3 A 3 v U h c O K 2 G v p a B 0 0 r 2 t S Z O q 4 d h a J s n W 4 S V m U v K k P f N D k P K I J s d U 8 r w I A z a S 8 l F Q W + 4 l O j 2 G m c m k 4 L e g z B o 9 w R c W n / 9 g 2 7 i h J B 7 A l P r b w z D r 8 1 i 8 1 5 I X B h w G x d O m u W Z G P K z I t A t r Y o u n w T h 0 F t A x g A Z H j I x q Y 9 l P e Q f f P a Q d + 3 a U h K v i + M x J Q 4 m k z 5 e L x G j N y 6 f v 9 S 0 F / Y p j O D 5 Q F I E d F W N K p a Y 6 M u g s p t M x w i e P Y D K P Q W f X Y u h d 9 l D T H d M K S F 9 + T r A k F 7 e L O 6 W R t Y P N / U Y J M m p d B G K l K 3 d 4 Z B m M 7 g U q Z n S l t H c v q X b + e s h n K o l J Z p B a s e 8 W Y u 1 n m f N / x J / 7 N k E t D 6 l 9 A A R A 8 1 j 9 g L q W u 4 e 9 z 3 A A u p T o S C Z p H t S R O D 3 k f D 6 k K 3 A 0 c Z 2 J L / a o f j q L 3 w 1 A 3 n F d g s s H X e z v n 8 r l K t + k H z 1 / H n y 5 M e T o 4 8 / f f e f o k x 4 M B W / W M z R V D e 8 0 s d O O 2 D s w 1 Y R X W K E C q B o G v g F 4 4 S x A J M e W F V Z R u C e 7 2 B B j w P X W 3 8 9 H H / F 0 P Z 3 5 s l x i P t f x 8 0 7 g R d 6 v f 5 f 4 o 8 D H n + 2 9 6 D 9 Y b w a y 9 2 + / v g z A o D F q Z 8 M 7 E E a K R w / E m 4 f 8 v w / M L I d z K + e 8 6 / + w t c F 8 H T 1 Y b 5 c r E z H 0 3 W G n j B n Z S c h Z 5 T O v + n z L c l s T I x h d 4 q L u p a Y S 7 t 8 q 3 f Z w w n d M b U d 1 i d B T t I v P j Y f F i a s 7 K X L f Z v x N D M 5 S C A E q R O h A U z x 0 y X Q 8 Y z h H I + z V J q N 9 r h w p c M e w t l + M o M h J Z i X I V 6 4 P G i 7 D 3 T 3 a G + R / D g 8 0 H q 8 l K a 9 5 2 D j z e a x t X 6 3 I q C S P O l 5 w V S r g j F d j C L b W h 2 k f l r C e s K c Z L 8 t i 8 7 j 4 d t y O P I T 1 Z L y v Q y y D H j K W v / K k N O 5 I j r Q A W V L D T l Q 6 I e q k e G W o k 6 M N c H p D 1 y d l o + G 8 N d D L O X n M t h R I h k k o u N 1 c / 1 + v R F d t E M g r k j Y B s X P h + S q F d k 5 2 j w s + 8 c w T g m Q u C 2 i o / P 3 4 G C r b T t K J I P E W T 1 v l o v 3 j Z A f O V 7 f r 3 T o u X O n f i i 1 d y 4 6 Z 8 P T 3 9 2 x o O e A 8 7 M a X L f k U v u M o a X H w 3 k 5 3 B 3 b f T a D J S W e 5 y H 2 Q m l / 7 L 7 9 n X b c t 3 r 7 9 U o Y m r f f u n c z D D M M o z 0 5 z J h G e + M w Q z / o d t k c G A b d h s 0 B O e i e N g f G M K B l 8 + f N 3 K j z 4 1 Y N Q 8 P H N m F C X g N P X 4 r 0 R X e F 1 i C T Q T 3 C S E W i G p W 8 h 7 b P Y e / y c L M d 7 g 7 d M a V c o k F W w 8 c 3 z f 1 d c / 8 / 9 6 Y W h x s 4 C z k u G h h b n Q x Z e 8 B n n E H g F 0 M 0 V o j 1 N / s c Z 3 T a Q 1 g 1 x p T A h g n R 0 k o z u K A h B h y r A Q 0 h c a w T G m K 8 M s 8 W 3 d 7 G V 1 J O t / t S M E r n i a A E E w S 0 D 7 Q Z I E 8 Q T N O g I h n m o p d m f V 9 K f z 2 c q m 0 7 y o E K 8 q b U 5 y A u B 2 r I Q Q w H S u Y g 0 4 E a D 9 Q l B 2 r R f D K K 4 v 4 s 6 4 K t G s A + P 2 e / I k s 7 y q 6 R / 1 K o R 7 J c A a U M 1 X j X Q b N r r f Q O e z h U O 6 a U c 3 X + c 4 D 4 h 1 7 U 3 l C X n 1 0 4 B B Q W T H I P N I 5 B K t U R w g r 9 V h s S a 6 x A l V m a w N M G 6 Z 4 9 e 0 X v s o e Q 7 p h S Q n p 2 E W B I 9 V 1 5 T b n m 0 D E / b V Z X z a 2 Z v 8 9 t G 5 K 2 T V 2 x N g f S o l f G a f P W Y g Y N X A 7 s r V + e s y 1 G B p 8 9 f H F 2 b S n f n C B 7 d N x g H 4 2 C 5 7 + 5 D O d S o Q B H J 4 4 V V 1 q r 7 R 5 r O w a h 8 K R l X p Z F x d r r P g t 0 r c M e 4 q k Y U o L 5 W 5 D D u V i j D p d q M i a H a + B s 3 n y 4 M T K z u v E F F i T S Q o 4 H 0 e F e 5 E x + Y x i + s C z N P n S R x b E Y q N l n 2 K 3 H H r 4 y 3 W c z W F K + M 0 G y B j 5 b N o u V i Z j M L Z w C O J c A m Y G s E 5 7 A B / D W S L D x V A Q z y p M E i R 5 r + s f W 4 e E z P l x 7 S T H 0 d w j m i 8 X d b W M i g X S D W v B A I 4 h F k Y v S 2 R b L X J L A 8 k m u V 6 Y Q G V S Z P b a 1 d d h D M B V D S j C D h F r o 6 1 8 X U f C h / j W I g s v 6 d x I F H + t f f W 6 t Y Y Z z e F T 1 R E 0 u K z w D U Z O B v U c S N U 0 r P G O o z 9 a r z d r 0 F r p h g l g M A H w g M h j B Q / 4 A E U R 6 D N 9 q L h 9 C + 7 R G O u v h 6 m w / l c G Q c n U G i Q Y 6 b d 4 3 X + Z 3 d 6 Z Y / n r q 0 O N I Y O i s h L I g e W h a M j / r 4 V 3 p L K 5 E r R p D U c 5 O l n 2 h 2 j k 8 f M y H y 2 u G D 2 e w p Y T 0 1 9 M A W x y X 5 s 2 6 4 5 c O 0 c w A / w A K L s W y l U x g R v p c s X M H v p t 4 F v A x 1 d Y B F e 4 O n + / h Y r l l R g n j 8 c s A w 3 j 6 Z W 2 C 6 Z 2 4 d B u y d J a C x a s E D b m Y W v e z b L G j g / 4 n D Q h E P f Z h R x P O e g j i l h k l i C c h 9 h l + n 7 9 / D w G y M Z J u T 2 X F N U o U W / b j c S h Q 5 S C 7 Y L 8 r u H Z b X W 3 b C 3 Z w 2 U M 8 d 2 0 p Q Q 3 y z X z 1 S B v g 3 O W C L Y B d g i b J Y u 7 X T r p e d n V Q x u K H H M 9 W 5 9 5 u w C M 8 9 R D G L T N K B M / O A 7 x b + R x l j L Z o M X Q C v A 6 V y u n c l F M 9 d c m p U p o I E W O / g m p I L l n 1 r z C n X p A j V g j B V G W 1 j 9 Y W 3 n r 4 o j y 0 o n x P n o a Y S v 2 2 b G 6 v 1 l c f D Q N A 1 6 6 / 0 B u g s V d 0 D a E + O y b C Y O g R f e E X L E b Y A 5 B 6 l z 1 E c 8 e U E t I g O / + v m 9 U 1 h K W G i L r h X i R D O i T p S c n m C s 3 a / m j C W M B M l 0 0 6 Z r 2 S v 6 C j M X p 8 q 7 X z 2 E N A V U t K P I P E v h w v m 4 1 R l M k t U Y a M N K F d y 4 2 a t P H s U 2 U x r w P f x P 8 I N O g e R M K t w x 6 i q R h S g h l k u q x n u H R p 5 A 7 I Q E M j V y I D p 0 b u 2 N 2 7 n A v 0 g q g + + 5 / t Z k t P N c A X h 2 z p Y v 4 X Z A O m W 9 k l q 0 5 z I a L O j m G c l 4 k k F e 7 f W S F i m S U j H 5 A 1 P W 3 r s I d j r B h S j v G b E N N r J p i 7 X 5 h u 4 v 5 v Q t + 6 F k V s k I j J o N i P J 4 m Y / s g m P z H 8 3 w 1 D q u F g d D i 3 L z 8 u m 5 v 1 J x N E 3 0 2 q N K f h y A Q 1 T p E / 7 O D C b T 1 c A t F n O l B B + 0 4 b e Q 8 G 1 d 5 l D 2 d 3 x 5 R y e o O U K 3 0 O j d d 6 e W 3 i I X D i f a G H z M I h X C D g m s i T k e 7 q L m N B 5 E U H i 8 3 h G G B L K + Z l 1 + f o X f Y Q 0 h 1 T S k i D J H + 5 A I f 0 7 n 5 j R q + 4 P L B Z P m O x u 0 Z S r 4 y K v F 8 k / L 4 m S 4 Y o J I b N h 8 J H 7 E j Z d i E H j z 2 E d N e W E t M g e 1 h n D T z k h o T p z G X O g 6 5 e h U 4 p K x x E l A Z z p 9 D 2 P V 3 I X D D C J P w S d T D r c E p n P Y R y 2 4 4 a x h D H P F G t a U U m G k C D w y O N t O v 9 F 7 4 q e 7 I + 6 S 1 + R f k h o w S O y K 3 h e E v y l C + G f K W L Y l Y x + u X 7 A t M X 9 4 D t 8 Z c e H 5 b w i Y / E u j P 9 f 5 z s 6 W T 1 x a T 2 5 / Q e p w B J w Y z m x A / C V M j o + 3 E g R 1 / C y Z E c o K c s u p C 2 4 R P u e j j t W 2 a U w x 7 k O 3 z M O 7 z + a B w M u G b L N P 2 h W K R f l S J C L Z b r 2 m y Z t i T t S J C H H b j U m r S j d 9 l D O H d M K S E N M l u + u F r f m V L l M 6 e 0 K g M t C h g 4 L e u B r 7 i N J 3 2 L N C e B L p k T M u m x P Z j S W w + h 3 L a j x D H I d O p 3 c b / + 3 N C F u j U t 8 J 2 4 z O 2 y B I E k 1 s n T o o 6 3 t O E j c B f A L q h z c z G 3 s 4 3 m 7 + u j z m M P I d U Y U + J 6 E u I I 7 3 K x W s 1 v b x Z z 0 x D P b U a Q w i L A n I 6 c u M X n 9 / V s z c S H E r d g T C v + R U L 6 7 e r Z 0 W k P g d U Y U w M b I r T m l 2 a z F E n t 1 x i T 3 A a z C E g m i V C O J J + t K / i u + o Y x D y m D d 8 j N m M 2 K 3 T v r w y r 9 9 R D O b T t K J I M c y e r b x Z q d T P t N 6 b 5 d b K D Q k e 3 i i U J n b B e f N Z v / u X 8 E C n z m J G 1 W A A W G y h F Y W r u f 2 j P K V i V d B V T P I C G D h X S f X u 7 g s 4 e D t W t L O V x n I Q q c 6 R c m X G j C h o U J A 0 2 Y X J i Y a M L G w 3 V x N + O t + n 1 9 I 1 p 2 J 7 d L U C i 7 s 5 m 3 m t N l 3 4 T 5 n k K e N U H 0 N z l j Z U k T p q v + + O u M G Q k V R A J U F A B h F 7 g t 6 E n M Y G 4 H f f 1 2 c X W 3 3 i y a A 3 Z i v t 5 a e X u y B 7 X f 0 3 s O I y y K u N q f y m 8 v F q i H J 7 g 8 V A M 8 w f B Q S X j C 9 F C N Z 0 n f M t V c a f q z Y y d 9 8 F h Z 7 9 R d L 2 c s v k Q R m a R s 0 g z S B x W S C G L P v 4 Q P p K f o t q s Y t g v u n Y P 8 4 9 P r 6 w 2 V 7 a 9 C d g n x 3 v a M f P X s f f U X T 7 b t 9 E e t + / M s x A Z 7 z 3 1 3 s F I h E y s x 1 A J V u 8 k k 9 r N l j 6 Y S d S H p D N t N + / V o O i p D D y l N / 9 k M p p S A B l k u i H H d p 8 Y 0 + n L V m c o 4 n W C F K P / o r w 3 x F L o k B X A D p K 0 j l p z 4 P 9 s + T e f x 8 C k f 8 H i 2 n 8 1 g S Y l n k C p T v c y s 4 Y C 6 Q X L j G R x L J a x z U C r R f H v A 3 M n Y A 9 5 5 9 m T g X L G O Z u / v 8 C E f L p w 7 p p R 4 B o n I v W x o t 6 0 + m E W V 3 T S y W V 8 r q o z F 0 R F W 0 F 6 5 Q i O b s X W a R S 0 1 u T W c b 3 T a Q 1 g 1 x p T A B q m V r U 9 / W 6 j f v w f r G 9 J f + j U i z 9 H V I D L 9 L f 9 P V C B f z Y L 2 + c W 3 r 0 K e N 5 + b x c J w W z 7 X l J H W r b O Y F J S F 7 b j i 6 W v 5 / b t 0 J s 6 B 4 n F Z 7 k d C 1 T r r 4 U w p h p T z 9 D z I 1 k z a w j y 2 t t B 0 0 A / r 4 P W 4 C 5 M c b V r / 4 y i Z u C z G c l K / D P h t u c C O 1 4 C 1 F i s T h u P p f 8 u G 0 L 9 3 k Q J w r 9 K q Y L 0 I 4 T W Q k 4 P i L Q x g Q P B Y M O s A W 5 F 1 m t O 7 7 O H s 7 p h S T u / T / x 6 7 O u 2 v v n o D P / n n a n E 3 v z 6 6 u G v u 5 r f j f + 3 b X 8 N 6 d L X m N X T o Q p z c N u / m y 6 U J X e 3 W k U / B F 0 R 5 n e 2 s j 2 e M L p l y g R i R I p 7 a l m G i e 6 5 7 l z 1 8 b X Z M K V + b I P v x P R E u c N w P v O G H U e 4 B K Z 8 g q 4 t g g U D d 9 g V P C a 1 O R F E L p 3 2 V y D U Y 2 w L 2 o d M H l + / R G F M C G y Q / a J x p g J z p t 7 0 P X i + u b p r N t Z l P 4 v w X h 4 c E c L 5 E o j A z Q H o t 7 q m X a h a o Y h S E W E q u 9 u O t G 1 3 2 c C N o j C l f n f N f x j c h m K e E 0 c z u M C j R N L T 3 T w Q N M z q Z C E 4 z u j E R 1 O M Q N C f Y O g w 9 l D Y 2 1 L c S h z D V t 2 M Y S N 1 W 5 u a R 2 w 0 X z 2 q o 5 d I M s m W 0 i m U b t 8 V U o n g H z B I C Z m Q r O u o V y + F L 6 7 G H C 6 7 7 b A Z L f 4 v b r d A 8 j D o x N O t j V X S D 7 a 6 7 p 0 t D i / g f R / n U N F q I L 8 j V X f L T 5 Q 1 l k a F n 9 P S 1 Q 9 J A 9 Z k I A V c a r 1 B c Q D / z A A F Z s n a d V C l 0 1 G l q X X t K b 4 c v + e H 6 6 9 t 2 l M P 0 9 H W A q c K z Z n O 3 / m w I p B v s M a N / z p A E + q A o L y g N i V j b W B f 1 o J h Z p 3 W e R / s I Y r U O e 4 i l Y k g J Z p C T T B B l C + M O n 6 s W L 2 h y l k B q e I Q 6 N r 9 + M M 3 k p M c k C / C B 3 T P X u u s h l I o h J Z R B a v G C X t x N 4 Z 0 e u W 7 l 0 v D G 5 d M T t 1 i N e e N x s 7 x B y s x w N z q N k R M I + o u a 9 k l c J m U i T l R 3 N 9 Y F X F 0 l m 1 X F K N 1 h d 6 A 6 j z 2 c K N W S c q S C n C O z S L 5 7 p D p m k X + v S 1 5 0 Z 0 q U Z V 8 b N x a c q m w q x 8 Z j p a + K N S w i 1 u n 7 U B V 3 + a A u f 5 d V c T E l 8 E M C r 9 c 4 0 O y J W 4 d h 0 D j o V l h 0 Y Z A a B 9 O w 8 M F p 0 B a z L q e h L 2 Y N h 0 E U s 9 N Z G I N w 1 l w v z D 1 w p 8 R Z k F + w 3 Q U C F y Q E j f B 8 W P 5 C a D G i Y Q Q F L 7 + z R 4 x 1 / n p 4 5 1 V L y j s f Z u q s l Q N 2 O V I D r M h w p i S s a D p U 4 6 F 6 s 2 H 5 2 b T 6 7 J Q 9 p 9 E s T b M C J p A s 2 9 5 9 L q H m S 1 C + i 1 r K e U E 1 Y 5 c 9 t w 5 7 O F S K I e V M B Z k 7 n 6 4 / G B H S r h 1 0 m k P w D 1 A E 9 Z L 3 s r E Q R x F K t K z N l m w x 8 G t 7 1 I D 0 1 0 M o t + 0 o k Q x y N q i H m W j y P g e Y y a + b O Y y f a y M 9 m N v p l x B s o N c R v U V J m D v W z j H 7 o G A K 9 6 2 d B 5 8 9 f G t 2 b S n f n C D v g G f z f z V G R t X / c m j 5 I + s D a K i O a 1 b g k y K j 6 d 9 H F H 1 3 + F T Z h y m l W K H 9 H S D 9 9 R D N b T t / h 0 j C h v W n w I E Z W l u X f z g E k / 3 Q R I g G 1 O x l J z B d p / 3 8 B l a o G d R P K W q i 7 L w I t R j b x 7 l 3 2 U M 8 d 0 w p I b 3 8 I 8 A 5 j r 6 c d 4 F 8 D O W 8 A f I h y / k J 8 j E m v a + b P / 9 s b p r V y i z y 4 K b W X b E 2 l q G a B e U p 6 l j j U K 1 E u y e v k X j P C r C 7 + 3 D I P 3 T b w w n T m l N O W Z C Y v E f T 4 J 9 d b k 3 E 1 v O S V S O u T M m q 1 g 9 L a 9 5 G a E / B y e 1 H e r i d n B 5 u 6 r 1 t R 4 n j + c 8 B 3 p a v 7 + 9 Y b H y / 3 l w b n s A 3 L k x r A k B P y g J 7 A o p o 4 O c H x t O K K M c F Y 5 + i J N G p 0 S u 0 f Q J H p 3 0 c 0 e E T G o w p g Q 2 T K V 4 7 4 2 n n P o 4 z H s P g V M 5 4 J n T Q + A x C S C L A Q e v 3 / M v l 4 s O N i d D Q 7 S 2 E A i g q x E o B w v R i U 6 U f o k p s O u C h G q 5 o K X L W Z T F b H C V f W T h Y z o / W 7 4 + k 3 8 O X / 3 C 3 p / i s d u 0 p h y 3 I 1 / D p h / t G N P i e 3 c 9 X 8 t / s y Q d s P V m K W c M V Y 3 J B i k B l X 9 Y d H d f 3 0 A H D 4 k 9 h 2 G d C h N + u 2 S d 9 P 2 o 9 P + B U 8 M m 2 n e 2 o f n X p 6 K u / e P L q f g 5 e 6 w h c + n p 8 V r / 9 L t I r u D 0 W 1 w v T e p l T / 0 a I + C I U S p c 2 B g E R s U f f V f t x J E p H 5 B f I X h G 1 h 9 v S N q C 9 y x 5 O 7 I 6 p 7 b A + C b J 7 o x d T 1 x S I D n 2 / i / t P 6 P w Y U q q L Y 4 f 8 O E 0 F 0 B o U B x L e U f F w j M Y s g J Y / W t 7 Q L t A l t m / 5 t w 5 7 + M o o h p Q v z M U e x F T e 9 h H 1 C L T M I Y A 9 W q Y 9 0 l p 4 A F i Z A 9 7 G X 7 1 X v 8 k v v v 0 1 / G b B 2 M V w n M 6 d m n T J D H G N B N g m V P s U n t 0 N T O K U R k V S Q 9 w u 2 G e t q x P p q 4 e T t G 1 H O U j n I b b m L p r P X 4 y 3 o h t 3 C Y V m i f w N F O 1 l Q V u 1 O 2 T f Q x Y M 1 E A Q Q 5 M f w b + Q d 7 P r x x P g 1 l 8 P o V Q M K b E M k 7 J E C 9 f R 7 P Z b 5 7 Y 9 X K c 7 a L p b U c B 1 4 u l a H K F r 2 i L f B e A x A D k N A A 9 Z 5 E 8 A j 7 H I 1 9 M m a t g r H T J K 6 C Z k w r F F a V J + W x v P 5 s 1 f 8 8 3 N v D E 1 A 8 / e O C Q + q F n R n i B x T Q A z x A / 2 m e I 4 A R r G U g V S 7 G i Y A V u x L X d G p z 1 c 1 B p j y m V 9 9 m Y s R 9 t f f T W l 8 s e o c X z T 3 J p 2 1 F 5 o J E e t 7 + 2 0 I k 9 i G Y Z l N N g a W Y r p d g i / B 7 4 v k C o g V l A H Z f R p P 7 C W / n o I 5 7 Y d J Z I v L g K M p L 5 4 / b a g F X 2 9 4 / K 0 d 6 m Y 4 W V n N 2 B 6 2 B 9 7 U T Q h c H h R f l 5 c f V y s z G h f V / k O V h 7 r r C p R a 0 f p I R m Q L L w C O T y C L D x G + 8 l f D T 5 7 u B x 2 b S k X R J h C 3 x 3 N 2 V a e E G m 6 W 9 b 3 u 6 A 8 E y B E A / o h g f l s A j + M x / f N 3 E y z 4 J Z D l T C S U c m y G M f 6 9 w M p M p F D 0 T K m 8 Q f N Y L p P o S v 9 9 X C k t u 0 o x y n I z O n 3 + f v 3 8 4 3 5 k n T L n m o W w 4 H 1 M p r L p f D n k D 3 l 9 H J J m r g h o z o v p e K c 3 U R n 8 N l D R H d t K V E N M o t 6 t d 7 c 3 X 5 a M 9 m n p 3 g I o j D 0 I n L I G u A L H P B H E s c t e o q 0 p j i l Q p X F f s 9 l d P j g J G E 7 p p S A B j m A j T P N R u s 3 r o 7 1 N G T f N i c 7 X a y u 1 k v T p r U b C w W q 0 R D n A 4 l L h z u l J S 5 I Q F x B p p + A V N 2 v R 9 p 5 7 O G q U S 0 p 3 8 s g e S h G P m r D 8 M I t p M k M b A f A c M r s t v H d j S + q h F g T 6 g g J v T w B T Q f 0 2 O 7 9 G J 3 2 E F W N s b 9 D Y F 9 u l v N m Z V r q c h t J w c O O q H M a C + B O S c O s R 0 C C b I V w F v J J o X 6 4 V 5 + s 8 9 h D S F V L S j y D H E 1 F W d t D 2 S q b u p / 9 e 3 C 5 r C u b x J / i 3 O n m G R l 1 U z Y t g Y + F k 7 7 1 5 D L Q 6 F p P h n E G r a d p m D G G 4 N X 6 8 0 0 D 7 Z 7 h w X I D K i J J m P N a 9 a D f Y U 5 b l q B a s h o 9 E W B Q 3 Q D X 7 s H q X f Z w t + 2 Y U i 6 3 I L N j / X w q 2 p 3 j O H Q T j z f N Q b c c e 8 B j M Q L I 4 y h B N w H W Z X Y 9 M p T Z R X / R 7 g s j n f X w b d m 2 o 3 x V g g T H v a I p P D f m N W 7 Z a g b V E 6 G E Q j u T 6 w D d I / l 9 J X 6 R M x j k X 1 u B G d t Y d h 5 7 i K Z q S Y l n k A W I n m N I M y + y b g c P H E O m v K Z k n D P l N e O j e j G / / v C Z o 2 V 4 V N 2 6 i K X Y h A M l D P R f K q L 3 9 U J d c q 6 i m u I e x T z + s F + y 6 V 3 2 c L B 2 T C k n K 8 g e 4 m k j O m W m q f q J y 9 p U F j M 8 5 x + i m q G j Q g j 7 u h 6 t A e C K 9 P 6 L i v t y j 7 q + 8 9 h D Q F V L S j x P z g 8 + W f 9 t v n 4 9 v 1 0 v 7 + / g A T 1 a U n + J D 5 S 9 e i p n d m M 6 G G D b + + I D F e k D v Z J s P 2 n Q 0 + Z I f g e 8 f K K K K f 8 f 6 Q 9 b n y l S p z + 8 b Z b 3 c / 4 8 e f L j y d H H n 7 7 7 T 1 E 9 P + C N Z F U I 9 g v D n f f q 6 W 4 O a v 8 Q E V A 6 J B G U k T X p B O 2 v H r g r R i r 0 v S S V Z L t w a J c W t v 5 6 i K Z i S I n l q 6 c H P x 7 7 x 1 L P G a n p f l v H b 4 A a G m A h E m o 4 A U P G R E J f y m m U F B x K u X 8 u V n c m s L 0 b I 0 Y 8 Y 3 S d A Q u J o i I F q d 1 n K i i G c k H z d w H B Z 9 p p z 5 4 s / f V w a r f t K I c 2 S C 6 M F w t 5 + z a P D L C P n S S 3 a + B / O a h N b u I Y h v M H F C f J j F u 4 o p m D 4 g 3 7 3 x 0 3 7 N P 2 k Y A S j a d Z u 3 i K 2 0 f H 0 m k P U d U Y U 0 J 7 H K L 4 t l 7 Z x u U + H i Q O D f e x V L a Z 7 u P x P r 6 c v 7 s 1 b / q 9 c F l N S m m W I h j K Z n c u 6 L H l F m i b t I q C j 3 P H e E h 2 v m L r f d / O Y w 8 n S 7 W k H K s X I a 4 o v W 5 W 1 + v l n w I X c g z l + d 2 X X d D 9 5 V u H p B W w N A Q m c P y B 3 M r j l v S i R Y Z A j U p 8 U c / Z 8 / X r P f Y Q 0 B 1 T S k Q v 3 w a Y u D 5 r P h p 3 z t w k 7 T O E / y A 2 A f 0 + F O M y n F B 6 z e A 2 g Z g z R a e F v 1 m f T + m v h 2 B u 2 1 E i G a S c / f E S d I z p Z L q 1 p i M 5 f u L 0 0 Y K O q r I a W t M A K R C z r 9 H f o S N j v w f a u u s h k o o h J Z R h t q W 1 i 2 u a b a b 9 q 8 n u o O n G 7 b K a T K b 9 w X F / s G 4 T x i 3 U Q 6 I Z t z t U k 7 8 2 X + Z 3 x j 7 p 0 1 O X B x V I W x I n J a N j 5 k o l j d K + T w r 9 c Q p P 2 P 6 a r J 3 H H k 6 u a k k 5 u k 9 P A 3 x P L + 6 X y y + G 9 O j C i f m N 9 5 S J b p G x C F i S I n W x F P T H 7 A 0 m Z V Q x x 0 C K 2 3 r S K 7 3 1 E M l t O 0 o c L 0 J k f t M X k B p Q g P U V P B S Q 0 d c R T 7 K A j K Y r e L i C z 5 v b 2 + b e c J 5 + d b o d I x S U I t K X l P G f r C z 6 2 z G e Q S s k h M j 3 l Z 1 r H f Z w p B R D y p n 6 N c S 7 8 Z R a w x B K V 0 V 5 F O N h t 2 2 5 E g f Y V A X t B c o Z C U u 2 v I K Q R n d z + c f b b M J b D 3 H c M q N E M U g h e T 0 W 1 G W F b s C C G n b o J B Z 0 W q I b W 2 s v V u t / G Q 6 T E + 0 a D F o w Z 4 m 5 O j f j Q 7 Z E G G a Z t 6 c l 9 V + G 9 J w c K t o N D 4 W 7 H k 7 T l h n l N I W J K N s 0 i 8 3 C d C 2 6 K e S i n 0 p K K L Q O B C w e i p / u h Y P 2 J 2 f v A V J E d H I Z U N j f i 6 9 a j z 0 E U 7 W k x D N M n d z F u 3 e G Y + l W z L H M w q Y 4 + A w A n U o x x 7 u X g W 1 C W 1 z M m K y X W Z 7 h r o d I b p l R w x h i q h J V u o U H F 3 7 g v m G W A b k X V 6 a u A 1 O J h Y e J H 3 h 8 5 B 7 L G J 0 g Z A y P w I f B a c c C U Z x u X Y 2 s i T O F F 4 3 p f Q A y W 6 n c 4 Y i A t 8 w o h + n s 8 N i x / c E x b + W 6 x L P 7 z d y 0 N u F G p h H N G C c k F Q m L F I I X Z D p y 0 s A 7 V 8 O j E d e s h L X 4 N V v k N F 7 D + 4 v P H u 7 H X V t K X I M k 0 7 i Q c f 3 9 3 r g N c + k E Y k P U p 2 D / X 8 j 9 1 E L D o l / / j x P e Q t h T W O y k 8 d V u A N o l o j h 9 J F z 2 E N U d U 0 p Q L 0 N E s l 3 c N J 9 X c 1 N C 6 g b F r m f s N r C X k u a R u H z 7 Y 5 p z f g u 0 r Y s Y R K / 9 F K n z 1 k c w 2 8 9 l s K T E M k g Q t h 6 V 6 N L E H F C J h i a m n C N N T c w x i z m b X 6 1 v j Z h B 1 9 Y X 4 j 4 V z X 9 R x 4 0 L Y L S + q N 0 L R O 5 K C e i 2 h w x 2 D g / f 9 c P l M q o l 5 V Q F 2 Q C 7 u J t R 4 T 2 b b 1 a N 1 I V 5 1 W w W t z e 7 S J h T l 5 c P 5 v u K Y o 8 e t E J 8 U w E o T P O U 3 Y Y a W G G 0 D 1 / v 3 e y o 8 / q o 9 f m A g 4 Y n f E o 7 1 p T o n o b 4 / i E 3 t x v K 3 K X y i 7 u k J T d U f j H U v f l U + Y 1 3 5 u v 1 + n b + 1 3 x p 2 o 9 w 4 w m D K k J s f B U 5 B C B l I S F I L T Y J 7 U E m B q K a q M F h w / h i W z E M P n u 4 O H d t K Y c r S L 4 w / V T V B d g y T F U N w B Y 5 V Z 2 A L e P h + u 2 + + d K s F s u l 2 G P Y U 4 x H j 3 V 5 8 u P W + p N c K U O N J 0 K i R f D w Q T c P k 2 U v Z 4 8 a D 4 A U h A f h d R M j O b G a Z F e 8 j Y 4 f 8 u l 6 a G X 7 V H 2 V r P i r v / C l x A O P 0 e 6 z F b k A 3 n t i S w P e X R B b T n D 3 8 V y d k Q m u T T 0 u V z Q t S F o 0 b S A n S 7 b Y w W m G w K f H i Y I M s a s A 7 M 5 T 6 7 C H 5 0 o x t H 2 q n g S J p 3 0 + X 1 0 / x m 3 p K v 1 Y k M L D A V 5 W M W C 8 g Q C 4 g j I c / t I K H n i R f 8 T 2 9 + P g s 4 e Q 7 t p S o h q k 8 O P x e g l O 2 j C h c x 2 c E 6 1 I D M h R G n w g P S X I 3 g H t J S m Y S 6 G 4 a y 8 9 1 T r s I Z 6 K I T W Y / x U g 2 P L 4 / k t z Y 5 Y + e v n c A T 3 L U j x L m N A J 9 E 3 m f n p e x Y D e Q c F n F A k F 0 M u q e y Q f R x X 1 L v s I a P f p D K a U k L 5 8 H m B I 9 Y N X z Q a v N e 5 y G L x 2 C 5 Z f H b y W B 8 w p v 5 o f f p N f f H t F s b P 1 6 m 5 9 b 5 L o c y U n Q F E M v B 7 c n F U U 8 f 5 1 c w A Y g F n + y o u a H t c + A n 2 d v 8 N X / Y A d y / a T G S w p h y p M d o K 0 P U B b i w y 5 S 3 G Q d j J w u a E 6 S K E 5 y q f y Y C w P H t / 1 c D p U K W K p Y s 4 N Q A 8 c E N 2 r 4 V D V M 1 Y G U j p Z k I G I h N I a A 6 t u Y B z u W K m W / g 7 H 6 n l z R w 9 F i N 8 e s o d C k x + e A K 7 E 9 q b s L k r Z Q y G q n V D U H l q m n d c H f O y e D C a 2 o 7 j / W + e r e / J s s 1 6 Z 0 L R u b M X R r A J / K d X F R d 7 f L j S n c O A L R E O v u m j d Z Z a + D s / P 4 U 7 k t p 3 t S D 4 J k 6 U 4 1 f T A E h c l 2 q G 7 3 A E q d b m j 7 C 5 P a r T j M 9 c x 0 R t q b F c h 0 5 S t 8 R 6 F 3 i N I m I s C f A X j R b u Z W X j H a P x 4 Q a b y 5 h / u Q K m W l C M V p I 7 p 8 + b T Y m l W 6 3 H t g S H g D k k H O A V 2 V B E U 7 u 5 H w A v i c q z Y 2 4 m k W I / 1 / d i 7 7 O G K 3 D G l h D T I D p i e R L y 9 O b n f J G v d 0 c 3 V T 9 9 Z V 9 j d m 9 Z l l b o 7 E h L x i e 9 0 v C H 1 Y 1 C X J s f w U B m a H P K h m p o c Y x j I c N a f 3 i / m S 5 O g q y v 7 F y Q 2 F f D V M m M O K h c z R p A B 4 A O w k E k u + d x t R 6 C j 0 x 4 u O I 0 x 5 Y o L k / 1 L i + F x S Q Q H D I 8 h E Z Q Y n i k R H M 8 X c 5 D d m X S e O j T k h 7 Y T U I K v L d H I t l N 6 w P J 2 / z J 2 n / / G t + / l X j Y b 8 + b F m R P B I Z R d M B j S n c h q q L R l I 6 L f v G B W z a 8 o c + 2 h p 6 2 z H q 4 2 x Z B y r Z 2 F S G r 4 C l G l 2 2 Z 1 Z 9 J V c q N f A 1 s q S E R Y D I W 3 S 4 S z z 8 Z j s v E I N H F U F 8 V e e 7 + D z x 5 C u m t L i W q Q D G x 6 4 T x N P q 5 H X h 3 9 Y E E 1 r Q e 1 u g w A h g f R M A C Q D + I 0 A H j w I G p l t F z C M F A n G M I g q R O m M D w I g 7 Z P q O H 1 s q 6 A h / L L I K Q l y 6 9 J S u t B G H J N e q h T J b U O Q 9 5 N J X s 6 S W 0 r g q l k O Y G B x z A 8 a z Z X 8 + V 6 N Z c b S t 9 k k m X 1 J r 3 a w F c p 9 g x B D m 8 + m B Y O X Q X V Y i B X c F N m F b q u k u i i n c C U M 5 S G a R b D t Q 7 9 9 h 4 o 5 N b z o 9 Z v H 3 m N / K R U e 0 p u E 6 a 0 m p Z G w e W m H d A 8 h p t W 0 i h M N + 1 4 x M / W 7 x Z L 0 w l z o y V h 9 x 5 i S b A 8 F e e p x T b K E w a O N U a e l W l M B S K S / 4 B 1 D 7 9 1 2 M P R U g w p Z y p I h s m f G 7 Q B D M O 1 f 7 5 x a L B k 0 P z W U Q y l e s Q + d g U I q 6 s A o U + b x T G 1 S h J l V Z o i v G T b s J T + e g j l t h 0 l k v 9 8 E y L W U b u z 4 b J q 2 O 9 s G D Y N x c 7 G t G g 4 3 o 3 t N u / p / Z W R h M u J Z j I p a a u U K a q t k F l I e p K + r R L N M r g t G H 3 2 q q 6 2 h 0 p s 1 0 q f P R y s X V v K 4 Q q S b P K 3 5 v Z q v W q u T c + e a + M T 4 R Y 2 s I u E f W w Y L X q p H k G t F r G + U T L X i d B O s 4 f b D T 5 7 i O q u L S W q Q b Z A X y x W H w 5 f M r A a X K I g D + i u j N M H p H l o M B P m B 5 i t 7 p 5 9 H G U i / F Y T + M M h T X T W l O i G W S 5 o 5 3 Y u 5 c L Q p j S U C 7 J N O Z U L 4 5 M o w P Q f 1 p / m G x O R u d N i D V D l E q 4 S o C j J 9 l w c o e O k j s q U f 8 q s G 5 h b r j I O T n u 4 P M d P a D C m n K 8 w l 2 u 0 A 1 m X h H M Y y B o y T j m Q n V L O 8 X x B r b s 7 F 4 9 c G J Q F Y Z Y o u b t F e l 3 f s 4 B h Z O J P H o N w v G x M 1 5 t b R y S d Q U P O I D W O 2 f p s 2 e n a j g h s 5 M z E y f n r E t 5 5 B u O 2 C b 9 w d 7 h r D p c 5 b J l R r r Q g u y F 6 3 g O X l K G v o Q 0 Z g 6 i h p 4 T h w V l q 7 q D r M Y m i u m l P Z T M h I c b / A a V 7 K I o q Q M L s z Q M y A W K X p l 3 E H s / G j 1 t / f Z w n x Z J y p I J U n 7 q 4 f / 9 + v f x o a D G e u T C b Z c k s z V L i C e t u E Y v l 6 a 4 b U s a z K I m g q o v T P M n F S N U u 8 + v 8 9 R B N 1 Z I S z b M Q + c x + 3 T S r j y 3 l w d V C J 9 j o N l 1 j X 7 e i 2 x E J z o O R z p M 1 3 j q F P Q v 0 V w k v r 3 U o e 2 e P j n H 1 g B C + J 4 o h J Z B / o + L Y B U 0 5 F M c G N K U s j i c 0 5 f j W 6 d c n X J L 3 b n 3 C k L u z P j G l 7 m M I f r n + 0 J i o C U 6 c N K F Y l o Y v N R H 6 a p 3 O e p u 6 I 5 i X I T N M t t F q r H W I q 8 e z D e m u h 9 d p 2 4 5 y p Z 2 E q L L w + 3 z 1 c b E y D T P d 8 k a k S W s w q / T i 4 Y A X c s L 9 3 A V S e G j F U 5 Z y h 9 a 9 X a 7 R e e w h m q o l J Z 5 B Z o 5 6 8 h Y X v u k B 7 m H g m 5 Z w j 4 l v e r w f L 2 E l W D S f b o 1 U d G 6 X p F A P Z f I l J E R h c u T f 9 S e r m g m q f q i R 6 O x m s T V I Y H T Z w 9 H S G F N O V 5 C 3 5 d N l 8 8 l c Z b v t q q G H A j 9 I h C R U n W W C f 6 e L K b T i s x J V 0 b p u l a L s 6 e g 6 j z 2 E V L W k x D P I L b V n x g a k E + I g j W h A Z h V k M E i f s M r R n 8 5 8 V r A f j 8 q C E N X Y Z z K N r x 6 i + N C K E s E g M Q Z v G i h 0 b 5 q 7 q x s j e O T s w g G R h R Y f y U s G y A D K A 7 o j N X e q T E h r R H 9 L h E t Z m p f k k f a 9 5 I d u e 4 i q 1 p w S 3 r O L A P F Z r 3 l D 5 6 Y h w b m T m D M o g 4 L X M x W j A g F A 7 k 9 p z U Z d I t R n U V h k U L A H f q R 1 2 E N I F U N K M M 9 D F H R + d j 9 f i Q 7 1 W 7 S F x Z + H a I a J r A i p R a T 5 K o R s m P J 0 R 7 V k r w 7 c S J z G e b 2 f b K b 0 + k j 6 f P C e 2 K 4 t J a 5 B t s W O 7 2 / v 5 q Z u w M s X L r c v L y Y 5 L j 3 p I i 9 L Q b r c 3 7 7 o G C G + Q a B Z f R U 6 c c T a r o R s H f Z w S B V D S j B f v g j w x n 2 5 W q + u m w + m S Z I b F V d K 1 H L y W w Y M X L B j O G l Y x 3 U G t I u g y p 9 b V y 6 9 y x 4 C u m N K C W m Q p F w C i / Y e f Z y D n l E C m k G 4 n K C N G n U 7 Y N / X 5 Q y Z 1 H g L Y 2 R 3 Q k e X P Q R V Y 0 w J a 5 A n V b 9 R 7 N L q G a Y R h l a P n E Z M r Z 6 x 1 a M X Y 3 c J w 7 B R b A i D 3 C i e w j C G 4 V n D f p W p U n B j l c 9 m E V N W s E Q M U x E L G I h d 4 y i R 8 t 5 l Q m r Z A S P s r r j W Y Q / X m 2 J I u d q C l G R n + 0 k D z 9 O g J B 0 I G e K s H d w 2 1 5 8 W / d f o p w 6 d u U X C 5 m B D f z d o / v + w 3 q 8 e 7 g Y D 2 l P e D R P a s w 9 q 8 t N l c 3 u z M K o / u l Y o N G 3 Z U q B V I C u R n k G R N g L N A 0 H Z 0 u q b 2 V c o n c c e b g f V k n I 9 B J n 5 n F 2 d z o 2 K x 0 6 T F R Y w Q c T 3 4 x N m z R 0 6 4 H u W a S t I v G O 6 t 6 V Q 9 b Q t N 1 t 3 P c R S M a S E M s i J i n 5 e 6 S J H N 8 w r O 2 C v D o k t 5 5 U T A 8 V 4 Q + p l i l 0 g N Y N M s Q F U I 2 W K J 1 j N G I Y / 7 j + Z G i 9 O w 0 W u t U g Q M w O 5 k J B P M a y Q U w y R w m b Q B i Q Z d O h i i b L D o j 0 O q x H u e r j W t s w o l 1 q Y Y 8 V 5 8 5 e x 2 e J E E J C i T U Y d A t 4 z E / o t x L M P Z M z S g / g V z V A 5 t r B e b X g m H f Y Q S s W Q E s w w K Q K 0 G 1 s u T K b D x l b X 4 d S 9 U H J j a 2 I y H a / G 4 / W K M 3 V r 2 i W / / M N h z A A m H q K U L M 3 Y C 8 r R P x q G v A J 7 A b w a K v S + M W 2 b 9 / U u e z h X O 6 a U k 3 X 5 R 4 C j B k B A V 2 u T 5 o f b B h g I w w r s I f I s u S R S G Q B S c E F E V R r X U T s J t B c C b B 3 2 E E 7 F k B L M M L f A t M S K L o n 8 0 O o w J P K y 1 T E l 8 u M 1 + f L 2 3 X q z M t 2 S L 5 y g M G K M D g s t 2 u x w S q E P 1 2 8 O C c R E g e x m X u 2 r r t l 5 7 O F U q Z a U Y / U i R A C M v k u p 4 S t 1 6 F K + n n 9 Z r Z f X J h C 4 G 0 0 L F y 5 j Q Q R j C o G l k c q r P X 4 K z A 2 r S z y 7 + V 6 7 u L 3 L H r 4 1 O 6 a U r 0 2 Q J C 0 / L / 5 a G H l 3 X H F T F S C b G F a 5 Q U q 3 K y X T m e B 4 R E + G / 4 C g H b f N l V q H P Y R T M a Q E M 0 j c 1 K t l c 3 d n u t L d T i d X O p r l I B t z I Y V N v 7 r H 1 2 Q z Q Z m F a l r O g u 8 + D P K t w x 6 C q R h S g h n k y a S x v D v a 6 s Z d W 2 M n 6 5 F Q 1 c E t + h 1 P X T l Z Q b m b T v o / Y 5 7 0 Z v 3 5 g F t P b M v H I J m G 3 a b + S F U p 8 M Q e m r i H A r n 0 1 s N 5 2 r a j H K c w 9 5 2 0 Z Y e L j t N Q d h h 0 n G T Z M e k 4 j c f p 7 O r n 9 W p 9 / + H G Q F n g P J T L Q e C X r B N C F D 2 I e A L B L 0 r 2 3 l G p a 4 G 9 1 i D Q w W U P 5 2 r X l n K 2 g p z N v Z 7 P / 5 q b q g I 3 S E 0 8 S 5 O E x Y q 0 k K D s v p J E b H C G + D j 7 F g j u C j p j 6 y 5 2 6 6 + H c C q G l F g G i a j 5 7 X 6 x f L / e m G T W z o 8 d 2 q d p M W P J F y l d U s Z s V C A C d s / e G k x L d V Y K E i Z 7 F a L e Y Q / h 3 D G l B P T 8 O M D m K c 1 o T R 7 p x E X R 5 v 2 p i Y q C L H J i o h i f P b 2 8 m g v 1 1 T A b M n B f y d n Q R H 4 1 h u G V m S v J 7 Z m C W p 9 t z Z y B E K O E d m G z b V 5 l A v g J i U F R Z Z E s k G 1 7 H c J d D 9 f a l h n l S g v y j U L q s r n + 3 J h 3 i c 6 c u P W L W Z q S R N J t Z C o E x X 4 / E w I S A e g r p 2 U 1 b q V Y w n g H p z 2 E d P y E B m N K Y M + C Z N n X 9 j x c 0 E V D z 8 O A L p I 9 j w l d N F 6 T F q r w T q x y g r 2 g i J G m k K P V I Z + P q x m 0 Z B D 6 R H W e t P t 7 d k d L V W s / H O e m a k k 5 V J c h s s p F u S Y B j F 0 6 H 3 k H J I o N n Y 8 c D t t 4 6 n y M h + p s j n a X q a w 6 d j l T K X T 3 t Z i Y 8 W K V p B p C V q 2 d t C R C 8 o d i K w d 6 D l V W a r 0 t 2 T o 8 v B + H O 1 S K I e V M H Y d 4 p p 7 f v 3 v X G I v k s 3 O H I j k j m h F r A m w Q t d w 8 P X K v b h v G 3 J 2 I k Q h 1 V + s u V u e x h 3 C q l p R 4 n p 3 / b Y p k F 1 B K F 7 G 0 a 0 r p Z i 3 c k O k E S R l v y O M N a N i V o T H s 1 n i C g D h G 4 a w o q i R O h M R Z d 0 O i F E J Z x r 4 G l y f U S Z U 9 O U v r s I c j p R h S T l S Y b a d C s z W X u G Q d A m 4 u n r T E k H U U 6 T + O k i n r G M / U i 8 X 6 8 8 E 2 B Q C Y Z w L i V Q u M h 4 D s D E k H m w J o g q R J z g a U 6 P N 2 1 d f j m w L S X w 8 n a t u O c q C C 3 B X g 8 t r t 4 2 a a J 8 o B 4 P V 8 / u n P G x g J D X e w W 4 8 M T Q W a K m V V o L A G x + e D 1 R J Y 0 I B 3 x T T + k e L a Y 7 W k d 9 n D d 2 b H l P K 1 C b V X 9 t n 0 p r p p A 7 G 3 m i L J G y E o m l f o U P a 1 P P g F A F 8 w f e Q s E p H J 2 n Y 8 6 V t 9 X n k I 5 b Y d J Y 5 B 6 g E d r 5 f L + Z 2 R J v T C a S 4 H P U F e x Q z I W z z e u M z K 4 J z B K 2 s N O d s N Z E f d Q v n j d 3 n v s o d 4 7 p h S Q n o R 4 m T u D M X D j f F x d u w I A K G N o h 0 x 7 T h m 1 l q w m Z w L y k k i a r 3 G 1 z r s I Z y K I S W Y Q X Y E B D f Q w Z 5 N g A 6 c v 6 x k s r S l i w 5 j 0 i x h C Y m C B u n m f Z o 7 w l 0 P g d w y o 4 Q x y O d S P y 3 X w O i t U Z d 9 I 4 A / R T f 7 a 4 2 A + I A S G k f / u l 3 8 x 2 q x / O k 7 6 f X R D 0 9 + b G P x T X 7 x w 9 P r 6 8 3 8 9 v b X x Z z d g C c / / v D b f P 1 6 f r t e 3 t 8 t 1 i v 1 7 + I / 8 L Z Z 3 s / 5 8 + T J j y d H H 3 / 6 7 j 8 F t c p q L F q e L Z u V q V P q J o N C b 4 2 c B b 4 x 5 I j a 5 0 w 2 S q u Y n 0 e Q k F U l q q H Q z V k 3 S q W 7 H g 7 T t h 3 l N A V J + P j r Z s 4 T t 7 g y C h S 5 E L M i T g l e K C n Q o G S g x B 3 Z N 0 p p 6 i B 8 j u S v U C d q q T n s Z k m D y x 4 C u m t L C e p Z i O y s Z 4 s V a Y u p R n Q b v X M + i S n k K T x r E i X W T z J i m t / Q Z F d o / Q q 1 e / u m Q u e x h 4 i q l t R 4 h j h 0 v 7 i b / 3 k z X x 1 Q g k D I i E G / C q B 9 X B B p 7 1 w E X F j 4 A g 1 I 6 Q 9 F a 2 E N 4 R y d 9 h B V j T E l s E H C c o 8 3 8 7 n p 5 n X l s h L 6 A 4 n 4 Z 4 t c o g Y 6 I 2 C c V I w 8 p r W E e N p d v d J f D + H c t q N E M k g e K z 0 9 n A t 8 c F h e M M A H 5 f L C B B 8 c 8 1 L e p d 0 W b P l t W 7 A o Q 8 3 f i 0 z a U E y 6 N X p Y L S p R K C i y u m i v 4 + 5 9 J Q G u i w L J 2 z i L Y h A E 9 i R 0 g 8 8 e D u + u L e U A B 9 n q 0 Z e V L t y v f V l p o H 4 V 8 + W J + X U 8 v q f r D 0 Y y Q O f 3 E G H b O F e F b + G 2 F h I 9 C K X W j D 3 2 G S 9 L f z 0 c q W 0 7 y n E K 8 j 0 8 b j b L x e 3 S t O r 8 w o X j h y U V K M 7 i L G Z h r O h g N m 3 C y s C D 5 A a 5 Q V h + 9 6 p B e p c 9 x H P H l B L S F y F y / O j H m 5 o b 0 m G 8 e b Z e 3 T U f 7 k 1 f G 7 f x J n 3 a E r 5 P n s 8 S T V 1 o D b q n l T s A y q i S T g T D T y k m b z s Q 6 1 3 2 8 L X Z M a V 8 b Y L s 1 / 7 a L D a P p U v H T p s A 8 S y h h w R e O a l j d h A H E r 0 y p c 5 J a S 3 F K X r K o s d k G 9 P B Z w 9 B 3 b W l R P U 4 x J b E M U J d d 8 3 N e n 1 1 M z e d V l f J U V C U a I 2 i N p o j + T P 0 D i v 4 L C o 4 i i T J R c t C Y 1 n A P n T b Q 3 C 3 P q b B n h L g I L f x T 5 s / 5 0 b i y 7 M T F / g s 0 j F 1 x E x M 7 U 0 A S 0 h o K l b U P j Q v 9 s E l t Q 4 P n / H h w N C K I S W Y Z y d / G / C s C 9 S v L 2 4 M S D 9 R 3 E x A v 7 G 4 0 W 9 5 u L S I h i 0 P Q 4 t I b n l M L a I x D J A g 7 b a I M k 0 Y H N J Y P R W 6 0 5 Z c p 3 6 X m b b k 6 n 8 c Z d O W 3 B j q S I t w 1 o T a G i o w I J w N J 0 4 i n K c T N 4 b h 0 a 7 O c 5 d M I o L z j B 5 A E t E Z f Z j 9 C 4 I m 2 q e w W 4 K Z 2 6 s R s N 1 t O W A i I b p d Q 8 K i 5 B F B Q h x / v V + a A Y 6 v n P B w N X L n e U Y F H t H m b l e n Z E + n r F g M g f 7 3 A W O Q X b r f + j t 8 x I c L p W J I i e W r E B f k j k n w m W D 8 t t i w J j d v 7 g 3 T D D d S Q n A e V Q a l E x S T v a z W M F o G w 4 N 4 N h B I g S i 3 L s + F 6 0 e D 4 x 7 C + x W D S p i D J C n 8 v b n 6 + A h w w O X M A h x A r p X N k j x J O b x g V f u G W s Q K O e 3 Z p C 5 h h d q n q d 5 5 7 C G s q i U l n i c h H t t f b m / n J q L 1 M 8 d o 8 o b G E U s B 7 H o I M H k X z T J C / p N 6 H H 3 t V D C n V N b r Q t J f D 7 H c t q N E 8 i z E S O r r Q R f a p 6 E e N P A + / f / s v W t z W z e a r v 1 X V P 1 5 w l 7 n Q 1 V b U 7 b S i R V b s r f l 2 N P 7 2 4 r M W H x N k 2 5 K 6 o z 3 r 3 8 v Y J 1 I E I L A h o h G q t b M r s 6 M t T 1 A 9 C w A z + E + y H p w E n 4 a s 9 O P 3 + 9 u T B 1 M N y h r g X w o T t c Z X p M 9 y r F 9 / G J E 1 q o i y g t g V 6 j 1 2 t P E 5 X 4 9 H K j d d Z Q D F S S W 9 e f 5 6 m 5 j 8 g 1 1 y m M w X Q L y K D B T W d w S b f q X L p u R s N K j R i y 7 5 c z Z j h n a D X u I p b K Q E s w g 8 x Z s U K 5 v 1 o a k 1 G 0 O K B Q r q Q 5 x e k y E P q V 4 z + S 5 r G t o c S m Y u F 6 e 1 P q h a z f s I Z j K Q k o w g 5 w B 6 s E 1 L o 2 Y v v 9 s 6 M O I / v P U h h k f u p f z F V B / c y 3 g d q g S b k i m c c I m v i W u 9 Y c K U n G e F u j b I E t / E I h 4 2 L O H c 7 W / 1 p / h a O l R G Z q j 5 d D O f t G s V m s j R e T c h S J C D Y n k B 4 J i N A i Q D M 5 j D r W 8 j G n 6 M A 1 k A h w d K l L Q 7 d j D V 6 O u p H w z 5 y H y Q / T G B S 7 j w E H E z z A P l C J + 0 0 B w v J D 1 r 6 K L p X j / K h o c x c W r O B m K j 0 F 4 P 9 8 Y a w a 3 F z G l O y a 4 F h U y 6 B h O F 8 P N h v x K i k F h l h d l V U L C s K Y y y v 1 6 u N d 2 1 1 F u t T C T T F v 5 F e t p n 1 B P F A 9 R 1 n W m t c x g 7 F i y S S N s P F D I T + z P 1 y P N r e a Q k O i T H s 0 D 5 r D G 1 f X 6 7 s 5 Q f 1 4 4 m e / h 0 x x B Y s Z M T Z a f g w l G V c + A M j I s g b l 1 W F 9 I 7 t f D x b C 7 j n I x X I R o v P f j / L q 5 u 9 8 Y Y u m G U o x m S O K m B X N L V M S p b / p L H p Q i A x F 4 d l j i S b V c 6 0 u + 2 7 G H a K o r K f E M E p r 4 9 n 7 Z 3 H 5 Z G O L p 1 r N F b Z C h p D i F c i p J M t W 2 b I V M K 5 J p g A y Y a + F c Y 9 0 a 6 j b s I Z z q S k o 4 g 2 z b 4 t 2 7 / 2 D E 9 T 4 m x O E y l w K 2 p h v A j Y x S z i p B p K 0 x S G n B J v 0 n g 7 F A i b Z e A o Y 5 y n A 7 s h a D b T f s 4 Y t R F l I + m C C J K P r y V d P y s E 7 0 h v L V 0 E 6 U 5 e v U T x w T P T E 9 N 9 z B r o V T Q n 2 U I Z l U 5 e g q j T w d o E D o Y k H u k p 2 i A 0 A j Y r s e z t P O M s p p C r N s 0 r o P Z f v X r / V p 6 r s Q X b q j r Z r o Q m S T n t J C f C D X d 8 m z X + 5 X H Q R r c S c m m K 2 6 0 o v 1 R h j x 7 b + O z 1 8 5 h K c Q T Q k M L Z k 7 0 3 b d 4 s D B j J 0 h 8 5 F 0 j E q 9 q W W s C + d z k Z A 1 / 4 l 4 n j 5 / F S D f 4 u U x F V o R A Y D L J t g x H R q n S z a g M P I H A O q k d L a 9 C K T Y r I e L c W e Z P 8 P F + G I t c F Z / X z I 0 M z x z v z p S F / M E L x U s m Q E P t C C 5 b v I B Q e p A q 2 b 2 e y J 3 6 y G Y + 2 s p E f 0 1 R N K i n g / g I h 0 4 8 A F 4 8 w Q k W X c 5 S j 7 A J B 4 4 J o 6 v V v J k n a 3 v V 3 f f 9 x + 3 9 y 6 + H G n O 7 Y i W Q 8 s F a G X l 2 u o 9 R Q i Z T j z Z Z A I 9 5 w D x Q L F d D 0 d q Z x n l N L 0 P 0 p F D 2 2 9 3 O U 1 D v 9 1 w m m L R b 5 9 O 0 3 i a P k j F l B f 3 G 6 M x h + u h K u o i i p H 7 q x A r R n W j 7 2 / k M 2 G z J 3 z C E A M U D 5 g t 9 I 1 d n / w m 9 u z h Z O 2 v 9 W c 4 X n q e 4 t P O O N 7 e 3 6 2 a r 4 b s 5 u M H h 0 I D 8 4 k c Z X m q 9 R S s c 0 k v v P 9 s S G G h f 0 P x 7 i g 9 1 m 2 x d s M e v h l l I e W D + f g h w K I j j j V + L l 1 x T 1 4 i J X 1 P b q 6 f / c W h j x p n m j X S p + 3 V v l + v 5 0 b h I L e U O 0 L s C e 0 I E N e d v H D 3 U f L r o 3 6 i j Z t X L S i 0 g 7 I 8 r q L f b t j D R 6 k s p H y U Y a b c W r 9 Q l y R h 6 N U a k g T Z q 5 2 S h D F J + P H + D q G W 2 1 v D V X / p I s e V x Z B t c d 0 t s 6 R k C j J C + N D g 4 c + Q 8 m Z A E u X 2 N i P 9 h j 2 c q r 2 l l H N 1 G a I Y 1 6 v 5 a v 7 J x H V w a r 8 n 0 F Y S a H 1 w c S G u M N 3 u 1 A d + o M d E Z Z W l e S k G 3 X T f r a 1 G 2 g 1 7 C K e y k B L M M F v w W v 9 X j W q p d Q t + Y I I Z k E u S C T Y h l 8 Z L s q O D G u 7 I 8 9 c u 6 T A S c 9 y M 6 B T k V Z 3 C + e r Q Z T + A + R E j Y v T n R v M Q O 3 5 7 t 2 M P p 0 p d S T l W Q a p r 6 y s o z b F y S I g j b R N E I 4 p o f X S H J o h J N 1 Y 0 Q S b h 2 P H o R j r d 5 0 7 o Z 6 f 2 s Q 5 D f z o T Q 5 q Z E Y Z k S j O 3 w q A V 3 N G c O O s w D A 1 2 w 0 M m G + z T Q z a G Q d 8 J 0 A B k H C 6 + X 9 Y 3 j x h S O L F t 6 R 3 h p Q X O F / U I 4 R o z e A H X + B a C n C 1 x L a 0 Q + Z U G l Z a P Z b t j H 4 + l s p L y W A b J t / 0 4 v z V L + 3 x 0 q g + J G i 6 U + M 9 m M A F z K o e + 6 x I B k k X r B + x c Z 3 Z n 2 0 F u N + w h m s p C S j A / h l g d n t 3 M v 8 9 X K 5 O s w d k b l 1 S 2 m l U U + n G O N O u O 6 B Z u T r M i E n K 7 c D 0 P m r L 1 W / Y Q 0 L 2 l l J A G a S 5 8 c X 1 x j 7 + o y S j W r e S v c A C C E o 9 Q E w Y T j F D 7 E 1 r T x e e A x k W F E i 9 a F v a w 5 3 7 L H k K 6 t 5 Q S 0 j D L f m 1 v 1 K V 2 G H q j h t p B 9 k a n 2 m H M l t 6 t f 8 M L 0 X S w L p 1 s e 7 M Z 6 Q u E + K 0 Z q U Q k l P U M D C v K M L h t S 2 d Q a 3 p I t 2 M P 5 0 p d S T l W l y G a 9 q L t v w 8 q i V y K E O G / K 0 J m q E H i l F L w P w G A D N Q g V N 8 X 0 U y v r S v B o S 9 i o J h L c M h E M R / v t t e L 1 f V 6 a b r b 3 N J 6 9 B m 4 3 B j 8 4 F O d 1 L 2 Z B i o O M / Q c x c A H E 0 j B b b S r 0 L r d e r j X 1 J W U e y 3 I p F 4 4 N R 9 v g E f E U g H 9 R s W q t Z f v C j Q G e O B T S f a T l A L t I N y c 2 K + H W M r f y 7 C O E k k P w 7 s d M + W T J S h Q p M J Q C U M H J 0 d F s S a f 7 s d n 8 p c p / A 2 o k 6 S 8 o j V e 6 s V m v f 6 y / L 4 6 4 h N z O q 7 h / 5 e 4 a 0 l t Y 0 H 9 f + 7 n v 2 2 a T 4 D X G 3 E q L u 5 X i + v F t 8 V 6 / + 1 / + 2 6 / 1 N V 3 v k 7 / t h / M u A I w A t 0 I 3 z 3 0 G 0 D B 9 Y V R I Y a k 6 E 5 z Z o j w A d f c 9 s 6 P G c / d d X Z j e n j a c P r 2 f r 6 5 W 5 + 8 W 1 y v R / T T E a z F 7 z f L R / J x p 0 I 3 B Q B U J 4 y w E f F L s R 8 Z N D m w R c U q K C l b 3 r 2 e / Z L o A N 5 g L + W O h z v o e D r T e 0 v t R v U 0 z D p X S / D V u C H o D + X J X y 0 M 6 T 8 2 t z e 8 N 2 0 L 8 2 2 z W d x q a F O v X b R x + W 5 o X e I u R f M Z B 8 G q 6 M e 3 d T S L M m 5 z W I r S p M g 2 2 x m 3 f N J u + J h 3 g W Y x 5 d N 5 H a J G 7 o s 5 4 q z S y B z 7 6 3 t x z z / f z J v 9 K 9 6 N E A e x v y f 5 x w W 6 1 b Y R b H d 3 c i b 3 d i J 2 d s w Q 6 l Z T Y u i B D L f / Q P I b A 9 x F v x f d 6 B p P L k F y b 0 l M O W K a U U p z I z v Q y 0 n 3 r 3 r E S 1 V + Z L t h 9 P + L P T w D + q l Z L k 0 F g d s z i a s e B p u 0 r Q o B l + X W 6 6 L K M w l 6 B V h Y m R 9 o s C n 3 6 + G R 3 F 1 H i W S Y L 6 S 2 Z e W C k u 1 b V g b 0 g m h Z T e C F s V d i A f 9 y Y q Z h T A s B M a s F j U Z S d L s D V R W z i O p h V D S w f n 9 U U N b x r k h 1 J e V Q n Y f I T 9 P D v z T j F Y e 0 U 9 / m 1 C A t D m 9 z G q R I Z J t z k i I Z j 6 6 e 2 K s J t X U Y B t y R Y Z I m c U f T J G 0 M w 8 v 7 j X G O 9 s b J 6 C u e x c L m C 2 0 8 K P N b T b U q m W H c j i x X 3 u W Z 1 n M 0 u V 8 P C c n u O s r d G a T R F 8 6 6 + 0 V W 6 T J D 6 z m j p W G I l i F O W 0 5 T t P F A 6 b U 0 N X m h w x P 2 s t n c / b 7 e f D L A 3 l 3 t u Q V g L 6 N 9 C n F k S 2 6 m T G Y l x l B F h h W 7 5 A 5 3 X 8 b j h L t + y z 6 O b v f b G Z Z S T m + Q 5 t x 6 Y W k N S 9 P 6 O a S M E C V 9 2 h F 1 d V 1 Q I S x d H 7 H / c X j H + p C / 8 f R 9 7 I v 1 y m R f c u b U i y y p w S v R a 2 H 8 S n 2 e 9 c U 5 9 g s z W p O I y q S V I O P F X c A e P 1 N i u 8 N H f r x C Y m c Z 9 S y F 2 Y E 0 o S i d W i w J k y V 0 f 7 C 1 T 6 K s S v s Y w r F D n o t B R I T Q A v M m g Z W 1 m 5 + / m M 8 9 h H B 7 F S W C Y T Z X 6 h Z 2 0 n z 6 u u i f 1 m d P r C / 6 8 3 r 9 i f G D 4 Q 1 1 d c i o m R l j M d V R x P r Z Q x y j M M p / 4 J 5 R k / + W 4 i O y + 1 a 6 H X v 4 X t S V l G 8 m S I e M F 8 3 3 5 q u s Z Y 4 5 V 6 Y Z V K F G V C K 8 J 6 g M X T + I u T J g 2 w g Y t U Q F H j B Y 7 n Z 9 x E f 4 d F h i N 4 q H P L X d 3 / Q 0 T v 5 5 0 5 h o 0 q + c V N y 5 q d M q p h 0 e x 7 W Q 3 e v S p B / g u s 9 E W h v 1 T G n r K 1 x s 1 8 e Z 3 F 5 m N 5 S n r 0 L U c O c p 3 C 9 I E 0 2 j z a E S 0 j f z N M 4 F 9 m l z d 0 9 n X U t X m z c L L u f k y N K / z M k z P Z f T p Z k 3 c D k N z T z J 5 Z y a e V t h 0 I o S u B S R g y i B o Y q U o g R T G T m G Q c / l 1 F x K L h e f V g J a A 9 C x v / i 6 f k F n k a C 9 9 + g X V E d M V Q 5 P S Q 7 5 G 0 / f L 3 j f 3 C H G t p R g l w e U M d 1 s S h J g S n l Z A M 6 W O N 5 0 U G P j B 3 k V I 3 t V Z i Q y p X 3 P o N + y h 4 R l b y k l a Q n S q O R i 8 W n Z K n k / p H V 6 c b 4 P T b U + Z F k K s 6 i g 2 0 P / p 4 S 6 V 9 B A l c A b j G f o D s U o i q C w 1 7 n b 2 l W F 3 Y 4 9 B F R d S Y n n x f m I M W 1 / 9 O D p P P 1 1 t b i b f z q 5 u m v u 5 r f j X 3 v 6 I / r z Z v 5 5 b X S L u 3 L y w U S A D m R q W e E u U y N h 2 4 9 M f s C U O C b M 8 C k y + e f W N X 6 7 X w / R 7 H 4 z w 0 p K N K 9 C d M F k z 4 h o G V o 2 z 5 3 U f h I B F w U / V e L y B R 9 6 q A 0 r e r f Y Q f E n e Y 4 F P C O e A 8 L J h o f f 8 f G a t O 1 v Z l h I C e b z 1 + M Z C + Z o n j X L T 3 / M j a + n G 4 s T X W l 6 b A D 9 a c 0 o W q Z 5 h i Q a l G k 6 N q 2 y g d 1 d 2 2 9 5 + D 0 f L 6 B 7 S y k h D Z L H q T f 5 0 2 S l D p n v i / u 7 p V H e 3 w m y k N Z 0 g b C T L 8 p W F H F Q v Z D O c D l 6 y X m O I k Z h z w K S 2 / X w w b S / l 2 E h 5 X M J E r L w 9 + b 2 b r 4 R V M e + e N p v G D 1 3 6 f Y l 6 Q y A C W k W 4 S R o 0 r N V p F t 5 x O u c Z D B J 6 P h 1 A + 6 9 G 0 B r m 9 J t + T 9 R B J 0 O a + / G 9 u E s 6 6 q 5 / 7 Q A 5 N 7 8 t g D m 3 v + t p 0 + y k J z c D 5 w T 9 K T s u n A m 6 E l J F 2 6 C n q z 6 o 0 M X r t b Y u H Y t I c r 5 J 1 G T f j v f f F m s T B B 2 t 3 w a d X p a 8 M h I g W K X J L 2 u P h I q N R n 2 j k h L V X U 3 P t 8 7 s V q q V 7 f j 4 W I 8 3 p O t r t Q f u O 6 f Q W b U j H R + W x p B D 4 6 i Q 0 z L g R B F O A 6 Q P g + S Y P B O Z j m Q 6 i J F v E Y 4 c 1 q D H t o N + 4 i m / M 0 M C y n B D F J w 6 D 0 U u v V X h t q m g L q Z I G c A H S D O U Q 1 V / C d a A X 3 / o p o l K U 9 p 3 g M g r J F h 4 6 a H 3 / X x j q h m M S W w Q d o h f w S r Y N a 7 c R 2 K g k A q C s j v d Z 5 t 2 S H X u Q h 3 D F E S e f C D c C 3 d j j 2 E V F 1 J i W e Q o 1 G 9 3 o 1 m N G r d W O z J Q y Y K A u S h i Y G w n S 5 p s t Z O G / i p 0 q U L a M 3 f 1 r e N o W X l i i p k D p B h A U l v C r D R Y L o K u g H u U g 7 2 q I 6 h / l H q 2 L a s + i 1 7 O L p 7 S y l n 9 y x E d K F + 1 u 2 E s + + K n T 5 G u t G b n H V P O P v x 9 P 6 I z W o r I / L Q o O a N R k P E + j 5 l U C N t M W K M 4 + n 4 S J R e y 5 C m p y C s 6 n o Z T Z H S 2 h U i 3 Y 4 9 n C t 1 J e V Y v X k 3 N g P a H z 3 c Q v A 2 q D l b N 6 Y 5 6 h s X + 9 y U Y o P h G h j r T n + Y / r 0 M J s T o p C 5 L Z K + i u h T T O O v G v t i u h 0 j u L K O G M U Q b 3 Z 8 2 z e r L c m G S L 3 P t z 1 I s 8 u A R N q E m 3 Z c f e K 8 i 6 J N G J c J m B w 3 E + w 1 7 C O b e U m p A X w Z 4 L q / u Z i Q v L 7 H 3 W o k s 5 m g 6 L f A e G H 2 L E e q W A y g 6 L W C o M y Q 3 s 8 H 5 y + 6 y Z d s n 7 a Y 9 K L V o F l N C G 6 R S y 4 / r j X C Y o g V v S E + v n I R U O Z Y l J W U J W S y q I m a n / X k F b C t G 4 2 A h p D u l / R v a b 9 n D e R 1 / P 8 N i S l i v Q h R T P V s v 7 7 / S 8 T c E 9 b l L a p S S G s U Y h K F + 0 P V i + 9 e U H y S o / N d F k U Z C R r K D k j 3 O Z O q 3 P P y e j 9 c B 2 l t K C e n z E J M j X r v 9 A U v 8 t H N V I G b 7 a z g N c a q O H m E a 4 l Q 0 J a Y h z t Y Q 5 0 V z b S T k u w E K 4 x k K e o U 4 o y 3 1 q C e w Q c j H F b g o 0 Q 3 K S 8 a i B x D Y x H 4 9 n F v 5 e x n W U Q 5 t k F D C K N I c q M 7 0 a K e / Z F 2 U d u d J Y O N F F q T r E 3 C c s k l N e W w T 6 E k o 7 W 2 6 E w Q H R I q + m 6 v B e 1 s H u u / m m j g o R H q i o I y B 1 r f l N I G 2 D s J A Q T E c N 9 m W m 8 7 b G I b H E Z p O q S c 8 y 7 i k / q + o K d I C K Y o + 9 U Q C E p U Z q g w s G 6 y b O A p o 8 n h J p 7 K Q 8 n q F m X J q u U S a l N P 6 P A 1 c o q 4 s 0 D 1 f k k s 0 U U z G 8 3 S 2 N H J h 3 Q q 5 Y g a c B q O T v E z L d E s F l L Y L K g d x g X i 2 n B 3 Z 0 0 v E d o c k 7 X j n a W c Z / 6 d p X 1 C V D j O o i F p Y K q S Q i 9 M B F 4 H 3 H R c W v + Y y l p B y 2 0 Y H / 4 a b L 3 5 + k 1 v r + P 9 V H i 6 h O s o i G x o c 7 5 x I O v E s z U S Z l C n t y D L G K S 3 L Y O j A 9 h e y S N Y o 4 H H T H m K q W U w J 7 L s Q q T o / 3 S / N d o Z O g w P s 7 g G w I G x c J T l G 6 e N A D 2 B 3 z L k t U Z d v U w r r o L Y b 9 h B Q Z S E l m E F C u 5 + v r m / W m + a z I O t 0 e h z N c n H 3 f b / F 5 K Y D L h Q G K 3 Q c k p R / k A 8 O c g 6 Z I G B B / s j L V r m V 2 t l u c j D s / O T F e s O Q + e a I W O 9 T z W J K d D 3 o g x 9 + B + s Z z p r k 0 K G q t v B B + i C / p p 0 y 3 j o b x a 0 W T l D M b K m S v e p B T p 5 W W F Q i 5 Z K g 5 F T X 4 B y t u 9 i q Q 9 H x 8 h 9 1 J e W b + f g h w E G i 8 M E Y 7 B 4 e w m x c / u I S U r T r E T n H g B g 1 P a B Q c T 8 d L v H z w w + T K T 9 1 I 0 4 i 9 v n s u G k P 1 7 x m M S W w l 7 8 E G F h 9 + y t z C G T f / u q U s X S F o l B C z 4 5 4 M z + I i H m S H x y B g t M 1 l n c U 0 x K X I A z t L 0 M U Z P t r C s N Y r j / a / n r r p C H J B Z d D T B Y S A r v o + 4 j J K x P Z C K b F A S A m p S 1 1 v P d K W U i 5 1 d 4 G C f P M W 9 2 c n Q O V O m n p d F w J k y J r X k + S r B B Y x g O l l 4 l 3 C c M g E 2 + Q N J I y 8 Z O k 0 V Y Y O l z 8 z m n I X M I w e M M a w i B N E 6 Y w j G H Q i 4 s / b d 3 1 D v m b 9 f L b j a G 7 d u 5 i q o L T Z o y m E W L H r f W U q K 9 a C Z x 8 h l s 9 E N 2 D R Y 3 6 L X v I 0 f e W U t 6 y I G 1 V 9 E g E l w F 1 j 0 Q w D K h F g j 4 N q M e z e 7 b + / f e 5 S b v G G d k D c 1 p w a j N R 6 Y o k o z 1 V i N p Q 8 i Y I 0 0 o K r m 0 b r N 2 u h x O l L K S c p y C R P X G X B + 6 8 h k 8 N x 9 O S + T V n 1 q H F d r n e 4 N U o B T j O b 4 X s 2 Z Y r 7 w P d 2 o u 3 + 3 W 9 f g c P G P O i Z c d / F X E r v N N 1 a O I M o m n n u 6 w X T 9 a K c f T 7 P + l 2 f 7 L d a f 5 P N A d O H 9 n R 7 s f 9 Y C t h / D 8 j G H L N q u n / B c f u z 9 N 3 E C 4 Y v 6 z W X x v T w + 9 G q c p n a C 5 h w p q K 9 q q Q X + q u q D g B f Y i g d k G r v v V G s L 2 k h j 1 7 u K f 2 1 9 q N 5 m m Q t C q 9 Q L I m Y 7 R u n A + J u w H G I R P 3 C c Y x P v 5 6 d J p L / T S 0 5 w z 1 k 2 z P T f X T G A Y 9 G l S j U 6 1 / 0 q x s r S + a R 5 Q a / r H / g l o f P q Z W O Q S 3 J E 1 q Z B p a w m K b 5 q U z B K 2 Y b / c e B N a u E n K / P u 5 P 8 X s Z 1 l H u z l f / G J + 2 9 k c P P 4 7 e K K k v 7 q + / m J S O n H q 5 l M H 4 9 N Z Z B O + 0 H U F 2 r 2 G Z z + K I a V X v E 2 T P o p H 7 H X 7 D x + v m 7 q 6 j R D L M Z q 4 W i u + i t 9 E X w A a 9 D V E A T 3 o b 4 + W r J z G 1 H I m d G b 7 D 5 R v V G s + J z q n 5 y d b Q j t p c P q b h L T d 8 T f I t n z 6 n r c + p a N O n n S L c i a / W F y Q m v l r B g G b i q 2 0 N a M 5 o I K y / G B t b r i q + I G c r t K m A J G d I o 3 d i K T + A 2 x P e 3 A N O 0 7 Z m 7 D f s 4 a H c W 0 p 5 K 4 P U 8 D 1 r b k 1 J j 5 v 8 f T y r K f R h B i c 1 o R t C i V K z + N / T u q w F P M c e c i U 2 6 y O Q 2 8 s o Q Q x S 9 j 5 O N Y T h 7 G k L n X 4 U Y h o U O c m x V 2 D q 8 Y 0 W N t G C T T 4 i 9 I B B J A C 5 S v g + 6 P A c A M P u t + z h k 9 l b S v l s z k O U Z O e X L Y v T n T c 1 f 9 q m 8 / u b z f r 6 y 1 d a z 0 a e s 5 N N J x I F o A D z G A h g k o u P p + c 5 Y 8 u Q U D 3 j s z H W z 3 a w 4 O 1 t e / h 8 t M s p n 1 C Y 1 p 1 a 3 I w L D 7 P n 0 q Q G H q b E z U w 8 z D E 7 v p z T y T d J g L g J h t Y z x J e y f F A d 7 G H 3 C G o J C 9 z 4 c I P w d s M e T p a y k H K m g p Q L f X 1 / 3 Z h y M m d i T I X n Q Y m r a c e e 7 T u K m X B B g F W R F 1 V q L X M n N + s h j r v r K G E M k h O j B 0 q 7 D A F 6 o L R h B i C A 0 t M I Y L w Y s Z z a m P S u n P K O p J j R k w c e g A Y d n m 1 D 1 l E J 0 1 m 6 8 3 m f d t g W q 3 K 3 H g 7 T 7 j r K Y Q o y z 4 g T T a c v 0 w w 2 H b q J P + P d 9 C / T I + p m N x X P M C T B n A i F N D Q o G X / 3 k J 1 8 h t 0 f 3 i R 1 6 y V / g K C B 3 L C H 7 6 X 9 z Q w L K R 9 M k H Z T k T Y x 1 X w w 1 s O 4 I T E 1 T M J l Y j p N w s f 7 V w / o d g n D A O g 2 h E E C u q c w j G G 4 W K 8 2 a x M a 0 f V q y 8 u o z I u a A j y N M 2 G m 3 S a V J Z I T E K 0 j / A a S T n L C r v 5 u N z z c O M e b b i o L / S m u N u 1 4 0 4 X 8 1 Y 8 3 D d w v M d 6 c q F / j i X q / X i 9 N B + r i v Q P u I 6 t m B T L k R S z 6 5 L Q 9 e + R c j K o B 2 U M E w L c S R o b W L H e 5 W w + n a X c d 5 T B d v A 8 Q 9 a E H 9 2 q q N I f E 8 u V 8 Z f S k v X A 0 X Y J c g f h B x P c g v b K 6 r w U t m l J I X + C G S W s U t G V X N j 7 / J C l X / 1 r c L t Y r r Y e W 3 K + H r 2 V 3 H f V r e R P g 1 / L Y t M w x k M B h E R U C J p R v q y f X m E X z i N a d X o l 9 f R D C u C z E K O q d 8 z Q P q M O Z v 1 i s 5 h u j x 8 G Z 0 8 d S o n F A V s X E j N P f G r 7 I l A s w 2 Q y L a v 4 V m b x K r Q v b 5 k O 3 Y w / n X l 1 J O f l B m q 3 p u 3 k u h U z f z T P U M a K b N 5 U x Y 9 K l x 1 W 7 B K H H l w h p y Y d E d i U W a w r D V h i 6 G f H O 3 D h x 8 U T K u 4 r R 5 I m U 5 / 9 1 k k y e S F t h 0 N a B b Z 9 0 B / 1 o 3 e L q 6 8 B O E 0 2 n x C L q w P g / Q b Z 6 E C F + y A + e n k e l 5 x h o g u C Q S + h 7 m R q c h n W g h 1 6 m g d E r e 5 k T p X f r v G l t G T T X n k O o r + Y U Z + b O g p s 3 F n Q D o f t f R a h a 0 q g T m p Y y b 2 S U D + g S U 8 F W I s 1 6 / t t v 2 E P a u L e U k j e + C d E h S w 9 R f 9 q P 5 r G q 1 E m / g X I C k y 2 Y n H R K O i f u 9 o O h K k 3 y N K d P V Z e y G 2 V b a I R Q l l 4 G 2 F y 4 W n + d b 2 7 n d w a E p Z N g H h w k W k R w s S E h 4 b r e P f Y / C L m 8 u E j o D 5 X C C c S + v d D v 1 8 f R 7 3 4 1 w 1 L K 0 Q 9 S K e 9 8 Q 4 P N E E w n 7 E G K a j G y D 8 K 8 B Q l q y I B D k z i K Z v z v a Z 4 m e K k J L Q j b c y n 3 O / y G j z d y 2 V 1 H i W S Q 6 I N I W / B o k j z 7 B K w v e A y p t i x 4 p l x 7 K w H T F j y a t 9 Q 6 D H 3 B 0 5 2 R h w q e q e o c g / B x / l v n I X g c c 8 g E D 8 g U / 9 Y S l Z A a R e d e N o J x B k L 7 E Y q H a Y d d t L 3 X u h 1 7 c I Z U V 1 L u t i B t I f U k g K d t h p 8 1 m 4 4 l r 9 U E v 3 R S d k b 5 G / x d k f d y v 8 N D i C d 6 m Z V 5 T b 0 T C Z c z 6 5 q m 3 e 7 J G Z u V / 3 H E d s f p / l r K R 3 M Z o r q z v i P h Q o o d O h I G U q z s S E y k 2 P E u / v V r c 7 d Y L k 2 Y R W c N n 1 p Q r h g j S z m x v l s Q x w L j C p a x z D I 6 B g c U D f 2 W P e S Z e 0 s p J y t M B R 8 t p V 1 D q H F o M s G w 3 e d 9 R Z p 0 1 m G N H + f L O 9 N 3 6 V b 8 k A s w 9 Q R j n Q G a R b a / v / P r f I b d J X 5 h q Y D H 2 J e y c r c e P s n d d Z T v M c j S 5 2 x 9 e 7 O + N p P 3 3 A g p K K N E M R 0 I 5 t k l i q C C j t + C B 2 E P J 0 j 7 p 5 n 0 b 9 E L x W n x K 8 O e P U R 0 f y 0 l q h 6 4 K f s G V b R 6 s F f n v 5 J O f W 0 A m w t K N n 8 + W B p 1 l c / j o K D 9 f 9 H j d Q j 2 1 / L / S z 3 c J k X f J d C w s K 3 L 0 2 E s G j 0 8 n Z Z d g u i I K e o h 8 7 U 2 T I f 8 j a e f y O k L m q d 9 3 a 6 + L u 5 M y o k X V w 7 o z x R L G l z k K t S R 4 w o Q 6 H g j 1 r M 8 4 p p M U 3 g k / G s K i r w d n F r u 1 8 N t u L u O c m g v r g J s u l + g t 3 l 7 K / m W 1 9 r i 9 I O T h Q N p M s g 9 Z A 0 q L l 3 c A n u O W F n O M l i W B D K r e j N G u 1 D 2 G z 5 6 Z a o s p A T z Q 4 g u D h 8 h + 8 1 N L X f X c 0 l j S l g C p n G c E 8 s + m B h o Y t D B T x D r 6 0 m 1 d s F s N + z h Y C o L K c E M 8 m S + b q 6 X 8 0 9 G j L 0 r g j K v s O 7 M O 6 n s v r a t E 0 Q X I 3 x S g d p L G G 7 X o n 8 8 R e p 2 7 C G c 6 k p q P E N E 3 Z 4 1 X 7 / 9 N l 8 u D R M x t 7 u 2 n C W k Y M I r u o N K d 4 V E W c O 8 L D I c W 5 M 6 E Q R M 6 2 e z 3 7 K H i O 4 t p Y Q 0 y P t W n / F q m h W H Z 7 w m 9 Q 8 B B J z U P 8 Y 2 o N 7 w w a X w 6 O d i h r p D A A G n s m M M w q v 5 8 Y Q G 0 g j x O 3 p d i K l n k M L A H P a o r R p q S I T D 4 Y H Q D b F Z D 5 f a z j L K h R Z k t + v t e v n F 8 D 6 9 d 0 F S p U D v Q G r Q 6 c K c o 0 q H N l c 2 I 5 d M I 3 h a 7 f t k T d M S m / U Q x J 1 l 1 C C G i K O 6 W G 8 + N 6 Y q 4 K P j v D F H d T v n P N K b b G l 1 s l 9 Z V r M E Z Q d M Z g V M 7 o D i v N 2 v h 0 g q C y m x D N J G F n r 2 3 W c B / v p u O J Z u 5 P U E M 8 U I m 0 X y w j I F R z U c z I J 8 E p s S l D m I 8 g F Z 4 7 h n L z H t f 0 H D Y k p c g 5 T n e M E D t D C X 6 u c O L T T s 3 8 G O M L f M O K R V T k n Q D x U K G j L A V q s s T 7 A S R w j L t o X W 7 X j 4 L R + v + 6 2 u p M T z T 6 R A q g E E O I w U 9 d W G Z o 3 D q w 0 T 6 E B U G x P o Y E x 0 3 y + + m c e B r l l S V u M Y V P C f F Y n S 0 D G t Q P P w v F Y t 2 P W Q + 7 j d s I e D q y y k n N v 3 I e Z K p J z 7 U I D c 5 U w l H W A v N 5 y p B F n 1 f D p T 4 5 l 6 s f 7 j q z F l v f z R 5 T U s q D x Q x i 3 Q 4 O 4 V l G X K i i 0 b x Y c o L Q s o 4 2 1 H 2 6 5 x 3 W 7 Y w 5 l S F l L O 1 O W P A Y 6 U z v 9 f s / l k S l f f O c Q y R X K 1 z g o h D 8 P d O K p k 1 2 K w n w J 3 j N I C T U L r n r X c r I c 4 7 q 6 j h P H 5 u w D D q M c 4 a u b I 9 u l G d z U K 0 p 0 4 Z j q 4 u c Q 4 T q D / 8 W q M O t / p H b J 5 r B H o s Q 5 D 1 o W h F 8 T R h S H j h Y o n I d U x D F d / N A t T T 8 X V 9 S O r i q J E 8 i r J A H O P i I d 0 B o M J / 2 i o A K A h r G 8 1 u V s P t 9 r u O s q t F q T f x y 9 z 0 A 5 w j E 1 z 1 V f / c H m g y h n c D Q F 2 U J R p c H B h n l r V w s l B 1 t 6 d 2 t z j c 9 V h z x 4 i u r + W E t U g v e v 0 B i C a Q Z x D + X 1 x v 9 k 0 p j b c h U t 3 P M P f J 4 G x C N w p Q j K y J 6 c C 6 E U r N 8 E 6 r x Y q y w e I m L X b 9 f D F K A s p n 8 t F i F X f m + v 1 y u j h d H X m c g N k V O q g Y 9 C T j 4 s 0 w o + j b 7 6 l j L E Q x c 6 r + q A G e b t d D 6 F U F l J C e X U W Y J b 6 E j c u Q 6 3 h + i w D R E y I V w q F a g v w B K I C Y H G c M 3 b s z O f t q k a x W Q 9 h 3 F l G C W K Q j / L 7 + w 1 q c Y Y w X j m V / 7 A l k K c v G W H I 2 n C k V J Y z e u A F 9 6 o U 5 z 1 g x N F u 2 E M o l Y W U Y F 6 F W P 5 / b L 4 b s 6 t f X Z R h c Q R m q J G C 6 k f u U 4 I Q u 7 s V A 4 J Z T e 0 P 1 Z H 8 S q A Q b Q c b c r 8 e Q r m 7 j h L J X 0 P U h n 2 + u t s s v h q O p Z s 7 X j 6 L a O V k 3 K B Y P A M 2 7 H O e C q B A W Y M Q Q A Y U z I d 1 I N v t e o i k s p A S y i D n U / o + t 4 u E 1 t D n N k h o y T 7 3 J K E 1 d h H 0 z R w n A c e + m W M S c B T N n E n A c T s M O g K o y 2 n o C z b D Y c h A D E 5 n Y Q y C X j l Q c x Z c a n b g M 5 v 1 r a l C c J M h r m Y U B v y b 5 O U g N t R N l k B D F Q g R w z V O E Z y q r F 8 x g Z 4 R W / b w j u 0 t p b x k Q Q o R 6 8 n b m r P r 8 N m c N c u b 9 b 2 p 3 e s G o a t m F e 0 B I V r V z v F 7 v i 8 N H r g 1 5 L A H U L e 7 v X r 4 X N S V l K 8 l S P z c y 2 b V K a 8 Q z 7 v v s q u z M 0 l x r S y F m C T K K 2 W y A 9 a o S x w j S 3 j b t P Q K T A X t L Z 7 b D X u I p r K Q E s w g K 0 u 9 V 0 X 7 l D P E + t A s 7 + c n N 9 f P / u J w 9 C 8 W n z 4 t 5 7 f z / z W V P S 6 U y C y B + Z h v M e V a 8 C x y d j V V T 4 K Y J L T I 5 I D 3 o t + w h 2 9 m + O U M a y m f z U W I r E h 9 7 a N R e L K e o A 6 1 j 8 E w S N Y + k 2 P Q m O + B M d 6 / f i P N w 2 0 d B m G R L E 6 P I e l O y y n p X q z G I O g H Z U + b d C O t q g m 0 C 6 a u r 6 4 M k D p R X U 2 I u j H Q 7 9 Z S f u j i f r W 4 X n x r l l p u / 8 X b / T G X / u 0 8 / d u + y E o C e C 4 V t k s l v s l 5 z 8 k S N J A a 1 e c i y x I G 4 b q 6 J 9 Y h T i 6 a T z f f m 5 O 3 m + b T / P b m P 6 H n c X r x 1 n 7 A d b 7 6 t G j G / + 9 P L + N x d f / b c n 5 3 Z y p d P 7 r g F M h D S r Q 0 0 L a O y y p p 5 Q G 7 0 r U G S p e V F L X I E s X k I r a d 9 H 7 L Q 3 Z w P I 7 A 3 l J K I v L x H 2 N s 2 h 8 9 K M p y + u t q c T f / d I I p 8 N 3 8 d v x r T x / S M 6 E k 1 f x h y C z d t O 0 F h K B A U 4 O a Q 4 6 d B 3 2 G f A Z c U o w y I e B J u T r b i H Y 7 9 h B Q d S U l n k F q 2 7 9 s v s 9 N R v W X f 9 + / X q 2 T G 6 F W j p I b J x M t N 4 Z a A y 8 r j n B S h g V L L 1 n K e v Z A 8 8 d x R H K / H m K 5 u 4 4 S y c u / j 0 c s n J O J c M r a K M 3 g p p w C j A + y V V I T S H T e k H v r E S F c t R x M + L C F 8 D K T k i p 2 U A J 0 U 8 W O P U R T X U m J Z 5 D a K f q S T 9 M p s D 6 O Q 8 n H l P I h 7 L I s + d L / R O r y 4 O N 2 y A + e / s G L 8 r b K 3 u m 4 l S 6 C 5 X n 3 p g m E 7 E N h y L P / O i k n y f K x F i C z W Z k p a 6 + u H F 6 q t B S + G k L i q 8 V e 9 I g M 3 i k h U Y p 9 C v Q a f t h V b 4 + / U 9 1 + P d x t 6 k r K 3 f Y q R M U 2 P S / D R e 2 k B y i m B r k T y c u Y 9 E 7 G Q / V i C S H A V J 2 5 Z X + C z p S U i G V U e J l s s f J r M o a S o Q M a D M K U y F 7 L q d 2 v h z O l L K Q c q S D T v 9 H T 4 e y B M Z F b M C M A T Q W o N a 7 J 3 W A y P g b Y n T L T z I V V T c / I e f y K 7 J 0 W 2 v 0 e M e U 4 V V f 6 M 8 Q T Z w 6 T j I 3 b y B + / h b i G q C M Q a 7 B K h 9 c O p D 7 4 / C S r 0 6 q z I b f L 5 M V m P R z L n W W U I A Y 5 6 K f u + J c R F O z K t 6 i Q N 0 m q F K J O J D T + u 0 D i s 8 I o N + c H O L 5 l M K + s 0 5 Z 2 w x 5 C q S y k B D N I x o V e o s 2 F x d j F S 5 A Z H y o E h E T b x G E c U x Y 9 4 k o T B P 0 M 4 O S v p 3 / 7 q x y y 8 8 / z 0 7 + d n 3 x 5 9 p f / F r X d 1 o D p x Y Z a Y z k 3 8 a R + d h m f 4 / s W g 6 f A 8 p 1 2 i a B G 0 p 3 u 4 T P Y v t H k p J 8 N y w 6 A j W 2 T s 9 + y h 5 O 7 t 5 R y d n 8 O c X 4 e 6 + Z 5 i W a e 5 / D Z f F y v T Z I B b g 4 L Y C s K l M T h 1 4 E 3 R y l w 6 L 6 l s w L A R Q W / 5 z B C l t i t h 6 9 l Z x n l S / F g q / B v O A B o 1 V R c J A O G t l s 3 R 9 R N D m X b b Z I M G O 9 5 P d J C c 2 C t u 5 8 9 0 q L L h X R R E E i L a Q A / B u H 5 p 2 Z h o r R d u I h 3 M x x i A I S + G w N c / m M U D E C 8 u w B u j E o q m m 8 H u R L L / X q 4 1 H b X U W 6 1 i x C F u / V 4 F p d b r c e z G C 4 1 g W e Z 7 r T x O O n F 7 z S 5 q / W d N p j L G C o I a S 4 z l R B j G F 4 2 m 6 V R q M t N O 6 P A S K K o A A + l S S S 9 B / r k P p 0 l w F S Y j x 4 o 9 N z u 1 8 O 1 p i y k 3 G t B i m a 8 b o z U e T f n R N B F N e G K g c B n w q u n L 9 P i B L 8 z L F / Q Y a t q 3 i l B x r b r k 4 n t e g j k z j J K G I N 0 T H y 7 M I b x r U u 1 j Y 5 s y l F E f w S V P D F w 6 N i G P 5 S Q d 9 O 0 A l D U m 7 7 Y h l F s 1 0 M Y d 5 Z R w v g 2 y C o 7 b R + z n V l 5 / L Q S N i / n m 7 v f 1 0 Z x P j f B j A I 5 f s p p m A x 8 M i 2 L o a U 3 F L O 6 E t 1 W R P x b w 1 T b z 6 X f s o d P Z m 8 p 5 b M J U j p D X + u 5 J K d 9 r W d I T k W t N y W n Y 1 b 0 Y v 4 I v s J t V I G p K / J v T J 2 Q 7 R Y D i V 6 h n V E F T p Z V k k d S u D 2 2 Z 5 m 1 G / Z w p p S F l B M V 5 K j i p 8 X t j X H u 5 G b d S 2 I E E B D P r U 7 0 g m P W w a 4 j w S W O A N K 0 1 N A O 4 f T 4 L L j d s I d g K g s p w Q z S 0 E R f N m r 4 L o e X j Q b B B V k 2 T o I L 2 x f k 5 r P R 7 e D y F w c A G t 2 w O g d m J r S 6 W v Z k d 6 Z K E P E 4 t O N l F + G E E N t P h O Z i u x 5 O F F Y H 2 w s p J + r y l w C h 0 r A l 1 i Z m v N u o R v o 2 w z z J K z T X W s x g O 9 1 D w 0 u o 6 a G M K E 2 y 7 Z E y c r 8 e Q r m 7 j h L J M K c 1 W m V h T c V h f T c O y s I G 9 z q p L D y 5 1 4 1 3 o 3 6 8 q s F z O o x X f 2 r u / 3 m / M G Y 1 b t 6 T + P y m V Y 6 x D D D f A R O F y W 8 l m I C Q 3 Z H y O m Q k 3 + / X w 7 n d W 0 o 5 u k E a T 7 5 u 7 h q T / / a 5 k 1 4 i X V i Y f 1 A D a 7 J U 5 E t 7 H l k c 4 x 4 k 1 K n p C a F K W / Q g / M d T V L l f D 8 H c X U e J 5 H m I a o l X N / P l b y a 0 j K u b D H G M A T g k r f F F X z r i J l M J 5 i c t 2 C q n G W u P c m s 3 7 C G W y k J K M I N 0 k + m o U g a C p 9 P U N 6 1 n m R C V y r l R C Z 1 U l Z H Z E Y 2 A P I L h C V C 8 1 b 6 0 r h 2 7 H X s I p 7 q S E s 8 w J 7 + R R s k g c 6 k e e 9 S i o X g U q M W p d h z z o 4 + L 5 Z f F I y p O b u x M I I X 4 K 6 D m X N N 8 i a r + j s R S B t 3 g g o 7 b w Z K y / Z Y 9 n K v h 1 z O s p Z 6 s I E l M 2 t r D B a I 0 1 B 4 G j J K s P S a Q 0 t b Z a u 6 / o L b R G F 6 s j 0 4 + l C j e g 7 y E r Y S n n T S 9 6 A f 6 6 D h H W J 0 I k 0 o G j B A p b A d C H 7 s t D 5 / 7 8 U Q m 9 p Z S T t b H 8 w D 7 M x 8 W j 8 w i n B o 0 p C C M G + o k J W O k 4 p M 6 Z W 2 D R s q a J f w J 1 + h B V K Z 2 w x 7 C q S y k B D P I F s 1 F s + F 0 G o U J 3 A Q M I S 3 l Q n s A X 4 o 2 n t 3 5 R M A w p 2 D H E R h J d Y G y 7 6 a B j 5 d 6 / Z Y 9 B H R v K S W k Y Y o Y a t H 0 m q 6 b Q 7 v n x 2 b 1 r 8 V y K d i p 1 1 r h J 7 d m T 4 G R k f C k K W r B a R y x P d h i Z B H f E j W l k L o 4 o K j s N 3 x y x n a P y W Z U F l I + m C B 7 P W / n q 9 V i 9 d l M 4 H c b M F c I y h S o j 9 B 1 5 x / R 4 B Z d Y 7 Y o z L + T 4 l B P 9 3 H T H u 4 B z W J K Y I M c N H / 8 v o Y 6 9 d m Q e 7 l i t / K 4 A o Z T Y y s n o j h g t 4 g q T d m M j k F v o W m H w O s 2 7 C G i 6 k p K O I M E c L 1 b X J t a s k 6 2 J + D w B H W c q F V 1 i p 3 7 g M M D F T J j t M n s E 2 9 o Y e h u P e M U 2 / U Q y Z 1 l l D A G a X r y Y o 0 3 m O F M u n X w K h A 7 i H d h b N I h m f t 8 K 6 E e q o u I l E t S 1 O z 7 s X K / H g K 5 u 4 4 S y S C 7 d 6 8 W d 3 e L u 8 a k 0 P b R C R y L f R T K H A y k J T R W a n G 0 U B 4 w z q h + U / G S X H d T b L s b t t + y h 3 j u L a W E 9 G O I I F m Y + h I n s g O S 7 f 5 s R w H c e m T d w a 8 M Y M d 4 w j r u E L w f x T q 6 E N v w 9 0 p q P N k q n r h k u 7 / A i A M 5 2 Z o 3 j p Y R X F 5 7 f y 8 F g n i 8 d p G y k H K e g r w i M S 7 Y P 0 9 O A 4 6 q 0 + T O D B O O C v j w N O L Y E k 1 4 P 9 9 s 5 s Y u j 6 t m Q o l m F L q T U Z x S E v R 6 X z 9 g S Z x R G S A l i m w s l b t t D 7 b b r 4 d X S l 1 J O V R B 6 i W c L e e N Z P 5 u 5 v N j y h B B l K O E y y u I c b g P 9 d U d h J w Z 2 t t 0 1 S u h k n G A p p T c 9 8 m Z 2 L W H y O p W U 6 I b p C y R H q 6 l I V w 4 9 O 9 e t W 0 B R n v L R W M y Y H T r 4 2 F S Q 9 + 3 o o b M M a q R S k c y f w W 3 F V W 8 w H T z W 6 9 i 6 6 J S b P y k 2 7 a H b 0 i 7 n P I R B d n T 0 / s A u u j T D u N P g z 6 t H H 9 O + r T j + P P n p T A b M B T 7 P 7 1 2 g K U n k N 7 y A g c 4 M D s R n I + h a V M B O K j E f + U Z r D h U H L t c 6 f H h S r t h D y d L W U g 5 U z + 9 D n D w + f b + b m W 8 L N 1 y K A D o U N A p P S j r O + x j O / g U y P S k Y v B x q F 5 c u 2 E P w V Q W U o I Z Z A 5 F f b d f m C S a V 9 a 6 0 B c F o w h Y Y i j 1 U 2 r 9 Z C I 2 j h f k 2 / X q W j R D O x u Z x X o / K G / f 7 V + R + t R H 5 y E T i 9 F T l E c F J X 0 h 8 t g u S j 8 U x a y I M 0 R s 4 P Q I O I H 9 H S n 3 f M w Z Y r f A 7 j E 6 R G i 9 + 5 t v 7 6 F j r 0 / o k K / H 6 / T p R d j f L d Z E E F X e 1 b X 4 H x 5 S u H U V R Q X 2 A V o 8 Y 7 L U e c a 0 r d C I h g 6 I 8 a J X e 7 B O J d n 2 S b t p D z e k Z r H d 8 J 4 G W Y v o 0 0 g X f f 0 h j e z w W D q l L 5 l G T v r 6 4 y 1 5 t l k L U 5 + P 5 m G u 2 4 i + w D W S 0 T x C h i 0 L v N c w r A X F E c x q h 8 a w b u G I P V O p U a 4 d X 0 J 6 f y 3 l c A U 5 n s f u 9 t M f b V c O 7 W R I 4 f t v 3 2 u X 8 V G a z A D S g a Y j e L 0 S j r w z 0 X C D a c O f Z 2 g Q V + 3 g 3 m 5 8 1 G / 5 p N 3 w M R / B v a W U k L 4 O c X x 0 J a W r I N 2 u m s 2 n x c r 4 H D q F N s P g m U Y R / R N A N a U c V r T P I Q w q 2 n V Q N f j v g x h U b P 1 k 3 L i H Q / v A g k q Y z 0 I M 8 1 l z 2 x 3 c h 5 I d Z 5 U b 4 h o P Z O S e M A D + D b d 3 + I 9 C + q o L u + 3 B l T v 2 E N b u d z O s p M Q z S I 0 b c J 5 m z v m 5 y 2 G V G l c 0 z D O B a y 5 B R P V 0 R 0 a O U V 1 n Q u f q Q C X 4 d s P D 7 / h 4 I 0 d l I S W Y 5 y E e z l + A 1 5 h a b m 6 x 5 O l M k J h D J Q B l 5 6 i b R f 4 A k 4 f B F 1 C N O p d S / / Z s A 7 l b D 4 H c X e f P E M e o 0 n D j I h d u X N W R 4 0 y T Y 8 h x E z d u r D z 0 b T K N d s D h b T K D F 5 R s k 0 1 e U G M Y L H i / L o R 8 S D e I f t U g P C W O d w S a i U F d g r 4 m o q k M g z P 8 a G w n + C o b 9 3 h P l L q S c r d d h E j K 1 8 P M X K z q u 7 a m w a m e 1 n N + x I L t 8 P 7 k I X / j 6 b u W N B H 3 6 + 1 Y 0 9 r S 9 5 q t v E r 0 t 6 f L F H Y Y M h i m s P L 2 n K a w 4 + 3 5 c 7 P 8 1 / z W z G 9 x 0 t x L q M v q q g S J i y q + Z D 3 0 q O t s x m Q W q A M p v p C b s r 0 9 h x 1 7 y A z 3 1 1 J u 0 C B 1 9 1 6 v / 1 i Z R + v P X U b r 9 M 6 E w Y F Q S 4 T f U s B 7 6 C J a M T Y i x 8 c C o d U P t 8 / 0 u x 1 7 i K i 6 k h L P 5 y E O 1 / V X p e Y 6 P j z R N E w a 5 F U 5 T R r G q / J i v v h s K p 5 d u d 3 0 o i M K O 8 S f 4 i I T h r 2 y a 1 n R q R b 4 s B j F p 1 7 W 2 a 6 v J f f r 4 U j t r q M c q C C Z 3 W 9 W t 0 s 5 N T p O i z K b M T e v 6 X g w f N 3 u a V E x Z L B S C s z m o f B y q q 1 1 F 9 o N e 4 i l s p A S z C A b l K / g R B h G 6 + + c J D S g / i H v X O E 4 m k p W d X 8 q y 3 g G L 5 + 8 h o 7 X Y Y w I s V 0 P g d x Z R g n j u x C l M 8 7 W a + P l q k G 6 W D 9 3 W c r g B 3 R E L l R P C q D 4 f R i h k M 3 w U I D z g m 9 s 3 P 7 A 7 n I V 2 / U Q x p 1 l l D A G a Y j x M w j 2 1 R 9 m Q 0 F X w 3 u q C b C A z P B i h S / P I Y W j W y a 8 l a 1 A m 1 0 s h z 1 7 C O j + W k p U g 7 S 9 f z 0 3 s X L d s J 3 x r C z R / x K O F T j T p H k / 0 I M f E w P s h D t T t h 7 B 1 v 0 1 d u s h k t u r K D E M E t X 5 D r z J 5 / X S 5 P T p N v 6 J k K F l u M 7 9 i u a 3 0 K I d C / 0 k o w d Q Y Z c B V S Y t u 0 b c 4 4 j r f s s e o r m 3 l B L S I M d 5 + F 6 B j V m v f r v f C C W L Y 8 j N V I K k B k m F A a 3 w 6 R Y p q y x L y m r G c c 1 Q R C i F C 0 Z l n 8 t u b / r o k j O a x Z T A B k l R 0 f O c N P M 9 h w b s x X q 1 W Z u u d V c B l E i w m 4 o 6 B p 8 f M 1 Z s P 5 s c l A Z j f R K v H D H j A 5 D F 7 X Y 9 3 A T K Q s r n E q T 6 y c s 5 Y g u r z 0 a J 8 U u X I V g G A h J 9 W 3 D E U F i F D 0 5 / t 8 c R 0 n M F q V g L P I 6 F / L h d 0 j X s 2 U N I 9 9 d S o n o Z 5 C A s 1 f D D n Y b 8 v b u U Y c g v 3 K W m I f / Y 9 O O S 2 h + F 5 R o u j M N N D J N y N T f K k P / P P s 3 D u v g V A x g e b y o i e K Y Z / Y q e 5 U G j f o Z H J K 8 6 C k Y J m Z k 1 P a D d s I e D q y y k n N o g h y 9 6 V Q e X Z v 2 g 6 m B o 1 k t V h 6 l Z P 5 5 b P Y o g c z h H 3 b H p D o m O m w G K I J t Q B A t x S q / v k m c f b + b z p T E n c W s c S K R + z b X G c G R b Y o + J C b 6 3 O X 5 F N X 2 9 Q 0 q T b s c e L j Z 1 J e V m C 7 K B c H X X b E y S G q 4 Z Z o X e O 0 2 C G K U h U V F 2 F Y P I M A v 8 + k C V p j S K M B m z z T D l f j 3 E c n c d J Z J B Z p Z X f z S I + t M x O L + F m f h p P 8 F 5 f r V / U e o T H B 2 v 9 A d 0 E f H + Y 8 a F o i k 8 + y j q E Q J U f D C m m H H W t P a k V 9 F e s R D r b t Z 2 w y f t d v 8 T V + y p s o P d K D + I 1 j p 9 / n X O Z Q h 9 5 K r 5 u m 7 s m a Y / z 9 f v 5 r f r 5 f 0 d 4 P u T 5 d 2 z v z j 9 U p P / 5 C / V / L s z / / T p f 7 N / 3 f n V 3 p 7 + 7 a 8 f m u X 9 n H + e n / 7 t / O T L s 7 / 8 t x C 4 2 x K I u h B q z l J T a H 2 / u v u + f 1 p c V S n R 5 q e 9 1 k / + + / Q c J l r G n L i G / 8 B c 4 x A t o X b D H m 4 + Z a H d Q 3 E a p O j a 8 + X 8 f 7 n y N g t h u 3 C c h m m F y p c Q 4 i 5 5 z D D w 6 j t f Q t c H X k S Z 0 R M 7 i F M / b v n o 7 d K 9 p Z S Q B t k s 1 c O j X F L 9 A U l q S P Y l P G p K 9 8 e K S w 8 a 1 g B 6 9 Y m E F W j 4 b H 6 9 W B r A H h c u T c 4 W 6 Z / 2 L c 7 R 6 r v M Z 0 A E B M 4 D Q S F A A v b 6 w H K / H i 7 i 3 X W U Q x s m y l 8 r f q l x Y r D u c w 1 t E o P / q W y T T P 6 n 4 6 G F r L e f z z j 1 m L P H i W T Z R C T b S T A R B t 0 P Q q f B R O I u 8 9 O T m + t n f 7 E + C 3 E X h J 6 T p E v / Y 6 K Q T n p L 4 1 l 4 1 F z b C Y L G 4 D O O G J j n M R Y t r a R S p 0 q A C h P O d 5 0 T l / X 8 b N f y + n g U s t 1 1 l K c l S A j a R X N 7 2 1 w b s o R z J / Z D i a Y S c n N V U W R 5 T j O j r 9 c q b J h J + l P c u Y T e o C Q K 7 n U 3 t I V 4 u 2 E P a Y K y k B L M 8 z 8 P 9 8 E l T x i S e 0 O e I J P 7 K U 8 Y 7 0 a I U M s G j M E R T x W i A S j i A o / H X 7 d v / n K m J M S z A G U E b O Q A j m 2 / Y Q + n a m + p P 8 O 5 O k M J 4 v 8 z I q 7 d N O m 4 J e G B Q Y D I + M 8 t e W N 6 / L M Y K i D C 2 Y k w K 0 u s O R D d j j 0 E V F 1 J i W e Y a n R a c 4 5 6 v 4 1 v n 0 O 2 j a u O l 6 n N I P / r p P 5 P N O M f b A o f 8 o O n Z 0 3 r R T k 0 U B H r E P S i H K Q Y I p P Q x a A i i 5 + S + P G h e r v + 5 / 0 a S O y R u r u 4 D p H d w S / A s 0 E I / A 9 w 2 G K G p B i u K S S F L V D W d k r Z b / j o v V 1 l I e V S C 7 K z + / L + 8 4 1 R r + j N K 4 c L L s 1 n 8 M 8 h 4 k E w 6 P X g Z E m G 8 y L K g H T x s X N A 3 8 M e r 9 7 u 1 8 M L p S y k x P L N q 3 H Q 2 P 7 o w Y v x l P L u b v 7 p h B n 2 3 f x 2 / G v H u B 0 1 Q L r M R S 1 n a P g Z 1 H J k w 2 9 S y x n v x 1 a F 8 c f F / P P x B B i R b k u R e i g L A f A W p 6 d r d B S S I F L i i F l 1 N o p 2 9 b F Q Q 5 Q 7 9 n C y 9 t d S D l e Q o o s v h F y q s T p z U 3 z A U g 9 I T h n l / A P 0 t x i A y J h W u J g I J Y i y H 4 x Y Z / P d j j 1 E V F 1 J i W e Q i g / v m t X t 2 u Q 9 4 4 q 1 A h 4 X 5 0 y p a w A 6 W 0 y t E q h V m W F H B d Y K K 2 J h m m F 3 R N s N e 4 i m s p A S z C D R V h f N J 0 H S M r V O X M a W k J t L w b A p c a j t d c i 6 C x f 2 u m i m D D + x j W a 3 Y w / h V F d S 4 n k e J C 9 D W 2 o X D p l o 1 0 L m V n 2 o z A N a X E y l 9 g A t N v O R n f S q 0 k g M a t D o i J E 3 i n O M 2 b u 3 j q o A 9 0 s a l E g P C 3 6 r 7 W H a 5 g k f b 0 y z v Y p y i I K k S f w 8 N z 1 v 5 0 4 X I p o O B R I 6 7 X R G M N K G / B O t d 9 T G h K z 7 A V U d W / V w E 2 6 v o g Q w y F v w 7 8 v f c F A x P G p u / e M a x 1 l y E T r + p X S i 7 R s t c Y Q s Q I q F d 1 V j 5 s 3 p 7 C B a j 5 P J 2 w 1 7 i K S y k B L M I L v H V z f z 5 W 9 H Y 6 C l S D z Q G q v x V + 9 M u f s r V U g 8 Z J z J M k c I 8 B C m R r t h D 8 F U F l K C G e T V G m U a + 6 7 u z / 4 9 O E n W J S j i n w 9 l K J l g P 0 2 d 6 L H T o o e l u q S J w + T a k C j K y f W U K o 5 h e F T m 4 L k L r C f N E A g T 1 m k l p 0 4 g Q / t 3 C t V 7 F N 4 q u E z t 3 N q e G K / o D x w v Z V Q W U q 6 2 5 + / G b n D 7 o w C a y H p d D M 2 U 0 w F j L B S a l k Y 6 t p t + F Y o q V Z S n 8 A B 2 8 U N 8 P j N + g F N p 0 m Y 8 1 l C w b s c e X k N 1 J e W b C V K 7 6 u x m / Y e 0 H j q O 2 C N w B g E L x w u 8 b W v 3 t h c l Y r h M A h G 1 O k z z q N 2 u h 1 g q C y m h D F L q U c + t d 5 G G H 2 Z I 3 W H T j t i R x M g m e f j x S d X j l T V M D 2 u g w 4 B X N k i 3 S 7 z y J N 2 + H Q b N R L V 0 U Z q I u 8 u r 7 M Y 4 u t M Q c x r K S W l i D M P Z f P G b I B M + i U 2 v F Q v q x + Y P 8 z z h 8 u 8 O z e g s m j E X A p C O f b p A X A 4 N t L q e V W j A o b 4 Z l b k U g 7 N t g b Y b 9 v C m K Q u p b 9 r f Q 0 x p t Q J D m j f N I a W 9 u r / 9 5 / 3 8 p l m t x I f 6 U B 7 k q v d W J Y K p T L m D O m t a d y 2 D H y D P V S B B E Q i 0 z m e 3 t u v h m 9 G t p n w 4 Q Y q + 6 f s L m l r I + h U e + g s G z K f s L 0 y o z / H 6 1 + e k L m 2 e I S c 1 t H k k r m l q 8 2 y F o W 6 v T K H d 0 P / p M x 2 R 0 e E a P V u a B X B c O 0 k R J p h p x F A D m 2 n E i / o m u R A v x 3 u M Q j I 9 x C d H 7 t b D / b m 7 j n J z B t l F 0 t c v L l D E o X 4 x Q B F l / T J B E f v D m T z 7 9 a 6 5 M a Q j v 7 5 3 S 2 L j G J k N p s A S 2 h v 3 p w k p Y z q 2 I r k t c Q N o d a b s I E 5 i u x 6 O 0 8 4 y y m n 6 9 X 2 A C e y P 6 5 W 5 X e o G x 8 A l r A C p F i O d g o s s B U k / z k e 9 E m k c 1 P 4 z 8 E 3 t D + w C 2 W 7 Y Q y i V h Z R g B j k 7 / K l Z b H 5 r V l + E O N j l e n M n D q j Q N + M f L 9 a b N X h 8 e S h 3 X t n n L i D 8 A r f 2 l E d v g N s P B 1 V o D j N W g S O W 9 S B F u / g O / w 4 n 8 t 9 A Y N s 3 J 9 3 u j 4 i h O j W v q 0 T / + f E x + j t C V 1 J D T P y y k S S K k p h j A 5 Z p K O 1 j f t k I J k p o r 3 2 d Z v 4 X P t 7 g y r y u / 1 / 0 4 Z J i l 8 3 d 9 c 3 i b n 3 d 0 l v e 4 r F + q z l Z r 1 2 s 1 Q X q A n x M X m O + U H K I 4 g H I J q z V A U g h R V A B d L M G 0 G x v + q T d 8 j G P k 3 Y 5 J b i v Q z R Z 1 w s h a S j r D q W I X t 5 W Y x B g X f x 3 / R q D N D g A j 0 k Z f E x f 9 f 0 X l x A M / R d D E G T / Z Q r D G I a z 5 t M n E 5 X J l S I I g 7 2 7 P l v B U o k l r a s Z m L U Y 2 F o p S e y i v L B L T u R 2 P e S e u + s o 1 2 a Y B E G t C p K m E W 5 / p f U q S I b h r q z K p + H u e J 7 e r 7 9 + + 9 K q A z 8 0 K L j 8 h 0 t l j q w p 0 6 M a d F R n O 9 A V d A A m q O S w E 4 4 w V R S k J G s u W b 9 l D 8 d q b y n l Z F 3 + I 8 A K X Q 8 I d e l 3 D Y B Q Q 7 9 L A k K n f t d 4 s v T 6 E C 4 X X K 8 P Y b j f h D 7 E d L 2 N Q X i z m i 8 + m a a g H 5 3 8 Y n M 0 w H I Y Q t V I M m m J s v U s R z Y M f 8 O k j H F M T 7 s U 7 3 H a Q r t h D 1 e b s p B y s X 0 M 0 T P 2 6 q a 5 / j J f / r 7 e m F w N 3 f q P m E k w i 8 F u t K 5 T j J t H O p i w 1 U E s N s d T R w o 6 W 6 e A W 7 v 2 E F b d a k p s g + x E v l 6 v 1 l 9 M 9 n S u 0 z a S d x z N 8 h J K y r Z Z J S B c z i 4 m 3 X E h P J H s D 2 q 7 Y Q 8 R V R Z S g v k n m r g 5 Q d X 6 3 N 4 E V R M K p x N U b X z 8 r r 5 + l x 3 9 h x L 7 D 0 7 9 x m I m 3 r W a M 1 V l d S H t x N q 3 D 6 / 0 F H 4 E f X 4 o Y A f Y v 8 r t e j h Q u + s o 5 y l I Y S R 9 R u + S S g 4 Z v S G X l B n 9 l E y O 5 0 m f 0 T t h f 7 p r z Q T 9 4 V a b k D 9 j E N 7 e 3 6 0 a E 5 n 8 / a V D u y K F 3 4 E L e Z w L s 2 P p J t a 1 K 6 p 8 x k 0 X V 3 m F 5 3 W n A 2 z X A m w 3 7 O F e U x Z S L r b 3 l y G 2 K m o d d 1 X T V H e Y n f x y v 1 o 0 d 6 Y a 0 A 0 J G / H c x X F U V Q x Y I / x D e 0 p g W c 6 y i G 8 l l Q N v g Y i 1 b R p 3 O / b w y a g r K d 9 M m E B Y b e N Y M 2 8 7 v H F s k I i W j e N J I n q 8 h y 1 k j l z S y y z G O T w q o N T i K F d X U d Y T 7 W r k P u I 8 r 7 O s E i 5 Z B w h 7 q O J D x 0 M s q C s p x + o 8 x D H 2 W b N Z L x c r U w n u V i / g e 5 A g p I p k f t v x H x g D 5 Q w k S k L T B W O 0 g w q G f s s e L s q 9 p Z S Q / o n K B p c y f C g b D G W 4 L B u m M n y 8 K X / a z L + u V y b t n I 9 O E z b w P c h v g v G C L t 8 J b b Y K S F E 1 Q 9 s v B 1 N X A w w C B W u b g H Q 7 9 n C u 1 J W U Y / U x y P m a l n u g q c Y d k t Y L I G J m D U G n K q d G Q x C k Q x L V P K R g A 6 k / 2 9 4 N 5 U + K u i A g W w x d 8 w P a o e 2 G P X w x y k L K B 3 M e Y p W j R 4 g 9 b Z X z f v 3 J N B S 5 c P l c Q I t G e H U k N R h 7 1 C V 3 c r G q x s I D v K E U 5 7 L v n o v t e v h Y d p Z R P p W L E D + V K G r v k R 3 E d e J S 3 N D g E 0 c 7 M d Q 2 + X + d J F N p M z 7 Y e s K Q i 8 P o Q B j q 0 L d a p r 0 Y X 0 w O o 2 M Y X k t X r 3 / e L 2 A j g D 9 e m k o T t / s N 0 k m N J B 3 + N W k s U P H 9 c 4 g G K H q E F C V V l C R Z 0 c m h P T 7 E Z + c n / + d + I V D T y 7 m H a 0 6 / n v / 7 b p + C k H X X z w / i V w k x H C V V U t U y l z 5 q d v 1 T 8 S / H R + D 1 l 7 m / n v 9 f 5 u E 0 A / 2 Y y O X x G O o 9 w + s h 6 7 3 p + R j v r T N Y H j e L j e m 6 u n z p M K P I k l k N Z R i G s J i / g q D s m R 5 l g p E J H e g M I q Q 8 Y t Y d 5 3 7 L H u 6 q v a W U k 3 X 5 M s A 5 h U W z 0 y n B j m Y x A B S K d 0 z S k i 0 1 D a Z O p Q g 1 B F Y h N t g N a x 9 / g N Q G 5 H + u 1 R l i k v 1 q v j H J 8 5 + 5 9 K 1 x G U o z p G 0 J Y i 2 B Y v 0 4 K I 4 x D E 3 q O k t S b P L o g l o T s c R 2 P R z M n W W U Q x m k C w q i 7 P v s V J 0 G h P U g S K i 8 i 2 L J R M i p J 1 r U Y j U + d j 8 t l s u v a / N j 5 y h P B e Q S H x p h O w M H a + C w 1 u U M 8 U y e u 4 p 5 P e w C + / F q v 2 U P Z 2 p v K e V c X Y Y o U a U v f 1 2 U h o b y t w P N P l j + T k p D 4 8 l 6 v A X s 5 G v N b E B A 9 w D E p l V Z 1 I P Q A h 6 8 e M g I Y R p Q f A c h Y p X O 7 D F z D t E c H 4 6 v c q a C 9 L W + u p v R x f h l f S M S j 7 s b U R u 8 a L 7 d 4 X D S N j e O w A c n p 0 S q l l F 5 1 b E Q u h 5 / D W B F G J e D V i m k 4 a E 1 N 4 F / i R P x r 3 D C v 8 C J 3 L 7 4 k + N T w 8 3 r K u E P k i N + d r P 4 9 m 3 + h w m E d O F E R C l m M E 0 w 8 U L k B s x E M Y C Q q g w i C j 3 7 h M w T E A X v q O 0 M s N / y c M y O d 5 7 3 l l J C e h E i G U X f q d d M A a 2 z z 7 5 T 3 1 V 5 u k d S d O o n R O 7 4 R u p T F R d E 7 p C q G C C 5 E g s 2 Y X L H M J z d f 8 U d a N m s T C P I c 6 d 0 B Y M g v J z Q X O e W A 8 7 Q z 6 u r W Z J F d E 7 I V H C W Q e j G + n o b t u z j g t t f T L n i g k x a G P T u F 9 h O i t M 9 i s + k O J 1 N i t O I W m 6 V 2 J E W J K 1 5 a R z w J k x u N p 9 N H e u L K 4 e O N S Z 7 F d 3 L g h S k A n G C G t F 4 f o s M U b c M U I E Q C b A / v + 2 G P Z x d Z S H l 3 F 5 c B d i t B t W z f 2 4 j z a v o 8 M G 8 3 9 z / f 7 R + h B T L 8 + W d + M e B g u j W a R F 9 0 z R F r A y Y C d 1 x Q E t 9 R 7 X I G d v W C R 8 V t M 6 u N W Q 3 U u w 3 f y K 2 f k x R K 2 W h 3 Y / n Q Y O d B 3 9 w + v Y e E 7 7 1 y b v F N d v u / 6 8 9 v X m 7 x b j D 6 T G v Z l V S l 7 j f l F W B i H g 1 X A f 1 r A a v m O K J U y S i J 2 E 9 c Q 9 n 4 P F 6 D E w b o I e j + e t q c T f / J A Q L 7 + a 3 4 1 9 7 + n j q B 8 M u H b 1 h M G z o 6 M n B 8 N T R G 9 N k L G Y 1 9 7 I G j + 1 w L + u x h p p Q O 6 y B k 9 j d 5 / X X + c Z k I e n K 1 4 c 3 B d W u Y I j G h T D Y C 9 S p 8 L j O B T N E T r 7 t E Y f j p j 0 k D Z r F + t u 6 + 2 e Q v P 2 z h q A a Y c d O 4 h q J I F f C A O E p l 4 3 H c g A H Q Z U T j h G A 1 I X 0 O S N v 6 z K u 3 b G H k H a / m 2 E l J Z 5 B i m q 8 N F f k V 4 6 2 y 8 j h o Y c X R X W 5 L S 6 L b 0 w U C a 4 s P z 2 M K S u 2 O / x + j 9 d u 3 F l G C e N V m A 7 0 m n w + 0 e T z 1 j l 1 3 2 o 0 N L l E q 3 H q c Y 2 P 9 1 m z v F n f m 3 A j P z v h R l D N A G C P k z n 9 r O 4 K b C k Z W I 4 m k B 2 r C u T k A f K 9 3 X 4 9 n C d 1 J e V I / R w i 2 1 G f E b s c q S E j N p w p m R F P h 2 o 8 V P p O R a s J w P z j Q 7 O 8 n 5 / c X D / 7 i 0 O 2 e m b W l X L K a B D d 5 m D y 0 K U k L 9 L 5 t 2 t s x d g V c J 7 p d 9 G X z l p 7 F 7 v e h N i u j 0 O 7 v Y x y Y o P M Z f T z N h c X y v 4 R 7 G i R D 8 3 b J g / K 8 b y e 3 c B o W N / R r v g X z T / R L 7 5 e 3 H 3 f L 2 q d m e K M s m O g C 2 m d C 6 2 V 7 l C V w k u 5 h I o B t l L y z a w h l M q + T 8 7 Y 9 T H 7 f v r 1 l G M W J m d c O 2 z Q c A g c b u S 3 i 9 t r F F k g W Q j f k Y f U y S 6 c Y I P Y E P I N Z Q C Z y l r Y / v Q t x o J B Y p U J A A w F i s D O W 3 9 D W 7 v 2 c D / r V l O + n 4 s Q w Y N v b 7 g Y F t 9 M g X X t D A G v j k q 6 Q 2 0 + 3 A c W W B M 8 L R S a Q K 3 l E h B q 2 0 P o t + w j q t 1 v Z 1 h K C W m Q X S E 9 y E J D X 7 Y u P w e Q h Q F o L U E W k / P B + P a + b s S h E i D L 9 n 9 A 1 u p 6 8 W 2 x 3 n 9 9 3 7 6 T f 7 a T Q N v H B k g F 8 o 1 R j Y I j l M d 6 8 J E p i l m N o n E e S 4 Z K 6 4 5 g l 9 K y 8 5 N 2 3 8 d 8 c 7 d X 2 T 1 W D 0 5 g H v y B r 0 H b 6 8 a o e f v G i S Z G b U K P H D c 1 9 J J E S 6 G f m 1 Y x o B n h M N k D 5 z v A 2 e O 0 I r H d 4 e o 6 X o N u Z 5 n d U J 6 + C Z E e p q 9 N X A j j f W 3 S Z S c P 1 S Y T X X y 8 H y 9 A s D T H 6 8 + l 0 E 0 i 3 A d r k s e C e 5 A R R d u f S x G G T E B T 0 w U X 6 A T 7 2 U W 7 Y Q / n S V l I O V F h 9 u e 0 Z Y i m P + d Q h r x c r D 6 Z 8 l Q 3 y B N c 3 A K 5 s z o D v l X W E n g t v x f y 1 A y a Z w t v s G d 0 y s 1 6 + F Z 2 1 1 E + l S D R T n G q Q S n m T 9 t D v P q 2 v r v 9 v v x X g 5 S o o W R 1 b X s g L 1 t g e 1 q g q g 3 2 p X + v E R K F G l z W 9 D 2 k I q 3 9 R 7 O 9 b Q / f j n Y 5 5 R M K s + m R a w Z s n c z o v 5 d F 5 9 0 D L i o d k S R r H 3 B G b P H U X R x f c I x K 9 4 u Z V H O S r Y u Z p O s O 9 E A y X R g S j A 7 T + I i V y Y N V x p P 8 4 O n R Y h 8 b 5 C t W n + + M Q B A 3 w Z 1 8 F s F S Y m Q C q L 9 O g A F 2 y V S d M E 8 R y B 7 Q P / l B y d S 4 a Q 8 X n W Y x 5 Z o L U 1 w s 0 5 y v z K W R M w w 9 D Y 0 c O f S c G j n b 1 5 z m t X G i V f S k e B O t I u G 1 K S d Z 1 q 0 w a K X 2 X F 6 b v m j v U M u 6 x 0 a g a q a 3 Z g z C q 3 m z W Z l g p K + c e C d o T m O d X M b Y O 6 X b J P c 4 Q l 4 c M U t G 9 g y C W j 8 o u 1 5 m u 2 E P b 4 y y k P K + v A q R d 3 I 5 / + P b e m M S O n 7 n R H I m Z p R F N F n w Z d v O G k o a m p A G G O g l V Z I I p 3 v b 0 U + 3 Y w / h V F d S 4 v k u S I p z r q u s 2 8 f r 3 y y L O h V / U R 4 9 W B b B / 8 s n k v N 4 R 5 4 x K w d 6 u B S d h 1 Z s Y b 9 K e u 2 I P S y K Q o x 2 s F w Q G M N h p s o I A c 2 A I q H 5 Q A t L 4 L X t b s l h y x 7 U I f b X U s 5 W k I o Q + l r X x a R 3 q H U N J r 2 y 1 p 1 M e r f O l o U w h 5 O y H 5 U u f T v Q C r A a 5 A F q m 8 D 5 j H N W Y D O a k J 8 c Q n T b 0 8 o 4 3 h h u b y n l X A V Z 4 2 L U 8 Z u x c e F q 9 o Q 4 E l Y L R S r c f a U + v g x o K Z y A R e s C d 1 j B V 7 K / K M V 2 P e Q f 7 e 9 l W E g J Z Z h G T 9 o C T U O X s 2 4 H 9 g U a n f U H s w 8 K t K l K H i 9 I v f i A 5 p 1 y G M Q 9 3 3 x p V r c S 1 f I Q G N A V M 5 b U H M q y y L I o I 5 P p Z 7 c 1 F U W Z F W W d 0 4 s U G U 7 X x n o c C d F v e T h Q x 7 u G 9 5 Z S z m 6 Q m D E y y f 0 k N d a c X Y f P 5 q p 5 x K / K t X d Q g i W E j 8 6 1 X l Z 1 R F H Z v t 2 M 4 z L w x 3 U N R j k T g z r b y 7 7 d s I d P R l l I + W C C 7 B 2 8 a D Z G O r G b P F o C e C M n 1 0 p 4 n + V w t Q d v o N a L J E m J 9 V i N u g T T V 9 t Y y v 1 6 C O X u O k o k g x R G e 7 e + / s L 4 6 M Z o 0 n p 5 5 g B R x K S V G R E U L s g A y J 3 H 4 t p u s z B 8 j c B 1 4 9 P L t R 4 l q T 2 4 e 9 y 0 h 5 h q F l M C e 3 k 2 y k G 0 P 3 p w V n j q T U X i 5 X q 1 X t 4 v 7 w 0 A i J c u / b 0 k B h m T i S Y E v l R J A v u / C y t u v L M a x A y Q i E T a U l l j 9 v s t e w j q 3 l J K S F + G 2 O H D p O T u 6 x F B c / S P w J 1 C v 4 D 0 D 6 5 l a C y h a x / F F d z x V q 1 S n m C 7 z l K 3 Y w 8 B V V d S 4 h k m b E 7 b s X U i y f U d W x O Q R X R s J y D L V t G k V a Z 3 G S 3 2 y v S G 0 W K K M v 0 0 W h y D A H l 4 O T e N F i + d C G b w 9 Y s t b 6 h o q C n R z 6 7 o E c U M q b L U v m X e b t f D v a Y s p F x r Y S r S a 4 F h m m r S u h M 0 N M s N r S D Z L J 9 6 Q e O J + q n 5 P o f 7 a 8 j / X v 3 D J a 1 n W o + 6 H 0 6 T 5 P Y Y h Q 2 i T 4 h Y Z 3 n F H E o k E p 1 e n F 2 2 0 O 3 Y w 6 l S V 1 K O 1 a s g j W y 1 s F e X Y z X A X g 3 H K h e w 1 + l Y j c f q 5 / X y 0 1 w Q V x 5 / s Z w E m + D v o S 2 T V K g o M 6 V A N b k v r 6 J U j H l x g m B A J b W c b J s g 7 c 5 P l B f l e K 1 Q / X r K U b s M U c J p R I w a b s + L N y 6 3 p 6 i R Y 2 r k 3 o y X I r n t V 0 K M R q C k T E q i f p D G 7 r h p D x e o Z j E l s B d v A m y K f E Q R w 4 y U d h K Y S Y T u O U q p L Y N z e 4 J c z I A 6 R X A 4 s z w D z m a P e e p 2 7 C O k 7 e 9 m W E m J Z 5 A y M 1 f N 6 k 4 A b c 5 v m 9 / m S / 6 H A 2 W N H e Y Z e h a p Z t R m n e X 2 8 0 4 D I k Q A U i d A y P g Y v 5 g 3 9 7 + b Q Y x X T r 3 r Z J a i X F H T / M K T B e Z o 3 + S s I u w B x Q 9 K n I i F Y E m X Q j 0 + i + y 3 P J y z 4 z 3 A e 0 s p R / o q x L 6 1 f o S t S X M d z u 7 V 9 c 2 a 2 2 5 h K o 4 u X Y o j T F 8 Z R O K B J 7 Q A S + T y u 7 7 c D y X F E a x j Y f r T P g 9 2 l d G w Y Q 9 f z f 5 a y m d z G W J 1 9 O 5 m b u J 6 v n e B h e E S W k Q V M u d k Z L s D S a z I E 2 b K K K r y Y 6 G 9 Y R d O s V k P k d x Z R g n i + x C t X l 8 v V t f r p U k V 4 O K 9 Q 9 K d V T O A I 4 j d k l 1 L G k F / m 9 P + m 2 U 4 n e c V b h d S j s g 2 k t 2 O P Q R T X U m J 5 8 X 7 A N P t H 2 n q G o F C T t l 2 m s x K g c o s 0 m j w P m x r q I L B s v A d Q u y R f P y A w X K 7 Y Q / R V B Z S g h l k r o 3 / g z x 7 D X 4 3 f Q b 2 L H e S T e m n V S b d F D G t m o R T + l 9 4 8 k w v o K C h e T j k R 5 G 2 1 a i R F b S v b b r i J i b k 4 o 3 U s u 1 E q 7 G c q N 3 Y j G 4 W 1 3 f J M z 3 r Q B N q 6 z A M g 5 S O G 6 I L g x y k T I y e 8 c S 9 2 K z X X 0 z S M 2 5 S 4 k I J k Y q A O Q q N I a F J 1 H U C K z S M B j 3 i A 0 a T 7 X Y 9 v G H K Q s o b F i T i 4 g U K 1 X S J / k 4 X 8 M b U 2 n W p F r I M u Q R U p G P 8 M f K O L d K m J f y g w F W N W i K t q 0 O m z W L b J 3 L T P s K 6 v 5 g S 2 i C p J I 9 C U p 3 a 9 W S U o g t E S o k l C s D T 7 j n 7 A Y c b z L H Q W M T r M s 8 P c e z d h Y o e s Q k k o L r D Z 6 N G M s Q m / c v 1 H 8 3 G 5 E 3 q W j V w 1 2 L d I A A h X e d O H k / B M s 9 S Y p j g h s J Q W 0 z c 7 M r 5 d s P D 7 / h 4 s V Q W U o I Z Z N X w U Z S A X L X 9 P x + i j H x 0 o c R m Y r w i H L M Z m B U l A j U 9 J T b G j j A r U Z A G k X D Y l S v 3 e 9 L + Z 7 v n I y a m p 7 r V l O h + D N K Y o 2 y 9 y n Z q Q i e N m r J D Z m U G j Z o S 7 F w 2 a d S M G a q + N H d B M O Z 9 a W 6 A M O a i N J 8 w j G M Y 9 D Q q D Z 7 X o T S / a n 5 r V u J C / X m D / 5 Z I Z p 9 k 5 H n 6 N 5 x z 3 8 1 v o Q z c L a C 4 L q n R u T s j k h s Y d 6 K H J i s Q + V A K a W k e y q R M a I h 3 Y p l 2 D 2 W 7 + Z N 2 6 8 e 8 T 5 W F d q / S B 8 k Z D / 7 A l 8 C 0 v u B 3 a b E N B b + h x S Y L / q n F N p 7 j 8 6 / f 5 u i 2 C z z B Q + n K m U u 6 k q Z U i P B X I b E K K i t Y / T Y B Z Q q B L g 7 d b H 7 a O a n Y n a t + w x 5 S 0 L 2 l d s / W 6 V m I a c r f k Y I 9 X g M n m Y H n K e t a U G Z a o X 0 Z T o T b 0 Z G o U / T 5 G Q A f o s c i t + s h l r v r K I E M s n / D w d i f Q e i 8 0 q 0 7 o j 1 V o y v 2 d A 1 R Q d W Y b O D G 6 / H 1 / G b x 2 d Q + c x X t K G L I v f m W Z 7 A 8 T 4 h 2 5 E i 3 I 8 8 S p Y f p h r U b 9 n C g l I W U E x W k b M d L 2 k N G Y y e n Z g u A S J R h o Y h S n u O V m e Q 9 9 7 f m q Q N N x W u H r l 9 y i A 5 / u 2 E P w V Q W U o I Z Z L N F n z + 6 z O 2 G / N E w t 5 P 5 4 z S 3 G y 9 I U d + Y d B X d e l 0 l 8 o l Y c g t T r T w B x j L 2 u m q I N 3 H Z i S r a 6 8 7 L 7 X o 4 U L v r K O c p y P b W 1 d 2 M G u D 1 u r W + 0 5 s n u t E A q h l K f l C l Q A r m w p m 7 Z 3 n g O w G w 7 N 8 I J l s + k R s + u m u i u p I S 0 C D x / / h a 3 S 1 M + D I 3 p Q t s D L M 4 r / G 1 k 9 4 y o 9 J F O W P g U N N K S Y Q 0 j f 3 R b P f r 4 W w q C y m x D F L g 4 v X 9 1 2 9 I l x i K d L e 5 f D Y D J y i 4 G j W W X G K o 0 M / l G e N G N L / S Y R p o O y f q d u w h n O p K S j y D r O 0 s w J 9 O 6 t J Q w C k e A F 6 X d c k J F R Q c W V c I i x + e U U R o O i d K a y i / C s k 8 3 u B P X U m J Z 5 B O P 3 o Q W V u / / 5 t 6 x D 2 I r B N s 1 B X r k q 9 a H 7 G 3 / G C T + E l + 8 P T + I D / O P y 7 u T N m o a 4 H H j C D i z e s Z M v 2 p K p H / L h D f R F k B D m t k r 7 v 2 4 / x E 7 N j D L a m u p J y q I E u 8 k X h p e P g u X J j H a Q 3 b I U W Z K 4 K 8 E o u O Z h d S n K 0 q a v i s j N M 4 l T A Y 2 4 d v 3 L S H q G o W U w J 7 E S L n W F R H C 6 N c g x v 3 o Y D h k N J z K T G 4 y 4 B K d A P e H + I Y S 8 Q s 7 r C H h 5 C S u h 1 7 C K m 6 k h r P I L k P 6 8 3 1 z f z 2 b r 4 5 2 k E F 2 4 L E m q A l I Y u 4 L W 9 c M L g F 5 A T 9 o Q e r 2 c 2 R f h z 2 7 C G o m s X U u I Z 4 T j 8 K x / T m q 2 m c 5 G o E T H e H Y 9 r 5 O Q 9 K p u i q w C m M E 6 5 f b A e Z K H V Z 0 O O U 0 3 7 L H o K 6 t 5 Q S 0 i A N g X f b P A + N f N 0 8 1 E q C h 9 I U F Y j o d m 9 p y y c z f L s R x 0 Q z Q C J I r a O 6 1 X 9 Z 3 6 / u v h 8 x 5 z 3 d X 0 u J a 5 C Q Y P 2 0 0 I U / 0 U 8 L D f Q J M S 2 c 2 B N j M / z 9 Z n 1 / + 6 l Z m r j W b u x c o S + b k N A I w n V F X 3 x o 1 B R i M E + 9 j 3 9 6 V B / A o B i 2 7 O H C 3 F 9 L O V l B E n X 1 g y a N 4 b P 1 H H 4 Y N B k G 8 X L Q N E 3 i x 7 P 1 b n F t O l Z u L 1 Z G A Y / 1 d W c y N J a B U B 4 Y 5 p Y x B 4 5 c J K s O k G 1 m u x 6 O l P i t D M s o p y n M d 0 p L t 3 Q 5 T Y O y m + E 0 y U 7 Z d J r G 0 / T z Z r 5 q P p l U J N w 8 5 l N Y 6 R g c I g F V 4 k i D 0 n I / U A A k g d o 9 a m / 8 8 D B F t 3 b H w 8 d + v A Z 0 9 7 s Z V l K P V Y g G h x / n v z 1 S f p + 7 o D j R e E F d A E v K W j B P W n x f O 1 D I Z q T z Z Z o g 7 t Y D p + 3 q 7 2 7 H w 2 / 5 e P F U V 1 L i e R 4 i i h N T R r N 2 2 7 k T b T O a A b q l w Z k W K N g D T e r n Q x W d b D w n + A E G 2 A U G B t Y V W r t h D 9 F U F l K D G a L U C / R H c z D d c B W U 2 0 K x C w u h w T G 2 P 5 u 0 r t G Y Q u J e n t q O Z v R 4 E 6 X d s I d g K g s p w Q w S V q E n v m i s y h 2 I L 4 w k 9 q G / T j 7 c a d c C N / l w p 3 C c J h / u 1 Z g k n S 2 b z R d T 0 f H B 5 U 1 l 9 h R j G 4 K q D 3 J M S a v c 0 4 J / 0 U u t 8 T o V M g k d y N 7 u S W 3 3 6 + H Y K g s p x / Z D i A + q v o p 3 m d A P V b x h Q i + r + G l C v 3 W k 7 o F g 3 9 1 f f z E M i t x w a X T I G B k U O J e W e H L D b u 8 n u j k q x G m a R S h J H y a U d d b v 2 c f J 2 l t L O V x B w t P 0 b 6 I G i + 3 y J m o 9 N 1 0 O c I e w S Q z n V 2 j Q T s d 3 P L 4 v N t + N n k x v X j l I F k I V x E s r h i T Y a 9 n 1 + B o k D 3 L A N f K V P K C 3 L X f r 4 d D u r q M c 2 D e v A h Q r f H H / O 0 d x b b i E P 7 r 4 p S E L h D 8 l 6 A v C 1 k / l 2 5 I k n i E i n O U w n g 5 L b b o N + w h m + 6 s Z V l L C + T F E s 7 Q X 8 9 U j B a Y T m j Q D C 0 U r o C 6 j E m z b o A d U k c B W F e / s G G S 7 P L X d 7 v A b P l 7 n R 1 l I C W W Q S N K z 9 f r W 1 J Z 9 / t r l h k 1 m N d m R k P f F t L A 1 d 5 f n s u K G z U q m 9 j E Q K a H w 3 Q 1 9 H 2 8 V y P 1 6 C O X u O k o k n 7 8 O 8 I 6 l i b Z f x M d P m x S d L R e P n X w n K T A B j x T W H E h j C H b A A I + s k f Y W v f 0 4 F 5 a Y 7 Z 1 g d / a 7 H f v 4 Y t r f z b C S 8 s 0 E 2 V y i s D b 5 w j n B l 0 m v h G 1 0 Q X a V Z 6 K N 3 6 M i 6 w q W H d 7 D B c 6 m g L E O k B A W 2 x 1 + v 8 e 7 x n e W U c I Y J H B Z 2 O g e L b d K Z g y k k d s X A x l B 7 u g L X J 7 j i A N Z 4 K c z v N N 2 Z 1 J s 1 0 M Y d 5 Z R w h h k W v X z c r 4 y c a 7 c h F F q K P 5 C k w 8 2 A W 2 K 8 W 6 l J y h A P i l e C n U E / r F v 2 T 7 + F s v 9 e g j k 7 j p K J I M U R b m c 3 5 p A r K + c 0 m M h u 4 d / W V S 0 R I E h P 6 7 r G b O X h D 8 X l B G R V t l y C M R 2 P c R x Z x k l j K 9 C n H L r m 7 i a 2 c v h U K x u N q a j W c k m 7 i T B t 9 U F W j b X X 3 5 f G 3 V L X e f T G d 3 b i n K z d d U c 4 C N I a S T Z k I 1 a V y k v + h 1 7 O F X 7 a y l H 6 z z E G b W e w e h y t A Z c l u F o S V z W d L T G o z U S u g z 5 4 4 W T P T Q G 9 x F i N P R Y U 1 j 6 w P G 7 L m t R z u i + 1 s h s M J A E T m 7 7 W I 1 b 9 n C 4 N I s p p + v i 7 w H 2 A i x Z F 0 6 1 O v I a T I s F N J y c k p R j y 2 U T h f Y U 3 i p t H 6 k C b R v Z f S b E 8 W q 8 / b X U u I Y o 3 3 2 2 v q P x + s d 6 b Z L w d o U m A / N H U Q O h Z 2 w Y o b 7 1 Q 5 F c I O 9 i N E v b b r p t U M c t e z i u m s X U s I b 4 G L 6 4 v 7 5 B e d Z U + 7 l B t u i r U R O U E c D y M s p H G g d 9 t Q r B 9 j z p N G j t 6 v d + u x 4 C u r e U G s 4 Q T + n P 9 8 3 3 V f O b G H c d U 0 C Y x l k m x F M S y h S o A v 2 z C j O H R x Y F K 7 r r d F P t 7 X D 7 b R + T 7 D a u s R v I w w U e f O k G n 6 3 / t V h 9 P u a 4 K 0 a n C u 4 i J O M Y 5 d o x k j T Y G E E z n u a d F X 0 Z e 3 D s s G c P J 3 R / r d 3 I n g Y 5 9 n r / x + L z Z 1 O L x k 3 f i J 4 p 8 S r Q H E t z G q c i c u 3 c C z 2 A B K K C t K 6 x H 3 q 1 u / U Q T G U h J Z J B S h t F c a v F 3 2 x b 5 z l h V + O u Q u k b o b o e T R x P 2 N W v i y 3 s K q P v 1 d y o h X P l I p y S p b O 4 z h g k l a n s b A 5 N T + E s w y l D C h p 6 a l I n d S e m + X j 3 u t u x h 1 O l r q Q c q 6 s Q p R j a C p J J 2 M K k s e G G D m B A S H q S Q y G W v r D C 5 7 t H B + D w R c a K x Q w / P m B A K K o 6 u W c P U d 1 f S 4 l r k C i B 8 9 s l 3 h a G Z o + b g G o 1 Q z C l i I u Y e S 8 I n s H T X Q y Z s G x j 5 A s P i E y n t G 6 l t h v 2 E E 9 l I S W Y Q W q o C k U Q Q y j P X b A 7 G Y 5 d W Y 4 a b q c y 1 p 9 N y A K l O J V 1 n v U Q D b u q U W z W Q x h 3 l l G C e B 4 i b u d 1 s z J x P t 6 8 c w B g 8 W x i q 8 d o A 4 V w P N R H o r k 4 j y g Y C c 1 3 G n h C 4 c i 2 n y O 2 6 y G M O 8 s o Y X z z L s C W a 6 S 1 6 0 o c g j f Y d f E u i i O m y 0 O l X V d y x I r 9 8 M L 8 k L / x 9 J K M F g g 1 J 6 Q x i E Y K c q T 1 I U u B Y c p 7 g x k U p E S z h Z o P M o i E N N o e q H A Q a i F C j f V U D w 0 N w 4 H q c S U 7 r 7 / c y 3 8 c 2 L G z n v z j + I W e P N 9 M S l s d P d y o 7 w l g + S V k q / 8 N v g H 7 P h G 7 P u L x P x 3 X 2 L 2 E D z n l 3 d 9 8 e z + H l 3 y C h M h 6 v L + f / g a 4 a G 5 W 6 6 9 z Y z P d i c w O Z x 1 P W q h d z L x K J p s 9 I A 7 f D V 7 S W v w I U g k E a e s 3 t d + y h 3 d 1 b 6 n d s J 4 G K e I i u s b N V w F T P / B 0 6 i + F h w z 5 e M J R I c C j F s x q 0 a N V O Z 7 c Q R D 8 y I a l A p Y 1 q q r b 9 T F P 5 7 D E b h T D P Z z c f f s g 9 c Q J 9 t E W J o k J 9 Q G r b g J 9 j K C P 9 r 2 7 m v / W 3 N 4 t / p 1 H T 3 + s T v 5 6 + r e / f m i w O O e f 5 6 d / O z / 5 8 u w v / y 3 6 s l t 9 w p f N 6 t q M V n Z V + B T d 9 Y q Z S S K 8 i o c + Y Z X S J o T 6 j p 7 2 g Q 5 X 3 Y 4 9 3 M 3 q S r u H + j R I f c + 3 m / U f 8 4 1 p k n L m h D K h 3 Z D j 1 Z J m d Z I J E 8 A e P R R H A r W c o o P e y X 5 a P 7 b d j j 3 E U 1 1 J i e d Z i L P r d / e 3 t 3 N j V 8 m t 5 5 v M k g q 0 E G 9 s K 6 z c j 6 0 r A S 8 h n U p q g Q U T C b F t / d T t 2 E M 8 1 Z W U e A b Z 7 7 1 Y 3 N 6 K / / f t 2 8 L Q K X z u 0 m R K 8 x k s n w g N k Z K m b 4 s 4 a N m 3 0 Q y l E b D o M Y 1 E O f K 0 j e n W r j 3 E V b e a G t s Q W 0 4 v 5 s 2 / j B L o b v T 4 Y l b C 2 0 I 4 O a + F D 4 V w m Z B h B R c G A 4 F G B x K V Z d I y g u x a w O 2 G P U R U W U g J Z p A U + S j X z L E 7 X S Y 6 f z K v O r m 5 f v Y X 6 4 5 D 3 g V M a D E 9 1 D / M m W O n k 7 / g m B v r W b Q t s 3 Y n D A 4 5 s L 5 V H D 1 F q z h 6 O N S y V R w d s R o 9 v O o 8 5 G 8 8 f a N I U L w N b + L l S 4 e A o E g h 2 s M 4 D Y z z F X l 5 l v E M a H Q O a k 9 6 E k o a n t 3 l K b b r 4 e r c W U a 5 O C 9 f j o 2 7 9 k c P R v D 0 V + G 4 8 u n k 6 q 6 5 m 9 + O f + 0 I Y b x p 7 m 6 a r 6 Z I n j l E U m Q 3 8 B f I S 2 n d 5 r m 0 h m g j W a M S w x A U d V I w S C X S F L b Z z V m 7 Y x / B V F Z S 4 3 k 2 B i a c e O K a v D Z W I G 4 n M 5 1 V J Z N Q b O l o x 2 9 B F D i Z I G k Z l l K D S N V Z 6 4 r y r N 2 x j 3 g q K 6 n x D P F 8 P u q C 7 Q q 1 B B I W g V + n G R B H A M R 6 o E I 2 q 9 E i F b 5 M 8 t j a H 0 / F n P p 4 H B R l I S W Y Q a I t B a c e O P Q j 9 6 3 T y 8 m E t S q p / 4 E o t L o C X U A 5 n w f o x I w b 9 X A s N Y s p w Q z y 5 X z + 7 d v 6 a w O j 6 H 8 N j 6 e b 5 i i z M j E Q R 7 w F G 5 6 t c X l Z o f G U g D 6 p y 1 g g U 2 y f z n H L H s K q W U w J a 5 j S o 1 o k i k Y I y L q S H J A o h k p S l h d T J T l W k s w h 9 k d d n R v F T i V p H Y a u n h d E 5 4 f q e c r 5 f H J I G o N w K Q i T f x h F j l w v O D o G U Y k w D j l I T A n Q 1 g Y V n c 8 Y 8 0 B e r A z v p A O k O L o N e 7 j e + t / N s N S f 4 X I T d p U m x 1 0 3 H U l A k Y j X o 1 Y n P M n H 4 S E 2 1 t A m M T B g g t h O J 2 z f K 7 n d 4 R d 8 v F R y d x 0 l k E G K H b 1 o r k 2 6 g 6 5 T w 5 S s A s Y c U d v 2 l x d T Q x w g o T B 3 Q 2 D g e 3 b d F 7 F d D 3 H c W U Y J Y 5 D z w p f z 1 a e N S U P u J x c Q e l J A g Q R p B f G H 0 4 i 2 a 4 + 1 q i g G C s 4 o p 1 V M h S W w 2 S 6 Q 7 Y Y 9 h F J Z S A n m T y F C 0 S + a T 4 v b t Q k 5 5 / Z Y o l w F x T U t G A j W d Q S x Z 3 w u E Z e D / B o h 8 Z h U 1 o 2 X b r 8 e g q m u p E Q z y D r g q l n O j W 3 R X 1 z a o p C T O Y 4 k P / S 4 R Y L T k 7 d K J J N 4 K a E U A L V B a U D 8 w O 5 k y v 1 6 i O X u O k o k L 3 8 J s C W q n w 2 6 m K 0 O s 0 F D L S F n g 1 M x M R Y T 5 7 f N b / P l v w F D t a / w C t h V Q m W z J n 3 Z 6 p d Q S g g 3 i T h L 0 r q F U t g e q m 7 P R x z 7 n Q 5 L K E f p r P k M b H d 1 w u h 6 O c d C e f f H D 0 + O 3 t 4 s l g K v s j r u 3 E g / h X V x h h z a J G Q p D x X o s k 0 y O U O O h 0 r f J s k c n q a + T d I 1 F X W 0 K d E m y Y 5 4 J h 7 8 u J / k B 0 e Y o W 6 a P x 4 R W H T T L B W e c a V A a 6 I G P 7 Z J h P w Q 9 R m 5 I M J S K U a P 1 p n f W b d h D + n C 3 l K 7 9 9 h p m M q l l c b R L d b Q p q y f p q o b r P U q N L p j V e H o F k / + N e P l d g H n 2 Y Q x c T N J j W d M N z O A t B D L p I 9 C V 0 5 B R E J Z M U Z n h q k o F E X 7 F F z u 1 8 O Z 2 l 1 H O V B B G q S + X R j F T d w 8 x H K k u V P w Q H Q z o m 1 7 1 F K M z w j w 4 d Z 8 Y r s e 4 r i z j B L G I J 3 D X s u e 4 2 Y N y N 0 w 8 3 R r I s O 5 B 1 6 C x U F G T L c V F O l Z w R D G c + p Q 3 4 P X t B 7 l n j 2 E d H 8 t J a 5 B d p P 1 y b x L h T w k 8 4 Y K W S b z U 4 U 8 v n c v F p 8 5 V i / X G 1 M P 8 e K 9 Q 3 K f 5 S i o p W k p k k Z x V Q 7 s 2 z g q Z 1 l V Q / H q h E n s W / u L z y d i y x 4 O F 7 + f 3 a W U s 3 X x 3 r 5 M 9 g a w f D v f G D v 8 r / 7 h E M + 0 x A k K r h 7 t f Q n 4 6 V I Y 6 H o J q p Y t c s t e L E h u 1 U M c d 9 d R g v j q H w E G U d 9 C d O l 2 D C 1 E Q 7 d D t h C n b s d 4 Q V 7 M V 4 v f 5 6 b c w / U 0 I b E O X R 2 Z 3 5 J U Y 5 Q n S Y X 7 C / x 1 o a p W 1 o U 9 G r L b s Y d D p a 7 0 Z z h W Y s g H / d U 4 M 3 O t D R A f o J Y j b x T m Z / 3 9 m A g T m J o x W i 6 x 5 / Z X 5 L B j D x H d X 0 u J a Z A 1 Q q T t n b h o F A y 9 E 4 N I g e y d T C o F 4 1 X J x 3 P E t I N R d F a l N Z O W i H g j l d 0 f L H j I U D m k D v M B K o V y s 3 5 O 1 G a 0 w F N O U 5 C J B w S g j c m c z k 3 u I Q J G L L p f w x i 6 D y M 0 K 2 q D g e T R d y 0 f l 4 W V + / U Q y d 1 1 l E g G K f W g n 9 S 4 p J D 9 p M a Q Q Y p J z Z R A j r f i 2 f x T Y 1 L k d e 0 o l 8 D 1 M Q D p P A V 6 g E 5 N 6 w q d j V p o N 4 g f 2 + N Z 5 X 4 9 H K f d d Z T j F G R H + f U C J Z y l s V H i 5 L u U A U E m m N Q A W C 1 H P S 2 q A L e T R X V Z Y t x z m P l q t 1 8 P s V R X U q I Z p O M S W b j s g u z I 0 C e a y 9 G B N 4 5 7 y / 4 a n W z A D q P A Y Q 1 9 8 u t C H h m S X w N 5 R C a / E 3 l k v O a f 3 3 9 G e v 3 / m R o F r o k T O G j m 7 i g q V R h r 9 2 l T J t p u 3 R Q K b r q 1 C E + / X w + 3 w 9 5 S y v X w J 8 q d W o L Q z t G 1 n s f 3 u R P / f A h r J H K n e E K 5 L M Q H c n 2 X P H t z e z 1 f S / z e 2 f p + d f d 9 / z J 1 A 6 t D + u H I p B X e B f W 2 M K g A q 2 e 8 w 5 2 3 q P W h 6 v b r 4 U y p K y l H K k i w + m j N a J j k v n 3 u M J v I I j T J 0 H O l p S q x m A P G u Y o Y W t A 9 o C l X l t S Y t m D M c c s e Y q p Z T A n r 2 + c B D i r 0 i Z Q m A X F I c v 7 R 3 F 8 f 2 5 0 t q g C 1 C e + u I s m g O n Q P L G q y 1 b b P s P V d I L d 8 x L v 8 t F t g 9 x M 5 H K 7 o y 5 Z N n 6 d q 8 m 3 r B 3 X I U w 3 d C J m n T u 2 I M U + 9 W C P p b a p h X W G j 4 O D B s F W 4 y a J B 1 x 0 i 4 f n E 8 C N B d B C I m 2 C f 2 F 7 A 7 X Y 9 X L 7 K Q r u n K k z I 6 E 9 g F b + u N 6 a S w 8 1 Z F g X e k o 5 7 l i c l V + D Y c q + T m a h E A G 8 M k r 1 2 h K F + x x 7 i u b e U E t E g Z d P 1 M 3 + X o m O Y + R u q D j n z n 8 q O 8 Y 7 U 9 8 1 d 5 P 7 6 2 s + g 9 i d q v 0 n s b w z C 2 c 3 i + k t z 2 / x h K B b c e u c p 1 R + h h g q J 9 + 4 W I Z L r L Y 2 F X G p J I V E n B + n E d X v 2 c M E N v 5 9 h L e W G C 7 K H H m m 7 r i 6 w z 7 h r h f W t L x 3 N I Y b m k E y w z / F w v d g s b q / X p s z h / f 8 4 1 O F p N s v T i P Y J U g 4 7 1 j k i E R Q 4 a z T 7 E H o A J 9 8 9 S 4 9 P e b s d D x / 7 8 Z Q 5 1 J W U Y / X + f / 4 0 N b j m x X K o w Z l / / 3 5 U y h n d O A Q B J Q B f A j m k M E 9 d 4 T k K p S I 6 2 D a g 3 6 + H T 2 Z v K e W b C Z N x p p W 7 0 g g n W x f k f Z b T A b m 1 N z F Z T n r E r s j h / Y 9 D / s Y R e J x L o 9 T V e x f f q 1 R o s U B g q R D V w W m 5 7 2 h h 3 I B F P U e K K j 3 B 6 t w e W Y p R 7 w h l O t 4 F v L O M c p L e X w Z 4 + 7 5 Y f z c Z 9 L o B h H G h E / a 7 V T + k o N k l L 8 Y K y 3 p 0 c X l L U d r B n C 6 1 7 q m I 7 X q 4 F H e W U c I Y J P B N n 5 s 6 E d v 7 3 N T E b B e 5 6 U R t H 3 P T 1 + v P 0 u L q o Z G f m 0 k y E 6 K E h h b z P j E H k j J U 7 X G q w R + W W A H G w q P o E L 9 r u V 8 P 5 2 l 3 H e V A B W m U r J 8 M a d p Z D l n p G V o l j + h F u t 2 / h a B m U 8 v 0 B t r D / V v N a B B g n t 5 z u a 1 L m X 7 L H r 6 Z v a W U z y b I e / h j 8 8 V U m b q y M 0 p a 1 4 w h 0 K Z r 8 T K 9 / q d U i q y Q / 2 w p + L Y T C r F b D 5 H c W U a J Y p i k j M Q S + 2 Z d X i T d a y p 6 2 g 8 h a B J e 0 w l C s 2 X f + B p d g a U 4 T u 8 W Z u s p N 0 e x F L 1 V u q l C + B F e b 5 b 0 k z 8 E Y 1 A N x L a B n 6 Z 4 U A n 2 r 9 2 s q N 0 4 5 s N s 2 8 P 5 0 i 6 n n L P n I X q K v V 7 f L 2 5 N w q x u T X L 6 d c L m L y e I g o U o a G t t X 4 Y f 5 H X O f S l 9 4 v r u 6 + O N v H a / P i I q f z H D Q k o s g + y O v 2 x u v 5 i 9 H N 0 M 4 n L A o l g 2 C v O / I i b X H d g C g k N V 5 M Q Z X W x a s 8 I 5 z u 6 U d j s e f s v H 6 w q o K y n x D N I i 7 u f l + v 5 6 f n t n 9 P y 7 d F T 1 F J 5 + T L F w Z t i 2 c k T V M + b e p d O e V o j u H t D l G T f t I a q a x Z T A h q n v q R 1 j a T B v 1 s n N M M Y i y X k o u Z F j r A l 0 P 7 Y K f l k j O W m Y D 7 u W C h H 1 X V T g I 4 8 i V / / w C Y k n X M R w E A A A Q x / V G h A o N + v h S O 2 u o 5 6 m E A 3 E 9 H 2 C Z H 8 A 6 d A n g D q 1 j x 7 P N R M y 6 x M 7 l C M G U I c s R y Z U x 3 h i 9 S h Q l 6 H T g A I 1 T J 0 k C n Q a O 4 1 h e N S U 4 8 P + 4 b M + G G k 9 w 9 c t w h Q M B 3 j 6 Z k O a W f I D Y Q 5 f Z U j K i z / v 2 u K P F w 2 7 b h n H S z J 3 1 1 H u z o 8 f A p w 9 0 e G b f 1 q v F q Y K 8 I O T f l c 2 y 0 Q a W T B h k g V 8 X 9 q X C W F G 2 Y t a o m p / Y l s 0 D H v 2 8 B r u r 6 V E 9 U O I C l 5 6 I K j L a z U A Q Q 2 v l Q S C T q / V e E 3 i d L e f N E Q a Y R m X x E R b S r j w I o Z S w s C L k K X E x I s Y Q / 1 i T S 1 h K i W c q P 3 Q H 7 g l a b q A M 5 W k w r 6 L J h i I c P 4 x E M g i j K p s b 1 C 5 W w + 3 5 + 4 6 y s 1 5 + f c A 3 0 M Y X P t H N n 7 a I / v r 3 X 3 z 6 d h 0 t K S M q q J K I 6 G W 0 8 8 c I a N h b U 3 t W f E c x 4 e Y K L V b P i L w 6 r R f Y f c j O Q R d 1 f 3 N t / d z K E o 0 / q / X 4 / f 1 9 M i r q N J 8 K E 5 u j 1 W H s D L Z P V Y p 8 6 k J i T z e u z g + 7 5 / X V K N 7 7 / L E a m t / l 6 J z q P 0 N R a e s / a e i c y v U W p k + T Z v H u t I c a n 9 q k o e a p r L 2 T 4 5 4 8 x 1 + x R 3 y N 5 7 + 4 n v d / N 5 8 n 9 / d i W z n b Q M R 4 G b / A L 5 2 Y e G n k O 3 J a q p S o B L H g S G k w S J F p 4 8 5 Y g w X 1 F 7 g b d j w S b v d I 8 b y d H + t 3 f f s 9 H W I F P z H b Q C d d D I I a J a h Q Z W W E Z P 9 F M h T j 0 F N E T U l Q y F 7 r S v c Y O y h x K o 9 3 / F a O u p K S j y D V M r 4 u d n 8 v p g v T a B i t 0 F w g U 0 F c u z E t C g 6 c e F 2 q l / O y g p w J I P 9 D H P H A 0 D F / Z Y 9 F C V 7 S y k h D X I U / E t z / c W s O u w W U R h X F V 5 N B D N q b R z 7 C r P G w p M / S w 8 G t n U 7 9 h B Q d a U / Q z z 1 Y H E N t t U 6 m R n a N g Z 4 m 2 z b T F T t M a e 8 u p l v F p + M e H E 3 9 w r o Z z g z t c V 2 P w K O I 0 6 b e O 5 4 F S W F x r p v 0 2 / X w 6 H a W 0 o 5 V U E 6 V + i 7 N 0 9 b D b 5 s N p 8 W J g U U J 4 I B 9 h g M u I D j F H j S R x X q G X 2 u B F 6 8 g H Z A o y 8 5 F G M l N u z h k 2 l / M 8 N C y g c T J M V A 3 8 V x 4 e w M X R w D Z 0 d 2 c S b O z n g N v 5 C S Q i / X X 7 + a e u h X P 8 p K 8 9 + T T 8 y S m f C t z m l 9 c r 6 E g 3 y f 4 Z Q z 5 o 8 p 3 g q y I 2 q N x 2 H P W P u w 4 + G D P 1 4 R s r + W c r i u f h x 7 n e 2 P H m w S n H r z E b L I W V 8 6 R B S c g D D J o M z I a v S O J e q 0 5 W J B b Q Q k U J C 3 V h K 8 a P 2 + q p n k 8 S K q r q T E M 0 x N U + 2 o 0 W W q P O S s h q m y z F m n q f J 4 W U Y 6 V e i O j P 9 v 3 o 0 d M 8 Z Q O W T C 6 f W I n b M H r 6 s n + c H T d 0 H f 0 g F d m L C j F 2 9 c r j Z R N t B I Q e 1 O Z n v 9 U 4 V J G g S Z r C p o k E b 5 A f b J 7 X Y 9 v F T K Q s q 1 d v E m w G f q x f 1 m N b 8 z z O 7 d t G w i W m I E L Y Y 2 A X M Y r G o f z A q x W Y a x e G Q P C G E 7 0 k S 7 Y Q / B V B Z S g h m k k s 0 o g m s I 6 M W V y 9 k U h z D N y z T O W 0 7 a k E h G s x o 1 B a Q y O k P K b q r 0 O D x x 3 L S H o G o W U w J 7 c R X g K f 1 p O f + 6 W A m 3 0 Y e I / W 4 8 b X Q y h H 8 2 J X f r Q Y k c R p t M o m I p T E Z F P n k Y Z q L b s Y e Q q i s p 8 Q y S p a 0 H 1 L s o u Q 1 D 9 a 6 E 0 + k H y a H 6 h J 8 Y k 8 l f 5 r / / z p n 6 s f m X M Z t x f g J j O C 8 1 L U 9 Z Z p N n y r M l G q H g k + q Y V A Z O I d 5 s t g A 2 s e 0 T u W k P x 0 u z m H L C g n w K o 1 S D U H K q E / r B r a F O S A E o T X X C e L 7 e r Z c d V u K h Z + v S q a t F o Q B N A s + C T p G m P 1 p 1 P a s Y z 6 K j n d S g Q 2 N 7 4 n y 3 Y w / n S l 1 J O V S X I f a 0 X i + + Q s g 1 Y 3 3 d L s s Y e T W k h W L k z y F a g + 7 t 6 w X k 2 A B J o D 7 C d O A g s M S w Z w 8 x 3 V 9 L i W q g V 6 U G q K 9 D E V p P Y w U W W 7 x x P S Z b l 4 y k 9 X + d p P X U V B n 8 e n 6 8 / 2 L k 4 1 6 4 w M q y e C a z e 9 S a c b w q y 5 F W F q G E R z U n h L 0 o z w + g u s v 9 e j h U u + s o B + o i R E S Z H t 7 g A p n t + y b C W e U h r K Z s F U + Q 2 T H 7 + A W r 8 v l 3 Q 8 3 s N q t m A F P l O Y M z k Y O I O U z / V E V w 3 I X i W Z I y b 2 O G b U 3 U b D f s 4 U g p C y l n K s x Z d a a B u n c j m X + z 7 9 9 l i + J s P X S m M o w F 4 k k 0 Y j x T P 4 o R 9 d X 6 T h B 4 j o N / B u m M 7 D n v E U 1 G o b D b p R I / 1 K h k p b C 9 g O O 1 z g L W 5 f K P 8 x O x Y w 8 A a H U l 5 W A F C X 9 + 3 f y r u T Y R o J 0 S + g R l U P A F O C k T S t H l G P r F x a y G n x W V a C c B m T 0 I 0 S 4 2 7 O G W b H 8 z w 0 J K M M N M 5 R N N 1 y N 2 y T x 6 L 7 f Y k H k k o u 0 x Z R 7 j L f l q v v 5 y / 8 W U e T j m 8 i l O e w h w C k w P c L k e W o n 3 S l x C k e 2 M I 7 p G 1 e M T m H a 7 w 4 d + P N y H s p B y o o J U l d N 3 6 l 0 w c k O n 3 o C R k 5 3 6 C S M 3 n q i r + T / v m 7 v r m 4 U J I u c m + J 8 z A + P o w M e p i k x 4 s 3 X 5 P J L / m X i n E L e m B Q V 9 2 P p c j Z v 2 c L Y 0 i y n n K 0 j 5 f z 2 F 9 W k p 5 + / / k J D l n 1 C 7 N o F W z p 1 6 0 f h e 5 b h F I P j J U K d g Y t p 9 P t i i z u A J Y T N Q o e k j k H q 2 Y x 6 x 7 R O 5 a Q + f j 2 Y x 5 f M 5 D 7 E j r W + 1 u N B i h 1 a L g R Y r W y 0 T L X b r e p Y k k l / u j V y S y w s X 4 A k D A L y v G J d m e S 4 u 4 X 4 y w K h g h u o q z F g c C M S f W 2 O Y r 5 r V i d i y h 9 O 1 t 5 R y t i 4 v A g S d v J x v V s 1 K a n U 8 N L 5 z Y s Y m F R Y 7 F P S 4 y H M / p g i t 9 i 9 u w o s L 2 b l K E L 4 G s m 5 7 Y f Y b 9 h D Q v a W U g A b J j I 2 0 P T Q X t S R h Q S c G P U J k x d h D m 9 S S x s v y Y 7 P Z Y H V p K g + d n K u Q R S I N A X J C F z p L 6 q L v o F W l N N 3 g o o x B 6 h X W a W y 3 X w + n S l 1 J O V T n I f p X X T T X R k v w n 1 1 K / V R k l a W A 4 K V S W X w o 9 a t s h p w A 0 4 e 6 Y 6 F b d 0 P l f j 3 E c n c d J Z I / B z m 2 0 z b P X H L J o X l m y C V l 8 2 z K J c f r U c 9 K d C G H D 6 z E 7 s r T w R E k K 3 H C b o 1 h u G q u N 8 3 X + U q O e h 7 K / 8 6 c L r c K Z Z Q a 3 G O P L e 7 7 m N T K s z R D 7 g Z o V y u l Y Z s B j p v 2 c M N p F l O u u b M Q r 7 k f m y / r O 9 P A 5 8 I l + 8 j o d o A i g W F a d H P x L q l n f h c V o k N S Q + E 6 C J P X b t h D Q J W F l G B e h J h 9 f G y + G 5 U 3 3 W g B x a w C c A e / N K c S E 1 Y 1 f Y G W z R g 8 C F / h Q / 3 + 5 H 4 9 h H J 3 H S W S Q V I C L l A T u 2 6 O L Y w p 7 E 4 w a i w 7 a 4 Y u n k h j 1 o h T Z R A 9 c O R j X m t t h 9 r t + o g w v t N h i d 0 o H k 6 N P P U k j n n R r A D 1 z U 2 T i o t z h 1 Y Y V 2 z K N B 3 g s 1 C E o 9 P c t 5 o r l K k K 5 M T A T y R J I h z 6 b N / N f s s e T u b e U r t h P b 0 4 D 7 A V 9 m L Z r K 7 F 2 X w o E X I C S Q j N P y g g V Q I 0 E 3 3 a p J 8 Q / o B / O w Q R 2 p o M p R J g 0 b b h b L f r I Z j K Q k o o g 4 R I v F 2 j 3 r g 5 W i g Z F u I n V e a d Y d 9 Q s G M v N Y N d V 5 c Z 8 H U h 4 W h 9 N t s N e w i m s t C f I Z h 6 q X + N 5 J E 1 d H 2 Q + u 8 O m 6 5 W l F L / E 3 R 9 r B V x / o C d a j 5 V L k V F W t C 5 Z E y Q 0 L b E N X F L 7 C R l K k S H k / + O q C U P Q J H 1 W / Z w r v a W U k 9 W i I U F m 7 5 p v h q u y V d X D i k M 6 j U p u j V U i K A C d z Q 0 Y W 5 B R 0 D 9 t o I X 2 T a v 7 X Q B 2 g 3 7 C S e / m W E h J Z i v Q q S P v 2 y + f r u 9 W W x M K e l H R 9 c i g i Y e P m T 3 d 1 y L K t S I x D C P k Q P t n A M O 6 L D n 4 T d 9 P F z a / l p K V I N 0 L 3 q x / m 4 S u b 1 0 M t 1 I y F b E t Z r m n d t 3 3 8 a B c 1 m I 3 k 7 V K 3 d Y J 6 V s 1 0 M s x W 9 l W E Y J Y 5 C m G 3 9 H R c 0 k w O J W K + b w J k t c p n B s T 2 O U O 4 Z h Y I Y i X I z / F E r j / Z N q d 9 H K / Q 6 / 4 e M d y t 1 1 l E g G W S X + t G l W X 5 Z m e U y n N E j I E W c E j O m u z I J 6 D A w Q R S S R R E O g c 8 i x n u 3 2 W / Y Q z 7 2 l l J A G O d 3 9 c f 6 q W f 5 m S I O e v 3 Z J g 7 C H Y / x B 1 M p U c F 4 E T 7 3 V X c n p v N K R S 2 L Z Y r V G w E B A E f v 1 E E 1 1 J S W Y z 1 8 H 2 M X R Y 7 l d 8 C 9 9 p 6 Y X G N B V i x L L P e F f x m r x 9 Y J e 2 t I k I u w m H w c x M y / r m j y U 8 q L t g s p D V S N R h a g c O W g p / 9 g a K N h t 2 M O p U l d S T l W Q C n J g 5 u U V 2 H z 6 u u i D / C x 5 W g Q 3 v 5 d j f i 8 V p U u d Z l X c a t H 1 q W 6 K R y e z z B z T D j A 4 + F j b p r p i u 3 6 + l n G Z P 8 O n 8 g u A A o n A X 9 y Z e N k f n F A F W I z H M E f B k / K 0 F j 2 L o 8 T 9 r U z F K y v K l + g A S R i 5 6 Z M z t u w h p J r F l M B + C B F T g P v i / h 2 Q a u 4 A 6 z 7 s I C H S j S J 1 L 6 u U E K m O O H s 8 f M Z 4 y N 9 4 e l 1 W v T i u i 6 x c 1 m G y u 7 d S F w U h j j u J y v U v X / K M j H 3 / L O Q u H N w e w S v w F w + h r A v k d P K J g z u G Q S h 9 3 s 1 X z R + G 4 s 2 t t Z L M m M k y r M X G u x d a b 4 u 3 d F a l V b k z A 7 R r r Q x 7 9 v D S 7 K + l P D R h t l j u l + i P G U J 6 7 t J g Q S U J b T E s Y 4 E k S l W C o c H C A E q 0 Q g f 7 E e v p 7 U 9 y w x 7 i q S y k B D P I 5 s q L 9 e 0 / 7 0 0 z C T d U R T y r 0 b R N G E h k i E / j 4 t X n 9 e W M 6 T y d N O T l J B D R O p j t h j 0 E U 1 l I C W a Q u I p X 8 w Y l c V N a 7 z a Q i J j 0 l l m W Q F 1 J t y d M Y G T q D B 2 E h M I e L J T 0 z L S 7 b b s d e w i n u p I S z y D H E m f N 8 m Z 9 b 7 p q n c h / w h Y z y r l q E + j S 0 K b z v l C j l y 0 a N K K D k x 8 m 8 9 / t 2 E M 8 1 Z W U e I Z J / t M K 4 r r U B r 0 g r q E 2 E I K 4 U 2 0 w J q X 6 X p k G r + R g 2 H 3 W f P 0 0 N 5 1 b N 0 Y a T V T 6 K 8 K h m B c U K v Z w b m N k D m i v / j v n V m z Y y 7 H d W U g 5 t U F y 0 r h p P v 0 x X y 4 N G a 9 T k o Q + V 4 X s S U K 9 I t j 1 y B h u J U n A F J E Z 4 j 8 6 K 2 q 7 Z 7 X f s p e A t r + d Y S k l p E E m S m f L Z m M i / 7 o Z v c H M Y D Z c M F A s y 3 q L / F t j T o x u X s G f c X 4 L a 0 1 K u d v h 9 3 u 8 a f / u O k o c g z R 4 0 z f b X K a J f b P N R K a n 2 T b N E s c H 9 e f F 0 k R l e / 5 / X a b z K E 5 y + V H 3 U 1 X A g x r E y O M 4 m l V C t z A 6 d J Y g t u v h M O 0 s o 5 y l 5 / 8 3 w M n 8 2 c 3 8 t v k 2 b 7 6 I b s A 1 o 5 b 9 D q r b U K i A l c j 8 J 6 K k S I E B j P L X U G Y Q F A U G B R 5 V v H P d u O F x 0 b x x y 3 I 2 d M Q p x O n e U k p I w x w J 1 W 1 t s T M W L j V s e o d U t 4 c U G b I j N 4 3 n c i a Y G o j U C J 4 y A J 0 B n 0 P T A X H a q E a B o Q U T 2 I 6 G + y 1 7 u A X 2 l l I + m z B 1 n r U i D C 3 C g O n T h 2 Z 5 P z + 5 u X 7 2 F + t J Y t / 3 M + k 8 S x G G S e d 5 f F d f r M 0 u H 2 6 8 Y k 4 P m r 9 b z P 8 e 9 p a R p G I Y S D l y G N 9 N 7 N b D i Z K / l W E d 5 T g F y S r G 7 v h 6 v T D c j 2 6 a m c W M X K i k 3 k j S B N O W 8 X 5 E w Y v R G I C a Q 4 2 l 2 w 0 P v + P j F R z K Q k o w g 9 T K v J z / 0 X z / b K K h u g 0 0 I V N h 3 o h n Q V f z D 6 0 d g U Y V b t K o 7 I m 3 0 D 5 J 6 n b s I Z z q S k o 8 g x x m k q Y b H V / c U l 6 B g 8 r g m s Y d e G 2 Y Z e L J G j F C i T N M d i V A 0 j Z 3 k f v 1 E M v d d Z R I B p n s I l x m o u I 4 t e h S P L E o T O q U 3 g 0 3 b J + C x p G A J y K f i M t I r 1 d s 1 6 A T m / U Q x Z 1 l l C A G 2 Z j T y y N q K h b r 1 H O Q R + w m z F r 4 l L A Y m f S / x t T z x / k f x j H y m 1 c u P Z 0 c 2 p N w l s s L I B 7 Q K 4 Z + N 6 h x Z h f C c A S 9 G y 5 I a 7 C v 3 K + H 8 7 S 7 j n K g 3 r w K s K u j R 8 K 5 K L k N S D i D k p t E w k 1 K b u O B 0 o s k u I B z B 5 G E r l u m u 9 e k S M I E z h 3 D 0 A K 0 D K W Y U 6 s q A 0 9 B 7 U w C j 8 F f U t V R n y f A e h G S T 0 K 9 6 w B t b A V N d r w y T F l I u d a C b F H 9 0 l x / u T W C E N + 8 c 3 i i M l k 7 M 2 4 A t S Z 4 n l 1 v J E 4 S m i N V B m I N H J R w E 7 B N 2 7 v 9 e n i i 1 J W U a L 5 5 F + A j 9 W 5 x f Y O 6 k y l 9 f / P S J Z y U W 4 R y n 0 l f J T O Y R Y y W R h c f u / y 9 3 7 G H g O 4 t p U b 0 Z Y A R p S j a H x / F L o P Z o Y V s m M z K F v I 0 m h 3 f u x f z 5 n 4 z / 9 x W x s f x C s S 7 l v u Q e C v j G b R G 6 V I h b p C i Z 3 i Q Z c + 4 a Q 9 2 g Z r F l P M V p G P g m 9 v m s w m 1 7 c b e R R S Y 9 m M E K K m k I B 9 b y j X 6 a U U c 5 W m G + g j e E K U 1 f V f u 1 8 N l u b u O E s k g q b t o J n 0 3 Z z J u c 5 5 y h k Y s w l 2 c U B C + 0 j m r Z c g w d R c E z S z L 8 H 8 i m p 3 Y 2 u N T 9 2 7 H H q K p r q T E M 8 h p z 8 V 6 d T f / f / d f T Z C Y s z c O y U x K U 1 n 6 e V J L C E T M 4 M 4 q X H i g 2 9 J A o f j A E r n u T H U f j + i w Z w 8 x 3 V 9 L i e r Z m w D z m U 4 U w F A 5 u i p 2 E 7 S 8 z M q C A U + B c n c P A R W k J 7 S f U Z X B X S k + 4 M Z V Z Q y O V z 6 q K y n x D F K z + + X 9 1 9 / W y 0 8 m z a d L F z E 2 W G w E s c q Y G i R g n u S 4 T l 6 7 c V w x r 0 X p A K g v C t A H H N J + y x 7 O 6 N 5 S S k g v P w R 4 R K + + r b 8 0 R i H 2 j y 6 a B h m M N S z O h E A 3 W D W h F 9 Q 3 B W K e W M j 3 J U 8 p V L c D H t J u x x 4 C q q 6 k x P N j k H o G t c Z t P t V 0 r h 3 A a y h c a s p U D R f E e t w k n E n F Q R e v s m g l 6 N q y l R g 3 T d q 1 Y 5 n K f b g f h u h p Q 3 3 R m L N s t / k w D a Y Y J V X o c n Q H h Y R N / 3 7 X M 8 b 7 U Q d e P u T 9 l v v 1 c D X s r q N c D G H O i L V i R y 6 H d v A b N R x a 6 T c 6 H d r x 0 H 7 8 v v 6 K 4 r Q h J X a T s + W 9 B d t L p 6 H o 0 D P d k a r A Y m R o 2 V Z 5 X u d i S G x N H e 9 2 7 O F Q q S s p x y p I K d v 3 m / X 9 N 0 M 0 3 S i L O A + h / A S r O E M 8 E / n 9 w W c U 2 U w w U H m X J t t 3 l O R 2 P Y R y d x 0 l k I H y F W + N 4 A 3 X f p I w N k E F v q w k i W M w P k H M N s E o 9 l B n y 7 O G 3 X q I 4 + 4 6 S h y D 7 C R x Y D R Z k c s M p W e L G 0 Y o g i 0 + T V D G V + 7 q / v Z 2 / r + G a 9 E N I I r p E + r 7 d P F g j A o B o 3 7 S X O I T i y V f h P I h T + A B b Z 9 2 v x 7 O k 7 K Q c q C C R I j q h 5 I u i e M w l D Q k j n I o O S W O 4 5 H S F 9 0 u W K i h 6 D Z g o W T R P W G h x j D 8 2 B i 9 K C 7 P X G Y U u R C i S M H I 4 D e 5 7 X 9 d 5 g B o Y i B S C N / 3 Q q 9 2 i A u x X Q / X 2 s 4 y y q V 2 e R Z g 2 x M O j R E H 9 d w F B 5 W C b y 9 R G s F 5 E o Q 7 R V f X 3 f q h B j h T M 3 q i 2 y F a o Q e g 2 u R + P Q R y d x 0 l k s 9 D R E F F 2 r 6 G y 7 0 4 9 D U M 9 6 L s a 0 z 3 4 n g v R r m G N J 2 5 i D T l X T d Q d A U f 6 g n n + X + d Z J N M 0 x i G j 8 1 y a X Y z + x + X B y q a R Q L D y T N U 4 H E t d c X l f K 5 u y Q l C j 2 B Q F L V 7 o N o N e 7 j Z l I W U q y 3 Q l q 2 u w e 9 0 t Z F x i 4 C Z b j b k e K e L b T x R + v L H J Q h D + W O I g i x / p j B s h U E 7 1 9 S o K 7 j M N b V a 8 J q B m v V c c 9 C C N 7 B + p B b 8 x P o Z Q / 0 T b 5 g x O b 9 4 7 / C G Z S D 4 s A o n L Y 8 l i 0 5 Q w l u M S Y S n U Y y d E b i / W k A S r I F g 7 Y Y 9 v G H K Q s o b d v E + w E L r b X O / / G Q e e L m R F G K A Q U K 9 E W K 4 j O d W Z z 2 n 1 0 4 N d h h / q N + w h 3 D u L a U E 9 E 2 I H I W P z f 2 3 5 t q E 0 / z o a B G f C f h 0 S S 4 J g g + J j n 6 A K a R X s g q M Z o 2 L 3 C F 6 V 9 2 O P Q R U X U m J 5 8 c Q D e K f r w C A G T r 1 b g j N H P v j N G 0 N c W U / v i 0 X 0 l m S Q f 2 v M 7 g O o D T t 5 5 d y t x 4 i u b u O E s c g s Z l n N 5 v F 7 d 2 i M e n n u s 0 w C 4 x V U c 6 t u x H m 8 H B W I P l q x t E 4 q / J 0 t t B q u + J v 2 L O H i O 6 v p U Q 1 z G m m N u 2 N 9 v M f p 7 R X N z F 1 q X D 6 i a m h w B E T 0 6 m + G Z N e v e K A S / 9 s U B w w 9 M + k 4 s D U P x v D 8 L p Z L Y z 9 M z c 8 D y 4 t K U k p n B N w z 2 Q z Q 7 I K 0 K f A S Q C y k S h O q s x a 5 b j d s I f 7 U 1 l I u T y D h P T o e 9 K a n o F 1 P T / 0 p L v a U I d T l j 3 p S Z F x P F N n N 8 3 9 X X P / z 3 t T m v n q a v 9 N s w 4 L 5 K 4 Y t / c M i F x C Y h n V / b m q I Q J B P Y j 5 y Y F 9 6 X H T H s 6 W Z j H l f L 2 6 C r C 2 f 3 d / e 2 O o H J w M r d J 6 B p K H f L O M k X v b Z m D m U D P x x 0 U d T l B t u 8 b a 4 2 w 9 s V k P o d x Z R g l i k F Z W U a n J / j J N h m l 9 G s v O r i q L H h 7 c l a R / W X R E 6 e l D 7 C z b M B 3 y N 4 5 g g K n 1 X s w c L s U h / + t y C d 1 b J f O / b A o D l f N m c X 2 X P N N z a j R p u E O 9 d b Z u b t Z G p v O F 0 2 O Y Q Z 6 p M x C S W w 0 X 9 C Y i D M h a 8 P E B / Z Z u r x 4 u T n U l 5 e 6 8 C P E B 1 B t p u F T O P c L f U D k L 1 9 q p c h 7 T S 3 2 W 7 w L 4 H r J 8 A + J b Z v k T 5 H s r D N l T k 0 J 7 2 J y J F J p N p N B P 8 M n G M L z Y r N d f m L d J s 3 p c E H W G J K 4 + T e j 5 4 q J G I x i Z Z k B A 3 Y C G W q t k b l p h U F + m z G n s G W b D n j 0 8 M / t r K Q 9 N k I 5 N L 9 d / m H W a z 5 1 I + o h O i a D l f d 7 Q z 9 z A q 6 Y U Y M h r I N q H y k b e X Y i P V 1 v t h j 3 E U 1 l I C e b 5 n 4 e i r 3 m w H H L M W M e C S j R V n c M a F 2 s 5 B r 6 4 x 6 l h 8 W 2 x l r V K w 3 X U 3 0 b P 3 m p Q 1 A 4 L I h e x v 0 a q + Z e y L l U H f I 6 h V J X 4 n K l U 7 Y O a P N M n X C 4 w q S H h M s C k Z M I 1 w a S 2 w q B N u J y K j 4 6 n E J u q D 5 F w T e X H V h g q D f A 9 d z k N V Q d 8 F 1 r V D w H f K 4 D v + X Q a x j C 8 X 3 z 7 N r 9 u V m u T v q N T R x q d a m Y I S J V U y A H K D L d H J k l g B C 4 z Z Z Y L Z T l 7 f e N x 0 x 4 y J c 1 i a r Z 0 G e C Q 4 e p u x o z h v e i Y i Z r m / F Z I H u + n A R 8 0 o D N 9 q n H 6 t 5 / n 6 3 f z 2 / X y / g 4 S 2 M k S v a E f U m I o A E k J F U 1 Z 5 m n d X 4 V Z R g p M 4 o H l T P k Q 6 i z W t V Y / 0 E 9 c b x b N f 6 K 5 e v r h / A D S 3 f N 7 v o N m K b b a f x B H 6 G 9 r x w w u F i X D m M F g U S L H D J N F y X h N X q w 3 n 4 0 Q s V + d s N X g G 6 o a 6 U U G s V h z V / 0 p + g H t v l l O u 6 D I q z o V 3 P y O + f 1 4 I d l u 2 M P 1 q C z U n 4 T u n 7 + G i K 3 W F 3 m a 1 E N / E Z 7 8 9 f R v f 5 W 2 l P z z / P R v 5 y d f n v 3 l v 0 U B t 9 V P 0 t d c m o H I 4 T W X A Z c k a 6 4 J l 7 R 1 b u e b a y M u y U m 6 W l h w Q N 0 T e o z p r p A q x n o F v g 1 x X U h n j q S L m c W 5 l R v + / 9 l 7 u + W 2 j i 1 b 8 1 U Y v t 6 G 1 / 9 P h 6 k K i b I l W i K l E L X F 4 7 p b I m E R R x C g A 4 J 2 q a 7 6 H f p J + h n 6 T f p J + s t c f 0 Q i m V x Q A n l S 0 a u q w + 6 y j n f m x l y Z O e e Y Y 4 7 h 4 t x u L q S c W y / F q / U F t A 2 O 0 R X Q B h x D F t A j j t G f q d d 3 H z 8 u r z 4 b G C x 2 6 o Y x D B a m T 8 I 4 S U k r J a e v G T R C E D 4 K k t 6 x q 6 7 z H j 9 U z Y 4 d n C p 1 J e V Y e T k u + 0 d 1 + 9 V 4 R 1 5 Y i X M I c x t B S a K + w z O W + 7 I t / w S p E 7 E 9 v I q E r N 7 g G 7 L e r o N Y K g s p o b z Y o V J A H W I 9 v T 6 6 W F f r 6 e 0 h q 4 X W A N x w N k + f W 3 B j c C o K C y b Z e f R q U 6 I 2 m C J R L c I Y i X g 5 A k i x P / R s t l t 2 E N C t p Z S Q n j 7 v Y 1 P / 0 Y P c p i f O Q q r n m d k k k l 0 B a E g k Z Q E 4 J p L 9 o y e M B D 4 t v 0 x X 3 w x n y 1 b F K E b s s C y E H 3 q A V X p L x s 3 L S R m g a w Q T C Y B F 8 N 2 H n q 1 + 0 w 5 O l 2 Y x 5 X x 5 q W h 0 N l t f 3 U z n c 0 N Y b W c X o i i N K O s j O v 8 p w k b t + 5 d M Q s H T h Z P L Z E O d 5 w w b / 2 q 3 7 C K o z a / T L a W E 1 M v 5 B X 1 9 v 9 9 G 8 Z 9 3 n 5 e L n 1 8 t v 9 1 9 v p O p 8 H R x e y e A 1 q e r a b U N s z 6 1 s b D N m A Y t m d T G O S f l S 4 r F l E u d E a c h f l h l W c a F m P H d w a Z d b v / / / T / / r + a / w N G J 3 P 6 R 2 P w B g d c n x m W V T + v p 4 Q 1 u t w F t f m p p v Y 1 E Z u 0 6 1 Q i / / B z y U / M r 9 7 9 1 w w 5 + v P j Y + F K c / t D t 5 7 m 5 q P u f + Z e N 3 / l 2 A H p 2 P l t + X F U r 0 + D L 5 Z 8 2 e S x z Y 2 k m 7 F P z g q R V q n r 3 Y h b 0 M Z g y w 2 Y u 5 R U e + t a 2 W + 5 u y s N Z 4 G w t p Y T 0 8 k 8 P 8 9 j f q l v h f / P 7 d A 7 r p V q I 0 B 7 K I h D I I M v T A G M j q S L Y X J b Y y Q X C Y J V + Y 1 N y D g 2 t 2 P p R t 3 E H N o E P L K i E 2 U u r w J f w 7 W a m W X o 7 x h 3 E u g I b O S z k m v G m N r h C G Y E Z U R i W O w K u 9 Y Y d n F p l I S W Y X j L u n l X z 9 e z L 0 q j c e m a D J z C t h p Q F o k E k x m G U o T j T x D P P A A F R q h b i r b t M q 3 U 7 d h D Q 7 b W U m J 7 5 i C e 8 W i x N A u N 2 o k J Q P U r 6 / Y i 1 i o S 1 Y w P 8 j P M x q C 0 N z L Q W 6 B 0 O D 4 n t O o j l x j J K G L 2 U E 9 L X O J o Z 7 b 3 3 M D V r 7 N 7 D N M y B y x 7 m O A f e Q 0 / 6 t p c N B a R r e x k o I L L t N V J A 7 o U h r r 9 8 0 e h v / + l x Z H U a G l u a y H Q a m F q L x t P Q / u C w q B M d m b 3 + Z / D J J C / j 6 O b q + K f B l 1 L S 1 P i C 1 P 4 Q b z R B 3 T U e b R X 6 M P Q W t Y e p 4 i I G b 8 M s R q M w S Y W a X c M r F F L w O N Y y j 9 s m j A 3 Z 9 3 E c p j W O r f d 7 S J R L X U n J J 7 y s 2 / R t J p v b r W s z G W 4 3 2 W Y a b 7 f + W P 1 2 / W l 6 t f z y 0 c T G t u 0 y o Q N Z Z p T K j c G z x L 1 w A C J p x 0 M 4 L 4 Q c 6 O B D 1 e 3 X Q Y 6 + v Z Z y s L z s L 9 E R 3 2 4 H 6 N x G B 7 9 X r Q V 7 E y Q d i T r k u R q n H P p j p W d j 2 q i E d B N w B p U Q W c m M K i F 9 G J 4 y Z H 2 7 Z t D a 0 G w 9 + 8 0 G 1 w c 2 w t q M m Y M 4 h a G S Z i 0 / J S u 4 3 + B Q 5 6 X 4 0 x 3 Y R t 2 W H V x w 2 2 s p F 9 z Z b x 4 C + 1 A V t i + 4 x t X k + x L y b p D L Q F C R g 1 w j Q a U / W 4 h 6 b Y c h 0 j S 9 B 7 8 z c V u e G u Q 8 Y l G e j n I e 9 8 K g L U + t p k v b 8 t Q 0 X S r K 0 3 G 6 t A / D x f p u f f v F O L F z b t O 4 w A 2 h z M s I L n K M w R x z O y 0 l o 0 R u n R e I w T e G d k g 7 h v Y Y 2 w 0 7 e G a 2 l l J e m X M f 2 x b 6 + t T m e u v q U 8 P 1 J u v T 8 X r r z 9 W L a v X X b D q / N i R w 5 1 Y J X D j B 9 w 9 F F Y 5 P K a T Y O k k V z h U j A T A g Y e a E O T 4 k Q 0 9 W u 2 U H J 2 t r K f V k + Z i / n d z c r a 5 u Z k Y G 5 P k H i 6 S c J i + O I g X X p S J J G o Y F n j J p k c B 1 z S N U c u j + D m N A d n t 2 E N T t t d S o f v A w K / 9 z u T J V W X Y + 0 t h F U 1 + h Y 1 W L A 3 e H l K 4 9 + o l l E Z T p b j M d Y r c O Q r m x j B J F P z 2 k C 5 0 4 X C 0 8 + 5 2 1 V Q O k h 8 1 Z 0 6 F H 0 r w 4 P i B C / u B Y x V 7 + Y P 9 D + G d X J 3 d 4 a 1 2 Z V J v t Z t 5 w Y 4 I 4 A Y G 3 n q B p a T B l O Y m T P K m N e 4 a 7 v X T 7 d X C m t t d S D p a X M 2 9 6 0 M I G E O x A C w M g K E G L E R D s 0 8 m n u K 6 a y I K 2 x j s 5 r D L O T 4 D P W c 3 l l c 2 O I u O 0 4 X s W o n o v B X 8 H 5 5 J y v w 4 O 1 e Y 6 y o H y 0 n A n b J g Q G + w I n Z y T B R / p x f L T 9 O P s y l B 7 n G n U b A b j X d T 0 C Z 1 l b m G I w / d J 4 U U 5 y d M i D H F K q P t m g 7 + X Z s c O v h h 1 J e W b O f P S Q k 3 Y W 3 w y k f y f v r a p O 3 C N j x N A / 4 A a o 6 D f 2 T Y D O P 9 o F u W w C r g c 5 P T x 0 L r j a b 1 j B / F U V 1 L i + f S 1 h z X H x X S B l J j h e J 5 b z W x E E 2 g g S I c X + A A l 1 B l t O K k 6 m C w v a G q n V J n F 4 M N Z b 9 d B L J W F l F C e + z i t o W d Z 2 d B B O p a V g Q 4 i W V Y j H a T P j / R 9 a x v U s + t b G 1 B P 2 b c e U c 8 + D I w 2 f 1 n e r U 3 l 3 / k f F i 8 V O k I R L Q O 4 b g 2 k 0 l 1 t e F L w e t F i i F A T o p 2 9 y + i 3 3 L K D 6 6 3 9 d b q l 1 A v u D w / f q l C n i Z x r S N U W + W q g R W 8 0 a w x O U V s a Z K s R / y B 6 M x K 3 7 5 3 e a o V e p S E t s d O 3 S d D u C 8 A T 8 j S h 6 5 f G D c D 2 M 7 I N M Q c 2 w q d X + H E N n h c + k 9 v t D t P h x k i V h Z R T 6 6 W + j Z 7 k Y A P b d C Q H A 2 w j S Q 4 j b N O f q F Z I x 3 C m b M c 8 c 1 p 9 U C c L J r G F i 9 2 9 M c 8 s E j U d n c G d j B X a L T s 4 V 1 t L K S f L y 1 F P H v G V U Q P a a j C Q F i C z 9 u A q G f I 2 T A J 2 H a N C K J 9 G I H T M 4 T P V O / y S l N t 1 E M z 6 d + k W U k L p 5 W j g b / P P S 8 P J t O r l J j Q q E r q 5 D G A D q g j H 3 e Z k h m G K G U r O W H Z e I v Y W t e Z D j 8 9 l i O 1 2 v + / h X r u N Z Z Q w n v v Y w d W X 4 D a 1 X 1 e C G 2 o / W Y K P t V / / 1 u m J R z a E v o 5 4 Z C D 0 S e L R S O j r w 4 C G / D a 9 N d S E w a J e u 6 x u r 0 w 3 5 5 t 3 N j V + i t c y P V 7 x P 0 F Z Y r b c 3 p w R d 2 p W 0 K P C h Z k 3 M m 4 + i 8 d v T r l f B 1 f n 5 j r K 3 f n m n Y f V / W / X X + 4 W 1 4 f z c s N L G Z f Q M s q l a 7 b 0 B Z W d R f r 1 y B x E B X V f U g 8 a D O 0 s N D t 2 E E 1 1 J S W e X v q 4 6 d 9 C G x H M 7 i 0 0 z B j I t 3 C c M e g v Y f 0 s m 0 0 Y 2 l k 2 Q x T E L N s Y h D 4 I 5 7 O r J b Q J I a Z 1 8 o B R 5 d m 5 z U O F c 0 t S C u t C N E f p h 7 f W u j + X g N H I o m X J z s V 3 u 2 U H t 9 v W U s r 1 d u a j V 4 9 e z G W / y Y 0 e O r M B o z v o j G 7 F Q 7 o J E j o b w e j + 9 O r z W I 1 8 h U U e + 7 a 6 v a 2 M P B m 7 b p U Q b o c k g 0 y i Z O J 3 Y E 7 O z R G E y N W U D X 9 m c L e q 2 b G D + 0 F d S b k e z n 3 s V Z 1 P / 6 6 u T b y K E x s X W 7 A 5 o o a s H q J d Y V Z P V t R a m F E w w c I 2 y x F T h H k x v P d Y 7 9 d B M J W F l F i e + G h i + 9 v V z X J u K k z s x K a J G D Q 1 V B A Z p h A y l 0 2 N i f 4 a m H k Z 4 T K F S v B w I n G 9 W w e R V B Z S I u m l y r R e l k t z k w / u 7 n a y X A 2 F S d f d l b J c o x B R / 6 B e 4 M C 3 M M m l n F p x C H O o n 7 i U Q B N m T u k e a l M g K E D X A k o G S k T I B A 9 H b e o N O z h T y k L K m T r 1 k U G o L z B t + r t t g W l o 7 4 o C c + z u 9 i c K R u w 2 1 B r Y V A o 5 9 l o i p T A U C n m A k M A 4 c j Q T p / R q j c y d l j t k Q 8 D s u E M G A q a c / B o J m P 1 Z e L n 8 B 0 F r A 9 R i a 4 2 c F H E K 2 B I I H x B y 7 D Z f Y 0 K F n g B z s T F t A c H 8 G 4 o j 1 x t 2 8 L o o C 6 m v i 4 8 w S x B o J F J 0 n L / B G V u T X 4 v J g o c Q E A R S 8 v F i 6 0 + U H u v S p M 0 W A I g e 6 9 I Y v A 4 O d I d 1 G U T X J N Y 1 q q 7 d C 3 V S T y p v z I Q F m n a B R a j f Q c u e r v 5 a G i 9 p W 8 X E J I i A S L D l i m P u k J a M B n e J i j r E v Y n K u r m 9 h 8 k X 9 J t 2 c F F r F l M u a y 9 1 E 5 / d T a V J y A d S I h P 2 Z U 8 0 R F 8 2 Q I Y i K / l L 2 5 Q v R b c + D H H 1 z T P p S 9 C c + 8 e b 8 n L f R 3 L X D o K r W 0 2 J r p d 0 w z D S X A 2 h p s a w u B o Y B t u u Y y L N S z P 4 F S i a 9 z 4 y A D S F U E Q b A Z p 7 r 4 B 2 M n i / r 4 A e i 9 M 0 0 A a H u s P i D C Q t i c W N J K 0 + 1 P q i 1 Y a y 2 B W t B s q i L F p H y m I f h j D R X H z N P 9 t Q j b G 5 X B s J 4 4 3 c r r n U N 9 Y Y f O K a u Z n I I E w T c r W O u j R 9 o P V 1 T o 3 e f V 8 Q u j o H x O 6 h i l b W O c G I 1 X V Y 3 c X s 4 3 x q 8 g W 2 5 e O k O Q J p t B s Y E h W 6 F A 1 I J P g 4 4 v / G x D D d a e 5 d b t d B c l r / L t 1 C S l 7 q J R P n 5 G Z a r W + q L w b E 7 7 0 N u S r O J l G G 6 T 3 e Z g 1 F t E X 8 c g Z h 8 g h v V 2 T 4 p X j a U M S v 3 X L 3 O x 9 u h m J r K S W k 7 3 1 E / f S l h k Z D z e I 1 f H n 3 5 e v N a v r N 1 N i 3 / W 4 C 2 o 3 M 1 v D x C J + 8 9 h I o a F A K V + m Q 2 r X I Y r T N h 3 4 3 3 Z 4 d f D j b a / 0 I X w 7 I + 3 Y B m W i K 1 M E 5 T g w j S j T C E g N g H K e 0 I 0 f E + F 6 W o 3 X Q s K k q 2 q a w o a g Q T e G x p u i D 8 H b + 7 T E J D H s k D m m f X D A I U f k t 2 w u u 5 M U M k 4 A U K I r i n S 6 4 d s s O 7 r e t p Z T r z U s M L s h r L G y j h L N r h z X w q b E f x s E a G 2 K L / m Q 9 q 1 Z r o z z F q w s L N n 9 c T F D M 6 q V 6 B f e v H l U q Y D Z h c w 7 r E 7 L g c H J n v V 0 H Z 0 p Z S D l R r y 4 8 H D t 7 e n t j Y q L Z t a F Q J 4 R v j Y U u 6 m d I L H d j G b S h 7 j c w d m B 3 i u 0 6 C O T G M k o Y v W w 9 6 f M + q / Z x m / c 1 2 b m O 2 S n z v r F 9 3 F + M r 6 p 5 9 a X 6 7 6 V p J N d O 8 D N i o A n V H l p 8 U K U B V j r 6 T Y p y J E o G M Y 5 4 Q c r M 0 + C R 3 G 7 P D s 7 V 9 l r K 4 f J S 9 P P 5 9 G K 5 N o X 0 d x u + b p R P Q j F 9 W 8 R h R s E s D V j k c 8 c t K W T p 8 R R N A N N 2 0 a e o N + w g n s p C S j B / 9 5 K v q 3 U 7 s r k p u 7 l c w 0 0 p 5 3 L H m 7 K / K d 9 X 8 3 n 1 F W 8 9 E 1 H C V k u X Y x U n e O 8 i U 4 i + y 7 2 r M i 9 z B k U 5 c M j 7 D M 8 j + z 0 7 O F q a x Z T j 5 a W g 7 p / V x 7 u r p Q j q 2 d 1 i d j X 7 O l t u A 1 J v 3 2 2 X B 3 o o 8 8 m v L 6 b L d 9 P b 5 f x u j S L e 0 X x 9 / B M W L D x 9 W L 4 m p Z D W T U M w E X l h Z i k j Q 1 Q G Q Z Y V U t a u g a w e Z 8 A 0 u z 5 g g + h J t 8 R m F H e 3 j 3 j y 9 m 5 K + X X 0 j q H q v q D Y v 4 P E x W x 5 9 1 + G p o K d a V I 0 S R A W Q R g N y t J 9 V 9 8 w i I V y O X 2 F s m j V m o Y x 1 O R + H R z M z X U 2 o / n k 3 E u 7 p P n 0 7 + m 8 W p h I 4 W 9 e b R / J H T B i o f k a F N C / a 0 G Y V m K r z C d x h A B 9 K s s / r J o H j 9 e e t H t 2 E N H t t Z S o v n n V H 7 T 6 j x 4 8 t k / + v Z i t p 9 d H F + t q P b 3 t / 7 X 9 n 8 9 A S 2 e w S W Q a / D I y 5 D G C z j C m M X 0 a c 1 K t 1 9 U K S 4 A 7 U x / N V k Q e T Q s m L k L E B u t 0 R b 5 2 e T H J 4 P e G Q R i W W T R c Q / 7 e l l 2 c r f 4 H 6 l Z T T p e f a v J a J q Y N P a 9 j Y h r o e Z K J O d L z + v N 1 d n W 6 W C 9 v T T L m d t P n I f Z v g C Y o Q w Y l T 1 X Y j Z / z B 4 C W v G d B h D / c D n h K u + X u c z 8 c u W F r K e V k + T m E r m 1 R W z H A W q j S x A A T L e q R A d a f L L 0 + m U 0 Y O h z E E A a J g 4 x h 6 M O g J 7 5 q w q C v j 4 9 + e f L r L x + q + d 2 U v 5 8 + + f X 0 6 P P x T / 8 h 2 q P 3 2 n W v 5 t O P 0 9 U n Q y 1 n 5 Q Q I g J l E o C y U c V l E z 7 t s 7 1 C y f 8 S T g V p Q j t y h x 9 N s 1 8 H 9 q a 6 k X J 9 + 2 g B q 0 3 4 b h k + b 9 h s I P i L t H / k 9 9 0 5 t q K G r x x p + j 8 W p 1 b f 0 6 n W / k y n d v p M c 0 A e Z 0 u K d H M f p + 1 A / r 1 a f T R 1 y K 5 F 5 X H Q Y L m Y Y s 7 8 j 6 9 Z P M q H c w + 4 R j C z Z w Y h D b t b B x b m 5 j n J t e q k w f 3 k D L G N 6 A a 0 o 0 i l j t R n / g 3 N K 3 l B T 6 j i i u p t C V Z F B 3 K X V I L f r I J C b 6 y i B 9 J I b / a z 6 N l + u T J H 8 H z Z I Z s z B y 7 A L K M q o i C K C 2 n K P h E w y A o K 4 w h f x D o 5 9 9 X Y d R F J Z S A 3 l / + i h y P q P v E U w b V 6 4 N p U x P H A i l R n f t / 5 9 O 1 u u T C 3 Y 8 z O b 0 5 R N Q C d R F U c n R r q o t C 1 Y + G C T k r m R m H a P V J D f w U V l V T k 4 T e J X 6 Z Z R z t L 5 m Y d n S T 8 y o j l L F h n p 6 9 n f s 8 W n W z P 1 0 0 q 7 j n y o K M M 0 R Z q C k S M m Q 9 o P R m j X Y d V C p l S W i F f s 4 D j Q b 7 q L 5 + E A O c 1 i y s f j p Y b d G 5 o Y / 5 h u A b v u I G a 3 c Z p G 4 K t 5 L T v S v q n J R L j j p m k s X t p d G L 3 1 h h 0 E V F l I C a a X f c E z t C V X 1 d y Q I V n Z K c H O T u O C g T 9 8 P 6 H 2 M v o s M 1 2 u e c i + B P k e 1 3 d Y 3 7 7 Z r 4 N g q i s p 0 f T T U i m u O 7 o b E w 8 N B P S d K E C T J B m 6 v D F J 0 t j l 7 X M k P R S j g X t 2 Y E z U 5 y Y x z H N J d v U 4 0 N W H 4 X J 2 a y z h L Q s / b H A A s K n V N 9 i C A s T m m i s Y P U J L C y 3 q w a m q 2 K 6 D W 2 1 j G e V K 8 x L B x s T 1 9 g b 6 p + G F s p 3 L 4 8 A i D o / J L f l F 2 o 2 d l N G k F H Z W Y Z b l w i U k a z S R H u c H t l t 2 E M 6 t p Z S Q e j m X 9 8 f 0 r 7 + m q 1 s 5 E / a 8 + n s m y D B v M Q W + v Z H V 4 8 b j 9 d p K + R / b c f T N 0 L W O s 7 S p A 2 T + Q W y L E K S U k Y j a r 3 N w b L u 9 H 8 m d H 9 X 7 P i Q V 9 K E V l U i / 9 t E M 4 G R e m W R D 7 A b / s H W A j R E F U N v E e E t b J j A g k a V h n g m 7 + U B Y y g / V C x C b d X B k N 5 Z R g u j l 0 N + j 1 N 7 n F q B P I o S A O z O 5 p u X 0 M z S 1 C d M t S U H 8 8 r j Y Q f R h k 2 9 7 u N p 9 c x 0 l j O f P P c R 8 9 A x Q D X d g c F r a 4 q c G B o f A T 0 c C R 5 + U I r K 6 / c a l G q 2 W 4 U F o L r 7 U J C u G Z G M 6 6 o r 1 Y T h Z L W 8 / m l 4 m K 4 p L L N p C S U o b j 2 Y t e g 9 d S i m u t Y i k M k H n K k m Y S 2 / q u c d T y n r D L l 4 n + c t 0 C y k X m 5 c V w u u l S C C f L j 5 N 5 1 M T r 9 r O R A r r L / p 8 Z J H 4 A 8 r + + z 0 o K w p z 3 i o a g d h 7 t O f w 8 Z i y 7 6 N m 1 9 3 v f b g H S 7 e a E l 0 v / a R O q i 9 f P 0 6 N 9 Z + t 8 B R l A K c 1 o 5 J v 8 s W W V c H M G P Y E Y M 2 7 5 S D t l h 1 E d W s p J a R e N u X 1 A J l G M H f w I 9 j J T j U T Q w / K D 4 w + q / 0 j q G 8 C a o Y W L J q A b 9 Z L E w h n N x U Y T L K E t z R r D B n b A p C K g v P M w O d O T n B i p w 4 O 7 M Y y y m H 1 c h x Q L z K u a R U P P q z d a I u B d y F H W 0 b i R X 9 Y n + K I v D B g o H Z Q S j 4 h t a F f H g K J h X E m 5 K 1 q n C w V 1 p n M k R W N S 8 9 g M E X u 1 8 F 5 2 l x H O V B e w i m / g 3 R + r O 7 m h / O 3 p v y g d c 6 c X 0 7 b t X b D r K M Z Q 6 M p g o B 8 Z k f P h 2 7 P D i K 6 v Z Y S V S 9 1 d f X o i k 1 O 0 6 I r h p R G o C t j R t N f k s + X d 5 / m l a k G t O I b Y S S M N K 3 Q I E h Q o 0 U T p L 0 m 4 R t R A l L s x 4 h V S 3 L K U M y 5 2 b G D Y 6 W u p B w q L 5 l G C K u Z d c e f a q R B B u c h w D Q M S Y f c k V l R a 7 u 0 r 1 4 o b K E T 5 M i T L C 1 q Q f J h 7 J R 6 w w 6 i q S y k B P P p O w / x Z z p l X 6 a H o 2 I n E I 2 E V 1 V t Y i s H y O S j h 9 j q J C 8 S W E j Y H A W J n D c b F s x 6 w w 6 C q S y k B N N L z I 1 j s 4 1 j x 5 q q w K J 2 f H F X f d l e 5 M W / t 7 t N F o v o i 2 C N h 5 L F G s 9 k 5 v 5 y Z g S x b A f T c 4 Z J e J d g R h Y Z 0 g / N V V b E E 3 q j B V k f i D O i E E P f J b Z 8 J D b s 4 O v f W k r 5 / r 0 c S 3 9 m R i R f / b n 9 k Q 5 / l 7 I J T Q P U 7 j u r h D 6 Y U F H g y G P W h 2 b j c H k c s V s n k b y 3 j B L F V 3 9 6 + C R d T q v P 5 g T D F l p G l y o C i k L d O 0 R 0 p U n p f y Z f z P H D 5 Q + K N O C 8 D j 2 V z X 4 d h F J d S Y m m l 7 D y + X R e c 4 p O l n e L 9 b f t p + O D F Z c I H 4 p C T O a h 3 c 7 o X h g 0 U u A / o 6 x T F P y T P N x V a b r e s I N o K g s p w f z g I 3 N I X 0 / b k G j b e t r A o R X 1 9 E i h 7 e v p k + l 1 Z c r Y 7 e D 7 a J I h l x P A 7 o k S J g T a 4 i u f c G P S Y a 0 r r + F 6 m 3 K z D g 7 T 5 j r K W f I T w t c l 6 6 m V 9 l t L O m k S S l 2 / L R S k k 3 E u o D 9 N j 8 9 N v b T I G h N U 8 t F N S W C c 1 J r e 7 f t E C Q A t o W y 5 K D t o U y n j T I f j J i g L K W f K S 4 W A t 7 O v U z H b a O p u 2 r r i C V P u I G p V T 9 t 4 C r + Y F I W / A L W c K C G F H K z d 3 u 3 Z w S 2 5 v Z Y S V T 9 R f O 3 8 l E 3 W 0 f q Y G b I O M T 8 1 Z h 3 9 P Y k v y u I f c 3 1 9 c W J x U 4 L 7 w r x D f 5 a 5 4 V h g J V 1 Z h o o f K E k p 7 O b E X d p 0 X h 5 n c r U 7 d n C u t p Z S j t X F i Y d 1 9 s X d F 6 Z M D 9 i 9 5 t H j T g T M 3 x g D Z x g r Q W A l B x Y u Y y n x P b T Q r j f s I J z K Q k o w v e x f 6 z 1 5 N Y j p c M C r y S Z N r v P S k 3 d 0 n e 9 v S Q C I b Y Q j 1 C i 7 W Q D X b + f o 8 Z o y H L s C k I y V u o 8 5 8 I x x S b j R v J E 1 T y G f p B E s h a I Q x 3 c H y 4 V 6 v w 6 O r b K Q c m z 9 L A K 1 E s U 2 R W D H 4 z I U g Z L H N R a B / b G F X q U 5 t l Y D I I 2 o Q m g a A I k Z 0 R 8 H Q P o w o I K u C c N + u a 8 n 1 a K 6 n l U m 1 p 6 d U g o m X k m E b 2 i W Q t I s K A j 7 + 1 O 0 H f A 1 i X d q + r U b d n C B b i 2 l X K F e a q W 8 r u 6 u p 6 v r a m 5 6 E u 1 c i B C 6 E v 0 9 + J Y h f M x e U A 4 X b H Q F U L 9 p v B G H D 6 P 3 m 3 Y Q V s 1 i S m C 9 t C F i D H z 7 N g h s y H t t 2 W 8 g 7 4 m y f y T v 9 V e y v q 7 Q X M m 7 1 x U G D w V Z V 4 w e C n 0 Y O r m B Q 4 k y R I J F G Z b 0 f J J a l a H l q p T I 2 4 Y N E 2 8 w 9 N J t 1 6 k S Q 6 v 6 o F x u X m o w 6 A t F T c Z p U S j q 6 W C a 4 s J i D X h C 0 3 8 q k 7 f H q Z U Q A X 1 H O B n I l I W b T 2 8 Y Z r y 9 s G 0 i o a 2 8 i y x v s 2 M H 7 6 6 6 k v J d n v q o R 3 A h M + P X y 9 V 0 8 d / C L n U v D o C D H A 7 0 I 0 0 2 K H 9 X C h t g f l k K j z h / / 9 L o K R 6 J z M S + T 6 y u p X g 0 o l v a r j Q U j + S A c j 0 P C i X v 5 Q / 2 7 w v 3 E n v I v 6 q F y a / 4 5 I 1 F S G I K l y J h E i m M 4 N P X U q w N L 5 t a h + H q I C x w 4 O R e b e C L x 7 s t 7 Z Y d 3 K t b S y k X 6 8 k b D 7 s t j 0 / B 2 E p 6 l j B Q G Z 2 o 4 Y W O C A e m I u X Q o c I F e b q L E o I 6 m 3 I 4 p o G 6 k h J P L 0 U 9 n 1 5 X X 0 w z T e d W a Q + i 2 / i V M U J N B y 3 A j 6 A F k c T c R B o V a Z Y w O w H p c W j r T O 7 W w d H c X E e N o 4 8 J z x l 4 4 H p q w o 5 s n e E T Z p n o o z Q X a j e d F k 3 A A Y s Y l m r j n T t s / q X Z r 4 N Y q i s p 0 f T T G V 5 r T G f V B u W M i a d R O K O J C O n S F 6 n y O r Z B + y T y 7 Q 1 T K r O v p v v R K n 9 B Y x 4 q C A b T m I j X 1 2 A 3 V c Y I a J q W U Z B w 5 N I m 8 X 8 8 e 2 k 3 7 O B Y b S 2 l n C s v s x f K w o / L l a l p c m H 1 3 i U T k Y Y C p P e c k L r p j E 9 8 i b 1 S R y I Z / O I 1 O 3 Y Q U H U l J Z 4 X P r 5 6 l 9 W K C t / A / X l r M 5 U B 6 x U h 1 7 R E B a Z A c h k u e d M D y 3 H g Y V Y K f n m d i g p v i G H P X r 1 h B 9 F U F l K C + d b L q Q w t k 9 x K Q 7 J l k p t E J A W T f F S R 7 B 8 9 a G 7 b / a p 8 v 9 w f P T p j k 9 + 0 6 I w h v R E D O G N 2 0 w f 6 0 d L v N w t o R q Q 2 Y N q w r y J F x B 7 T D u E T j w 9 T U u 7 g J 7 h Z k h 2 u i N 9 c R 7 k 3 v S R f Q X d Y / k 3 5 J 9 L U v e D c T 3 5 9 M V 2 + m 9 4 u 5 3 f r 2 X J x N K d e w F M F E 6 Q Y 5 I U x x U K M E D d v Y Z Y y o U h l n + R l U j I w M J z Y 3 O 3 7 g I j p k 3 u L b M Z y d 8 j 0 y V v g z P X y 6 N 3 s a t k j c / t H T U + F A 9 K X j y Y T p L M L i 6 M Z J 5 M I o a Y E d i T o T N Y m N c w N 4 / I Z o 4 o d B / R Q m T g d m t S 0 G 3 a Q 1 m w t t R n U J 2 c X f W T q P 3 o w z k / + v c C H 8 / r o Y g 1 w c t v / a / s P q L 4 l Z J P Y d C 0 h Q 2 I j W 0 J j Y t O / d 3 p l U C s O S A u q m D g g w s V 4 5 I D 0 Y T h b L p a L T 9 V 8 Z r r g L j / Y X H C 0 C v B y j G N k d 4 W I Z 9 x d c Q H C / 1 m a k p Z A b g S Z b u L 2 O L D S b 9 r B J a d Z T L n m L j / 0 9 5 U / 1 5 y 2 f r M h u o V t / d b A J T r Q U k 4 C j 1 S 3 / n z p S e C a + m 0 w 1 U 2 Q v w W M 1 c I c 2 j A I E n h 0 w E z u w X d 8 L 3 + w / 0 d f T w L X l L g W r K U w 0 Q h l J Z o X z W K N x 1 x 2 / r S 5 q L H T S c s s j r N 4 U / e e s X L 0 p l I 0 1 c o Q C v o u R Y U H P j s + q h E F c U 1 B q q 6 / z N q 7 4 t h K p i F u m r m p Y U I n z k a Z h i + z R f u D R 8 d v V 8 u / Z 9 f T x Z W p U / v u 1 O J M C d A 6 p 9 V A e U f / S G j 0 t q C 1 m I g r a C p x m h I B Z j d x e z z 5 6 T f t I P n R L K Y k P + 9 O P U x + a s L h 2 2 q 9 m l 3 N T I Q n K / O X i D 5 S U G D y g u t t r U X Z B J d p 5 D R s 5 z p 2 m W p k 3 5 C b 6 1 0 7 i K 5 2 O S W + X m p S B m W d y G 7 c n 9 F + n 3 N 9 5 q b R v d w 9 c y O R f q j r H 4 r M b V T D 7 + / o F 6 t q Y d J P P z 2 3 u Z 7 B x T F 3 x e i n 1 1 m U L e I i F U N Y H O v 2 T w b X p n K / D s 7 u 5 j r K o T 0 9 9 / B S f r k 0 C + H b c E 9 p c A T I e B S 0 M b J a m 6 + 9 i l O 4 / r Q 9 g C C Y s x N 0 g K E 4 q t i u g z h u L K O E 8 c x H z u m b + e x v o 8 K H H U m R I o Q 4 4 f S Z R D m i 3 D 3 l F E M 1 0 i g I p y V c 4 l 0 k W + o N O w i l s p A S T D + d I r U o k c 1 8 R I c S G e Y j J E o 0 z k f 0 j x y + g f I V 2 8 h n U h u w r j U i T A 1 g X S L I F i N Y 1 4 d B P z + n S f l s E J x q f o N o r Y E l Z T d W D l Z D w V m E P I b 4 V P Q s K T I a Z P H D E H V w 5 K Z 3 U L w 6 q T f s 4 P 5 U V 1 I u U C / n y X H r v P o 8 X Z s y V K s a M w 4 m m D V B 2 8 C 5 I q K k j B v 0 V / o m o 1 C M y 2 x R + 5 A M H q p p t + w i o s 2 v 0 y 2 l h N T P 4 l I r n 2 M D 2 X c N 4 o a Z q I P s Z Y N 4 h O z 7 y 1 h f 4 + 8 X T t e / u z Z z i d 2 7 a x h M l O / u O J n Y h / r p 1 6 + w p p a 3 J h j 2 1 I o 7 z C 2 a w O k v o U p F 9 6 u K M p o U G Z N P t S r Z L l B d t + f u b j s g C 6 7 9 f b q 1 l H v 0 1 E c G 8 c t v 1 6 a A 2 n L 7 g W e E R g 7 y E i D s X Z l Y l h M I c S G u e M A 6 I t E Z D N y I 7 X a / 7 + F i u b G M E k Y v W f 1 k Z X d f p q Y E 5 9 K q Q 8 K U B i y 3 j O G a K K L 1 2 N H 6 a 6 c 1 n G 4 K c h x 6 J W 2 / + / E O S b N j B 8 F U V 1 L i e e l j b 0 T P 9 t a 8 q 8 N x 7 R p r E 5 F 7 E N a G 7 T 3 S r v o X 7 8 9 q 8 R l J c U M V a H c 9 I g Q v Z n 1 L N E 6 C F A M h Q l O P P u W T u M S I B n h N N h 2 H D / s 2 O 3 Z w q N S V l E P l 5 S X 5 d A 4 k 8 J e J Q 2 e n / y d 8 o k J k s 0 L e t B I h w C 6 e g g j O P + P q h P Z d M r 4 9 F N 5 u d u w g n u p K S j y 9 1 P / T y 8 T Z X J K t T J z h k h Q y c e M l 2 V + S J 9 V q b e w 0 2 F t 2 R c z 1 o s E o D o 6 4 C u v e X z Q J I 6 A z W P n N L T n 0 T N U b d n C k l I W U E + W l Z d f F P 7 P 1 f 0 9 X 8 2 p x b X j 1 r L q 5 M f Z c E W r / r T N v H 9 F 0 A u O K v i C q m s V O R c G 9 X T s I q 2 4 1 J b Z e d n b P q t X t T W X 0 v L R y Y 4 Z F F Z D J M P x L A M U M f q t c U p T 0 B F E O p 1 N f J j m G m I N n 8 9 s t O 4 j q 1 l J q S F 9 7 2 K w / u 3 o 9 N e o Z 2 3 Z 5 0 Y M q y j Q R e l G w 4 l p a H L E l o W F u L U t x e U D p e H A + U 2 / Y R T j l L 9 M t p A T z B + r y 2 s C c X Z f X A H P K L u 8 I c / b 5 j B 5 t 1 s h z D q 6 8 O 7 S 5 a f 7 o G g s S b R 4 F 4 e + F Q U s e 3 G + X 9 w I F 0 y t j O W h p A I c s G + x h H k R p W t / p P + F z D 8 s Y H A 0 h G + m o M T R 1 r T f c 3 W q H w z + V h Z T r 0 0 s D u K d X Q t y f r L X W A t 5 m a r y 2 6 U 3 Q 4 Y 1 K E J k C a h M 0 t S x v g 0 l v I h G j + W W G I G 3 J g N z g E e B 6 w w 5 k k p W F l G B 6 q Z F 8 V l 0 t v 3 w 0 l C B n V m g 2 T q d i H J + y s q M b t k U l v j e o 1 M S Y N w x H 3 e r d O j i W y k J K J M 9 8 B L I Z z F x / W n 6 Z r r 4 Z o n l u M x G V R H g 0 R J x O E l T u W z m k I a O Z J 9 j H l Q x v w K Z J y m x 4 k t p t 2 U V I t x d T w n r u 4 2 z U 5 W y x m H 6 s P p n G N u y a w f E k z o W e W 5 Y x p C E 4 w S 0 4 D n c q T s I C h a k 0 5 C I e r r n Q 7 d l B W L f X U q L q Z T N Y P 0 1 h R T R t 5 2 B N R F M x T T E S T f v c 9 6 U Z p X l h l c g k k z j M i r D A o j F m s r 9 r O j E / W o R i s L R V J h 2 c y I j t O j h S G 8 s o p + m F j 9 S K 3 6 r b 9 S N I q h 3 r E B 3 Z K A / x S w 3 S T b 4 M E C s N J 3 Q y 6 U Q J N Y e m / n + 8 K d 9 u 2 U E 4 t 5 Z S Q u o n 6 1 B b l W o u S A v u 8 f P q 7 u v N z N R 1 t l N o D C h Y k P I I 0 r i m p L a V T E 7 7 E k E q 6 l I I O / i W D 3 9 Y m x 0 7 + G j U l Z R v x k u N R j T b t o t R 3 R i 5 x T f z x x 1 i Z i T Y z 2 f V f / O 3 H S X N B i N Z K J o F d O K A f h O c W U j C m p w s y y Z J m d K h I 2 P b r X S S G z 8 S 2 z 6 g D s a T + 6 t s f j K 7 K 2 G 4 k j R r G x K G s s m q D 0 e 7 J o 4 S J M j 5 S 8 q R F 1 2 Z u g j G z x 4 t M 5 T p g D Q E o 6 s Z T n n 8 9 W i 3 7 O A i 2 F p q M 6 x P v O z A M c n 9 q f p i J B R Z d e B i n L x S a H p k c Y J 1 G X Y g F R 0 4 H J O K g v M J h r U L S 6 / d s o O Q b i 2 l h t T H D t z r b 8 Z w n l n N P Y N f h H H C v C y F L u Y e K R m 5 P K E l U 0 J x U S a k 6 m H t B j E U Q B b b d R D K j W W U M J 7 5 O P W s b / p o / N I G P 5 V d 0 6 e B n R 5 s + o x m z H 3 h e 1 n d m h s y t u c J n J D 3 7 J 5 x X H 2 e 4 g l t b P C k g M H 0 R v x u q D a 5 2 L C D E 1 X / M t 1 C P 8 K Z 0 n s Q 7 l f + 4 + z q + f K f q Z H T Y i e L C B M 3 J 9 k t + 5 Z A n S O F P K g I c F E n 4 a 0 k j C i G 3 s D t j r t Q H q 6 J t 7 W U 8 t V 4 q Y j 4 s l p d z x a f D F n v + Z m F l k j M 0 0 l S S 5 o E I T f f U C 4 A / 0 L R g G q N w I Z y w m H Y H d D s 2 E F A 1 Z W U e J 6 f e U h R Y s R 5 u / r d s z T + 7 6 j P f J 4 b I Z M P 7 y 0 + m i Q R H w 2 E f B w t M C S R e J q 8 B n J a T z R / U f F G 9 E L 2 + I d e A + 2 W H X w 1 W 0 s p n 8 2 H 9 x 5 + N r / N u Q H e V r e m / p I d e B r i e s x U I b N n j Z d Q k 1 y H A f U v / c K m K B 5 e / f 4 2 p 5 d / u 3 Q Q U X U l J a B + I q e R R g w s t a F V t c T h 1 E C r i l C S T k d a V Z 9 h X 6 w n A h + s Z D v + I E w Z 7 M R h + C Z C D R 8 x 0 i J K W n y 5 D C f C Y j x H I A G V 6 V 2 m Y N j 0 k d i y A 6 7 M 1 l L K 2 f K S L X P C 2 2 e e U 7 M j W C T M Z T P 6 S X u w 1 p Z t c Y g 8 h k d T R G E K J Q q e G 6 J e Q 5 + / Z s c O 7 k p 1 J S W e X p I r X l b f / l k u T R M Y d j M 1 K e U u J Y s g d w s Z r 4 5 a A U y I X w n e o 1 Q 8 D G f v w G V r d u w g n u p K S j y 9 n K p 5 M 7 + + q b 4 Y S p p X N v w n B m r i E q m 1 L d k E x I T w n Y n R 9 K + d n o f b z N Q b d h B N Z S E l m K 9 8 Z D 6 9 r x Z T E 5 f t z E Y h M c 6 k o i V n E 6 Q e 1 Q S R 2 7 Q Q F b 6 W 9 P q L A O f u Y v B F K 3 f r I J C b 6 y h x 9 F I h U c 9 1 0 s B T g y H f T v O / i Y 4 O 8 p X K s a O j W p + Q 6 j X / N T p O F t 3 x k 5 t q N T M n S H a n t k S g F o Y p E t O N L W 1 7 a s E H 4 B H n d N x k J j y c U t F u 2 c H R 3 V r q R z i 9 N A t 5 T 0 V f 3 / C s W h k N x z k A g Q B 7 M G O v p U 0 6 g C A n 7 U W k L 6 M D J 0 h W z b D 4 4 / 1 x N n 0 k t u w g q F t L K U H 1 0 m r 4 Z L n 8 b B I j s g N 8 K F Y Y t 0 G L L w D c g f n Y V j H o w I u m U M 5 z i 7 r N L g 5 H c r 8 O g r m 5 j h J J L 9 G e k 7 u V k f D / 5 p 0 N H M v I D X c q z Z e C E a o w C V r m S h g l m K M w V Y W 1 Y i p 5 D o P r U b F f F 5 H c W E e J 5 J t 3 H g K x b 6 e L 5 c f b q 6 V J W u r M y v W U K i W A l c I R h F k W N P Z V P 2 f F J A N W B 1 4 X m n D Z Y A Z r t 1 8 H 0 d x e S 4 n o 2 W 8 e R v R R w Q 7 r a j Q s I J B m y j U L v 5 x / k p Q h k k Y Q z 3 a g l y o 6 G o d r m C o L K c H 0 s h r V 6 2 / u N 3 1 + d r c y P s v n J x a X O Q 1 Z q I Z c 1 j y + 0 N h 7 7 5 2 C B g 1 C E g G O P F S + g e Q n D m v I y v 0 6 O P 6 b 6 y h f y / m J h 0 f / 8 m Z a P T a S c G b V K Y U I n D F D w i g s f w u K j r K G 9 u O E v i n 5 F b o g 2 K W 3 M n S P J 8 3 d n h 1 E d H s t J a p n P v Z K T 6 q v I m s + q 0 y w 1 P k f N o e 0 R P 4 R o S V I i J t K d Y x Y F h l / g G 0 H V r G c 0 c E 8 G L F p m j p O k i 5 1 K S W o 5 3 8 c / K h u m 4 P D 1 Q 3 Q O s K 5 R q i G 3 w P h x U 9 K 7 z k S F Q m / O d D B 4 C R W / e 9 5 y J d S i Z 7 7 n / S X j d / 0 9 s m v v 3 x A A 3 X K 3 0 + f / H p 6 9 P n 4 p / + o M O 6 7 Z y T 3 a r H 8 L w N a c G 6 V x T J S L s q O D H 2 A H M f 3 H r j N J + j j l P j H B f R W I q h i Q 8 M p t u v g z t t Y R g 2 j j / n r 6 8 q Y j d g O R e S l + B + m I 4 M M U c 6 2 H C n A f O I Y F i D d M v r X O z g B i u 0 6 C O P G M k o Y H Q x D b B z G o / n 6 + C f m S + g i l h l s O 9 Q x m C Z p e Q D 8 l P T / m T G j p U x 1 R z 0 w 9 E R s / H c 8 3 O W 2 s Y z 7 n 3 L 3 i y 3 Q c m t s 2 O s d t 8 b A X p f c m p G 9 3 r c y g s b b U D w 7 7 T 8 9 b o b / 6 A X J 5 + n o 5 u r 4 p 8 E d p a j B K B N D R y k q / 3 W U j B 2 l 9 g e P j v U l s e Y 0 W H S U O n k H Q z 5 h N c q F q A k W z + S A M E t J B C X B v G a e l x O c 8 g r q 4 i h B 9 m Q H q 7 x u z w 5 e o + 2 1 1 H v U x 2 E u M Z J O Q J 9 V d a / w 3 f L u k y i s D k K T Q 1 A q R e B E 8 D N g 2 s A h b p 9 H a H J 8 w f B y E D 7 J o n B w u i g 2 f y S 3 f i Q 3 7 o A s 9 + C S S r C 9 J M 0 F j X P b x m 0 d a 6 6 J w b e 1 c H E T Z 7 R N 8 X X 9 / x R C a j w + m v 1 t / U Y w F 9 E R M v V x 7 c S + 8 g m Q U 4 C G U N M u 4 k S 1 N 6 l g q V J k 0 7 j f S Y a v 2 7 O D m 3 R 7 L e V w e a n 6 F U T 1 Q d o 4 X K E V 2 7 s J m y D Z P O R f E S H N H o 5 s 7 / 5 w 6 Q u D w A I J 7 A q D w B A G Q b o P D q j n s L t o w y 7 / x i 9 P r 6 9 X 0 9 v b 3 2 f T + b X A l T Z q W / X / H g I 8 v Z 4 t r p Z z 0 w 3 3 6 s I i J g J K T E A M s c e O k C + U n Z K a N F h M a K i i n 4 Y j B W O M T R H x t E b F / p 7 d z p a L S P d I N f t 1 c L u p K y l 3 2 6 u L g y O z m 9 E d E k 1 9 f a E 5 V B b 1 R S t v Y S g v b C n g Q v o r h g x T Z A l l R q v k U i A C x B w 0 0 0 9 5 2 G p + D + u 6 t V t 2 8 N V s L a V 8 N l 6 S w P n U D 3 c D c N A h T y C x z x y 7 J H u 3 B E S a C f T c 0 g z B J 5 h N w x n g Y r c O I r m x j B J F P w 9 / k 8 R s J j Y 2 l j M d a 7 i B Q X U X s m Q N j 6 Y z f W K j Z w 1 r 8 k u L O / h 0 Z S x K / m 3 T J 4 d c S m 8 c g R 6 m p 4 L k H j h O a 5 w Z n D K p 7 R J 3 M I A W u 3 V w Y D e W U Q 7 s v 3 1 s j u s r E Q 1 B Z n C Z H 7 W V S N P r 1 h 1 Y W Y m M P s H 9 g R U 9 F U M y Y 4 2 V R t B N U H C h l k e U o + W D i q Y d 9 I S c x l 2 j d f g j d Z p 8 R E i Z F f j y t Z p 9 M m U y b 6 x M E 4 I J i h G Q I s B F I Y T 2 f X T o g 2 J o G C l v 6 p k d + K D d j h 1 c j t t r K T e k l 8 Y J v 8 + X 3 0 y z p n Z 0 0 H y S 0 r 9 A G x I v j A 2 5 4 Q j e H 3 w h Z M 0 g b M e N P P T j t a n c r Y N Y b q 6 j x N F L K i h a v x J E 2 E h N E 0 1 q a p E T v W N C 4 9 Z w j 9 v i G D G j 5 D B l 0 C o U e E W L 1 G I X z W X Q y 6 8 M n 7 i R + 3 X w t W y u o 3 4 t P q I Y r 5 d 3 s 1 u T 9 8 0 H K 5 X x f F L C X O P d J Z g g U J 0 S Z c 4 f Z B S k + I G X u 4 1 o 1 B t 2 E E t l I S W Y H 3 x U G n + 5 / A f Z L M O 5 t O O 2 h R M G M 4 I I F j Y a o r X j Q o s v p j R Q u M c L p h + D H S b h 6 g 0 7 C K a y k B L M c x / 5 b Y / S 7 Z 9 b Y M V J M Y F p T 7 c 5 j x F / u J c r h 0 H E E C v l a I G c l Z i p a v o s j 7 / I m z T 4 w 9 G y N t d R I / n c Q 6 T 4 Z P m l W l z d m A o f O 8 P p Z J I J i g B S A R j d 0 A L o H s x C c O + Q d u Y l l Y T t w d B / u 2 U H R 3 N r K S W k X l p O / 1 H d f j W 7 H f 8 P i 9 M J K Y R p t 5 J h m I i 5 Y 3 g h L f 2 0 T C Y k R v S x E a M U / 3 y 4 0 k 6 9 Y Q f h V B Z S g u n l l K q e A q L x G B y M D X U U E A L 3 U J d a U k D y s T 0 6 E 5 / I 1 T o 6 f j Z l v m x u F F W x E 3 E t G U p K B I c u L B M h S N Z S r X L s D P A W D + E m g x L t M p L Y b t n B u d p a S j l Z X q q 4 6 q m w N i e r o 8 I a T p a k w o 4 n q 0 d d T + 5 u 1 8 b X y k 4 h o 5 i I 9 n E J v b 9 A U A y p j E 4 h I 5 3 A a m Q e L E V B Q y h q D 8 V d 6 w 0 7 O F X K Q s q Z 8 l I d Q 0 / m 0 X g P D X 6 t O j J P g 7 5 p O x m C z D O a s / V n C o X o b Z g t 0 M B s g 8 M Q N u f G 1 A B O / n U 0 9 n / 7 I L x e f j I q / 9 h h 1 p l o z m b Q J Y R T n q i r W s Y o f 4 B 2 O A V y 4 9 v c d A A f r 5 H l f h 1 c a 5 v r K L e a l 6 g 1 X J 5 q f W P s t F 9 a e f 3 C g E F 7 S 0 h z 1 d 3 B t k Z G 7 D L H m Z t W u / S M F X f h Y K K T 3 L G D c L Y / T r e U E t F L H x 1 / X 0 s T 7 n m 1 N q H L d o k H i k 2 C z w 3 g k d f B 6 x I P e B U J T E g x V r g D 2 a k 6 e i v 2 2 / 3 M h w O x X q t L K R H 1 M v M A E b 9 e 3 p l 6 v n b N A j E K H 9 R a 0 X X Y J L p M q y C j O Z g C R U p 2 / v A T 2 u z X R T j r X 6 Z b S Y m m l 8 0 C f W 1 m k 8 B 0 t Z k h g 5 G 1 2 Z j C 9 C n M C + a 1 j M + e r a x O B I 6 f J 0 A e r U h h P f U S T k I E D V P 6 b 7 E g y w x 9 9 e r t d h / 6 4 W 5 I Z S H l R H k p q / N i N r + 6 W Y F n G T p w v 7 + 2 w I X R 1 M + j t I D B G 8 P z z 1 E B b j P S a I J G C I S Z A p U k 8 p z h T r / d n l 2 E t P 1 9 u r W U q P 7 u I 9 d J j w 5 r e P 6 D C 7 0 O H T Y M z 0 h 0 e B y e 6 e 9 J P e x R m 4 k A W H z P V H 0 z p y n C 8 R B I L 8 U N 0 h G k 7 0 F 6 P J a u b g w X n N 2 Q Z o i R E h p S z d C J 5 D 3 X z 1 W K 4 z B z 7 u g k p Q n K g c P V k J 7 J D X c 3 z u E e L G U h 5 W r z c j z z 3 e z q B h 9 a w R i 5 m q 2 / b e N Z d v k 8 n L 8 w y j F X k r p W f T D p t 5 D l C 9 k r Z O C C W N e U D n U Y 5 I f Z 6 t N s M a v + d x z H J 1 7 m 8 L 9 X 3 6 b r t Y l Y Y K W V T L 5 R k F O k K T o T N M 3 y q O t D Z 5 z T M k M r u V f 3 H I a a N D t 2 c B 7 V l Z Q D + Q N 1 o m 0 e u S 7 X M D x y M t c Y H 7 n 7 u Y Z u b N 2 q b d k O i 5 j a l m J s f W x b 3 g + D j s l s c x o 6 h M J w G i R C M Z 6 G + 2 H Q W f b V 3 S / L z L u B H X S P v c y 8 k / 8 d T / 0 u I g H 1 o 6 L 5 N / a v H i C 0 l E j U D q N C R N 6 N K C 8 q + g W w Y F 6 k L T W m l H q W N L v g g u 7 G 0 x b b d a A 9 t L G M 8 s R 7 q T d 0 s l y s V 3 V L 5 N b c G r E l 3 k d i R I r W J d A 5 + v l t a y Q i 1 G m Q E G K A w X I X + X W 5 c R I 3 t u 0 g f a t / J 2 U 5 J c A n P p L w T + b T F U W V C Q S 0 G o 2 T M h 8 5 r t W 4 U 6 d R 2 o e 2 E K 4 X m J f Q 4 0 w Q D k N 0 c y i o 2 2 7 Z R V i b X 6 d b S g m p l 6 N x y K Z s 1 8 Y 6 j T C L k S p 6 v P O P y 5 X J 6 P j C S m A f k j j W N r g D o k H c I C h 1 f w 2 j V o p 0 l F h r Q f Y d P O y b L X e x P B y 4 0 v 4 6 3 V L K Z 3 P h o 8 y + X p 1 A U 0 Z Y f D Z / L l e f D W i c 7 S d T 5 o k w P K c d W 4 p v p m 0 3 i O Y R n p I Y K Q H X 7 e L J I L b b x f B w n 8 v G M j / C p / J 7 t V g Y j e u t c J w 4 n u B P J g a z V G O 6 D O o m 4 9 R w M 8 O d p m / l d h 0 E s v 5 d u o W U U H q J 4 e j n b / d 7 6 k 8 Y v / 8 4 n c 9 N J 9 9 q P A w 3 l p z r q 4 j A / D B l 6 n S h w i A A i I + S l D Z j q z A 0 D P h r t 9 z F 8 n C n f 2 s p 5 b O 5 8 H F I T C 9 Q Y k X r b T E n E 6 1 X Y E 4 j r f c e 2 K G V g 7 U J Q 4 f A G s I g E d g x D P f C o N V Q t w l D B / 0 Z w i C h v z E M f R i e 3 t 7 M K 9 k f P I H 4 p + s Q 2 p F y U R n E 8 y 9 C l R L L F O Z D G g b 8 z y W q 2 F k C 3 Q 9 3 Z j C M J m S P 8 6 u b / T p 4 Y 9 S V l C f G S 0 b u s 2 q 1 m J p k O 8 6 t c g Z 6 g i B O A U z c z r B I F p g l 4 3 V 5 i J A k q h 4 0 f b N 0 c D j r D T u I p r K Q E s x z L / O F X N M c a W 7 N 7 0 P l c / A i E T B x U z 7 E h 8 l x m Y h G l 4 n + h r y s b m 9 m i 0 9 m C q c d y 7 1 E Q 0 X Y q k G V E G P + Q R O m n / l n 6 P p i d h s A A k p w f i j e 1 2 / a w d n S L K a c L y / J 7 q e r 6 b W 5 w r I l 5 g r B e Z D 4 O I 6 l a k q L r Q R w L m J 0 W u n C 8 A R K M Y d h F V a z Y w c h V V d S 4 u k l O f f f C 2 S u D f W y X T S T C f g Y l N w g w v 6 t 9 r K q e W v C 3 o O Z c h R 5 y 9 2 k c e R + H c R y c 5 0 f I Z J Q j r b R e K v J S + G r J M J l m F t I e P j G s Y X + 3 Y P Y t x 2 E R M O K t s C 2 0 T / Z X i O y m V D p U h x D p G W K M 4 b 6 X q i 1 3 a / 9 A p r P 8 V i a V 8 b a x M q W E + k y N E S 7 4 c 9 O G r Y E A O e t 7 Q S S h p s Q N j t 2 c E O r K 6 l 3 t I / i Z W 9 g X U v T r I d w A 7 v n N p v g N E w L P G 3 d z 5 r k K c c V j V j C Y I n L O E 2 T 4 f p I 9 Y Y d R F N Z S A 2 m j 3 3 M V z N 0 B Q 2 p k 6 1 4 G T 1 E b F Y h M h R 4 3 D W R B D Q Q F P G I t r R M q I Z P 8 c r d O g j k 5 j p K H L 0 U L f v t r 7 8 o V Z F u N s T S S o F b U F M 4 f I B A C b q C t T t u n Q Y X E 8 b W G M k e H s Z u s w 5 C u b 2 W E s 5 T L w f T Y k 0 K F m r e 5 c G D a X F z + k I D S z n O R 5 b y h p 3 4 + 9 X s 6 1 f D i b q w A l X j C c a f y F O E Y T 1 F 0 y H k j G Y U C f M X c Z g I o c 6 h 0 I / c r Y M j t b m O c p y 8 b M C e L z / O T Z M 0 t q Q 9 g G 8 0 V f m L M H 9 v J Z d + L r D H T t M 0 R u p a S O r u o F Y h 9 + s g k p v r K J H 0 k q 5 3 c j O l a 2 U 4 k p c 2 1 N o E b R G I 0 k j j d k E k 5 5 z A t R U D U m S e I r 5 D j 2 O 9 V Q d R V B Z S w n j p I 5 F W j / P Y j H + 0 O I 9 h + k P g P O P w R 1 / 8 n 1 T z 6 3 / M O L i d y F Y + Y b I g D l A I B P S + 5 4 C E a Q s X I o K C u 9 6 L 7 Y 5 d H K r m x + m W U o 6 V l 0 p b b 2 f r 9 e 3 H u 9 U n w w V p X d E h p p X B E u N C v E d Q L 2 G V Y X S N p h r K I z l m g 4 O v y W 7 P 3 S 9 9 O P b Y 9 l p K V L 2 s 7 T 4 g o b t c z U x l u h W F N B K C 8 Z x R 3 r 1 G z L M t 1 G n 7 o 0 R C v Q e 9 d C f 7 5 H b L D m K 6 t Z Q S U i + J p H q B J h t n 8 o 4 D 1 R w 8 7 d w d D 2 A y O p P 3 L 6 C + 0 6 F x j r P p d G h Z h 3 X 3 4 / v I H B 3 r 0 E D m k K z D k c z R h / q 5 q P 8 u e R 8 N T 6 M V Q J Z g a 0 Y z O G L u L p R 2 u w 1 F 9 + c C u D O g n O + M W w c X 9 M + n R 2 L H D i 5 R d S X l D v U S I w t D z e z y n t u U T + c f q 8 U 3 w y d z / q d s Y 3 7 f Q U 6 Y w A 2 g Q a Z F b 1 4 o M d U 8 5 u G N s 6 C Z 4 9 w B O a g 3 7 O C L U R Z S P p j z P 3 3 0 a l l h b W a I 5 a V V L B N g c C y 1 g f R q Q 5 a 2 2 w F g D u G 1 F M J t R D R m F G 8 w g C D 2 6 y C U J x v r K J G 8 9 D K S N 9 M F T U j T Q K X t w U x K q F s 4 b m + S l / M U M C h M 4 + Q e Z j u M w Q V I I 7 f s I p 7 q U k p I v T y c c B + 3 C S E 6 5 o 9 N K q a d P N C k e 4 O 7 K l 3 W b T I K F l n 3 a B T c p 2 J v P h n B e L s s L J o E i F 1 A r g w w B b 5 n B I M W O O g t M H x Q C F b I D v Z K Y r s O T u 3 G M s q J 9 T P / 0 p q R 7 p k m p u 2 D 2 s w K d X 1 Q w 6 y Q 7 I O O s 0 L 9 i T 1 Z z u c z o 8 u M n f a t G F U u Y + E y Q 7 s s i j o t O j p o M a g i S R U + o x g 2 D H e F b X b s 4 N y q K y l H 1 0 / d 2 0 R T O o W 1 E M Z 3 l j L 0 X U T p E j a e k j r 4 K c F n J o x H 2 a d O c F U / F 2 w D D U U N 6 N D q w + j C E I m 5 4 B E a 6 m 8 3 P Z C g S Q s t U s + 3 1 Z f 5 7 M p Y s F g p w K R w X U l 4 8 l y 0 Z h A I a k W + 8 g w F G O b 2 W m u U o b V n s 1 8 H 9 6 e 6 k n J / e j l w w p 1 / 9 + X j r F q Y e j J W p B L Q R N R Z E 9 S e c o E q 9 I a G B X + Q E 0 3 + J A t g w Q 5 n N f e b d h B V z W J K Y L 2 k l 5 z N 5 r I 2 e V 1 d m Q j r Z + c 2 q F / K M C 0 O U 1 G A R 3 p C K M l E J e p X x r i h C J / f W q c v H D 5 M K 7 d 9 J D b t I L S a x Z T Q n p 1 7 i P 6 9 n i 2 u l n M T d c i W 7 A D y h 7 E v Y j x t A 7 z m x w o H 5 w C 1 l X p 6 b D h L t t m w g 4 i q K y n h 9 J L q 8 K 7 6 O r u W E + + H U s 1 E I g c T O K C E B I p m K 4 + F a G Y a U 4 u g f J 4 Q 1 B 3 o Y M 2 G H e h m q i s p 4 f R T O n O 1 v P q M 3 r k B n n 9 v c + n G 6 a R A 6 g + n U k a F N t 5 T x k o Y s e a f h 8 l u e m f A 5 n L L D g 7 o 1 l J K S N / 7 e O H i W b O N 6 F o V m R 1 2 Y y g y J X Y z F p l 9 d a O n m m h g u t 1 B b 4 P H j Z T b G T 1 u + j A 8 n x p l Y 8 / e W G S U M T Z 6 Q S Y 8 V P J A j q J 3 k w T h R A i 8 S U r 6 s D a V 2 K a D C 2 1 j G e U y O 3 v j Y f b 4 t r o 1 V u 9 2 + G c x Q U g A V b 6 M N D E u s Q F r K o I i m v B k i d y x z A X b c n j 1 z m 4 d h F H + K t 0 6 S h y 9 R D 5 f T / + Z m S o 7 u / G B b J I S x p I Z E H K N H A H V J o 5 h J A I Z l W F c I H m 1 C 4 4 t 9 9 v 9 w o d j x m 6 u o 0 T S 0 x E C H Y a t Q e 0 G v 2 t J i 2 E b m r k S w x 6 b u f 2 7 p s e w b Y Q c O g z b I O Q g M e x R y K E P w + U 3 t P y W Z r + o V x c 2 O Q Z 1 U p g k G Q B z U N w X N S o T k E q K 5 A h + 0 2 4 k 8 W 7 P D u 6 3 7 b W U O + 7 V h Y d Z h 9 6 f 0 u Z w d d x h w + G S 3 O H x c P W H 6 1 F 9 q T 8 s D h Z I P 6 l 7 S c o A d C j Q w Z o B m p A S k r g H 9 Z g N A 4 l D c 7 9 N 0 a f D Z Q y b 6 y i n 6 f w P H 0 + T V l z K Z u i i H T o 0 z F y I o c N x 5 K I / S 3 9 W n + / W l c T 5 s K U E 7 q s 1 a J 9 h j 3 H 3 6 W Y b M H r 6 y u J s p W K S P g K W R 9 s c o 0 P J H 5 H H i 1 E n m C U c r z A v 4 J v s o F v a 7 P + o 2 f A B 2 Q x P t p Z S D t n T V z 4 e M q 2 w l 4 1 y R S f s Z V C u k M J e o 7 9 e f 8 z w z r q 6 m d 6 u J W n r E A a w p I P Q s g K s A o r y 3 r g 8 / q 9 i C q a I M k y K d p h b 6 P d 7 d M K 9 c M h j t b W U c q y 8 d I P 9 Y 3 m z u D W K X J 5 a C R + E 0 E R Q G y G k / C V o Z x d K 8 M O i w C S i g I B Q p D t 0 p J v 9 O s j s 1 Z W U a J 7 6 K H / w d D 7 9 L 9 4 9 I 6 P S T k U N j g E J J Z r C R R I y 3 C t Y I n U 3 G n u f H C l T B N k F p X L w L E q 3 Y w c R 3 V 5 L i a m X n C D 9 L K m G q m z B I g s j j V l Z o M l g L d Z 4 V C v H J i G L s 0 k s + E z 4 F u Z p J q D Q 5 r s s 8 0 k k l C I C y C 9 c Q j u I i W 1 q 2 B y u 3 t l c R / k i v d Q N 0 I u s a L 7 I 4 Q h p E y 4 D d 1 7 U O y N 1 v k / E f k c t 8 / P c 6 P / 1 w e b l 5 k Q B H p R p g U h R m A n l o h Z B E L U P z B X E x g N k + 3 a w j G y 3 7 O C q 3 1 p K O V d e 5 m K v l 5 + M E l R 2 O C v T 4 m T W U R B B S L n v m x I G P N 0 M Q y A Z J 0 i D K H U M R Y T k f h 0 E c 3 M d J Z J + 4 q v a Y t X m h u y K V c M V K Y v V 8 Y 7 s 7 8 g P s G 4 r J u 1 B g 8 7 u F r O r 2 d f Z c h s J e v t u G w m y y H P 0 x q + a 4 Q u L N T 5 M P 4 n / U s + q / / k d / 9 0 G v 8 p h M U n I 8 3 G A T c j s u S N a + k d G t s V M F b S 3 X R 0 K x M a P x L Y P W Y j f W 2 T z s t B 4 r t f / D x 7 8 g y d v 7 6 a r 9 f L o H T M W P S i 2 f 6 P 2 1 3 d G y v / 5 2 f Y n O j i M c Y T z a o T U o N D 8 v A e p h E G O t h Y C h G L s v K n l h p F 5 x G 5 d 3 P v 3 l 9 m M 5 J P z s z 4 c j 8 W Q j s J 6 e n 1 0 A T w 8 v e 3 / t f 1 H 8 d m 0 W n E s X 1 e f T a K g p 1 b i r t G E I w n n O x Z O 7 S R m H R U k Z K Y x w n s 3 S v B v J 8 6 D n 3 G x a z j + n 1 0 M I 2 + v p c T 1 1 E f f r B e r 6 m + j C Z o d w x 9 H O 2 p U c Q J h D I v U r M V U C j p 4 o b D Y 3 l U m r d 6 w g y O q L K Q E 0 0 u C P z D t r d l 6 6 8 y K z x B P Y P G L d x P Q E 2 J D y j m s E T K E z k m y E f k o 5 M j x 8 I G N Z s c O w q m u p M T z z E c u w + X 0 Y 9 O O e M g 3 4 o V V H S y E H z I K I 7 p 5 u G / 1 F 2 6 B / A 4 A d s F c F X I u x W A O Z b N f F 9 G s f 5 l u J S W a L 3 x E s F 9 M s Z u c m p 5 P O w E e T i e G k h C K Q n x A R F e i R T X o L 2 F F W a Y Y r A k i 5 f D T 2 e y 4 + 5 U P h x S q K y n x 9 F J + 5 0 W 1 e s Q N 9 q m m / B q e 2 3 I I c y R / s 4 C m u 7 C R u D f z y O A y w q N Y r N W d x K G o R r N j F / G s f 5 t u J S W e T 9 / 1 u W r 9 R w + X K c 5 S 3 L P l 8 t q k W 2 f n X J B M k K b D s x K g q o j q 8 Q L 5 d m K 5 x L Q 5 b d 8 U + S y y 2 6 G x l L v t f t / D n c z N d Z Q 4 e u l c 8 L J a / T 0 1 B d I W b B T P I q V I n I j p g + a S p R m D R y W p E f 6 j + U 7 s m H q 7 D i K p L K S E 0 k u w 8 e 1 0 9 b / u Z l + q h W n + w K 7 r i 4 4 O 2 g D c s e D H B Q J Y b U B R g S C S W Q Z T o z m x Q 0 9 m v 2 k H Q d U s p g T W y 8 6 v 3 s t Q 0 5 U d / F x 2 K L K B W C h R 5 J F Z 2 K P I + n l T m 4 G Q b t 7 U M B A i 5 0 3 H g Z A + D O + W 1 W I p g b V D 0 M 6 g C c D Y B C b N l L o A J 2 1 k d J H 2 S 0 B Q d 7 F W b v Z 7 c N r Z 5 j r K v e a g z / l i u n w 3 v U W 4 Z o 1 Z 8 t F 8 f f w T Y 6 N J F K Z o n H J 0 7 i f l a M x A z 4 i j F A d y G O i 7 i B z U w X f w V n Q / 5 / J u I f i C 7 n / Q X z Z + 0 d s n v / 7 y o Z r f T f n 7 6 Z N f T 4 8 + H / / 0 H 9 X 1 h p 1 Y o J V d s + H G d i N r B m 6 s H F k b u b H 9 D c X 3 v N 1 d b P 7 Z 9 6 n f C V M o U Q C 1 5 l A 6 2 b U Y 2 b V 4 f K / 7 M O h l 1 z T N d 4 s G 7 O / V N 0 R F T D C V r a p I i J J s Q Z c n T 4 K o h 6 l Q m 6 W J R 5 8 n j U A e h 9 M s m / 0 6 u D / V l Z T 7 0 0 t F E T 3 F U j M O Z / H F n N z M 5 u a 2 w 9 P X d k 1 e 2 o K t l V z n M l f Q W w o Z V c E + I p b Z y + B x r 2 a / D r 4 Y d S X l i 3 n q o 4 / q 8 + r v 2 b W Z N 2 9 X c W N 7 B d K V I 9 Q X Z + n 9 C y C Y 0 G 2 A S Z / C z a s 9 I Y f 1 7 N s d O w j o 1 l J K R H + g Y t t G z q Y r t g 1 y N r L Y H u V s + s f 7 z a f p l + o f S B Q P N f P O T i 1 u y Y T p V + w X K O V g S A i T 8 J b U S j N P W D K g m V h m 3 K L y w R 1 2 r u o N O z h V y k L K m T o 7 V U s V D 5 o F + r p E k 4 k N B r C 6 u s R A g 5 R 1 y U i D 7 M + U n D A w g c N 2 s q O o i 0 r W U c m z B F e w I z w I 6 0 Y 0 D f M o L L F 2 F O 2 c o e B w v W E H Z 0 p Z S D 1 T P q r f v b 8 T G s E L U + l x Y s V 3 K O j B I b w B 8 Q h L i x i t y q Z 5 A w s J K C x h w q Y f z R x 2 R b Z b d h D Q r a W U k J 7 4 y H n Q l x 8 a + M a i / N A X x f t d 4 4 / q 2 9 2 3 7 y A k 6 / 9 r P f l 1 A w e T y C K M Z D F 9 K J R S 0 y C N 8 7 B l P 8 J I p t M P T R k z P C G v O p y + U W / 6 k H T k d o X N T / H B 5 / n B P 3 D F R X 5 Z 3 X 4 2 u z d b u c L G M c 3 E I s S U o + Z T B R 1 l o 5 z k T O l x 5 U C E b C a O h l 0 w z Y 4 d 3 C / q S p s x f e K l J + x v X 7 4 s z b 1 h K 0 J y B i E 5 Z b w y z p I S p c i 4 e y 8 C S l W G M u F b J S A Q c F u H P v / 1 h h 1 E U 1 l I C e a 5 j 1 T k f 3 + 9 v b k T J P O H 6 i O 7 s x l x B D N g h Y I J b 6 E b 1 D b 6 E e M S 0 w N 0 d d r X f 2 g w 6 w 0 7 C K a y k B J M L 0 / m h R z 3 e z F d Q d 4 g p D v O K A 0 u m n g 1 R T J H 8 g b 1 J s v y s p V h y H I o y U W S y t m e H d 5 M 9 n 1 U 7 / q Q 7 + b 9 V T a j + e A T + e A f u H o 7 9 Y P 0 t a D k R g t I n / M c / T K g 2 3 d W X c / M 0 K P d O A J T Q e g X R T Q Z G A 1 N s x 5 L T k S P H P a P M I T B A a / 1 A n p a N y P / n t 3 S A I 5 0 L a p m x w 4 u A X W l z e / m i Z c D C V i a L F f V t c n D x + p S j 8 q J 0 F b M + F / u d S h c 3 a V O 0 i w 6 A 0 F R x j A r d 7 N 8 k V t 2 E N H 2 1 + m W U k L q 5 c W O H e 9 2 J z i 3 o g w 1 A n 4 C s R R J s e 6 Y x f i g 5 S N l q A e + L t Y T k S m t l r P / M m R M l 1 a I c s o T G o t W D V M g E j l u u a 7 R h I e V 4 1 Y I + Z H h l G X 2 f C R 3 3 H 3 w h 6 M t b 6 + l H K 5 L H 1 F l K R B p i K f d s C y M V q r P L O K V Q 3 k W 7 4 4 W / g r i C f g C b V T 8 d h j X S x p m z O O v n 9 y v g 2 h u r q N E 0 s t 5 W c b N r m + q L 4 Z Y f n h v 0 + 2 J k D A J M p g U S F t I C L q J Z U 6 Z w 6 g l C B K N H q l 5 M b S a a X b s I J r q S k o 8 P 7 z 3 s N 9 z t l w s j X P s d l p y T O L h c s 9 M Q R 6 m j U V S P R 2 C K F k K a t R O y Y q M d R h w V G / Y Q T S V h Z R g e q k l p 2 / e a X Q s B t e h X f O u m Z X U 5 T C y e T e a i P Y 5 j H 4 I w C a V 7 H g J h l R S 8 h L G V L I P g 7 5 / s l + K 2 M v q y 2 M c M d s L l G y U c R 1 4 R b V G R J u r x p O c C R 7 4 D x F d v n D w e F 2 7 Y Q c X 6 N Z S P 8 I V + q o y T d i 9 s R Q 8 x P I F a B 0 L S I Y T W p E B J u y g h x Y 0 5 E u s X P F 4 b Q Z 9 H s 9 S 2 a u D M N 5 f R Y m g n 1 K H W k q 3 D S u s o 3 Q b W G G S 0 j 2 y w v r b V z + C Z Z O L d C N Y h l x E j m C N u U g f h r c z j C m N r c Q L K 7 P x B G V J X i E o R B K m F I S h W j q F e i 1 K G R u S F X k t Y T U s w W 9 2 7 O B m U 1 d S b r e L E w / r t W f L u 9 V H o / i 3 X S c B t g a K K U V n O 9 3 F k 0 4 C w q E M g u 0 q t t H s 2 E E 8 1 Z W U e H r Z S d B 3 n / a b p E L K W X 2 a r p f / m B y v 7 a 4 B g D Y g 1 Z y 2 J O J 0 C J K 2 n 0 1 e w t 4 V X H j s i 1 o r 7 G H X Q L 9 p B 1 + O Z j H l 4 / H y M t D X + 5 q P Z / d 6 n 4 b T Q z 0 L W e + P n l D 9 G / u s 4 k o 2 M j w u P 1 h g o r G w p Y 6 K P E 5 j Y b v Q N 3 c Z z e W e j t E s y 3 a b c 2 4 2 7 O B g q S s p p + r y g 4 9 P 7 N 1 8 P j P a j 9 s 9 s f k E W 4 0 A h L u A Y I U u Z E u m K 9 I J Y l b C k Y F 2 x U 6 O K c / q H b u I p 7 K S E k 8 v n 1 j 9 j K + G 4 D H 4 l u w K w g a 1 1 q G i s i B M D 0 i 2 e Z A 4 s 5 c / 2 L / S K p Y y 2 w 3 2 R P N Y W f B s w s Z T X g z b t / f z c a K Z X r F Y 4 / d q s T B q + N t p F 1 J Q I V h Y 0 O c i 1 7 4 3 m s G 4 U w w D N + S C E L L O O 1 C / 6 g 0 7 u B y U h Z S 7 w U v t Q t h S m o / S R q 8 n b F g f o g v 9 U A Y V w v p I x v n / 9 o R G x 2 F Y j z V s n N t A c 0 X b n N u 7 R 4 a 5 7 V 5 1 i F k p 0 u p M + m Y b X g 2 M / y M p y 3 w O R I Q y q / m 5 w y q g 3 + W G X Z z b z Y W U c + v l m / 7 i n 9 l i g Z y D g Y d g d w 3 H k 1 L 0 X K B U 1 3 3 r t q D l G o Y w D 1 g f h J T u Y P m D R W T b L T s I 6 N Z S S k j 9 v I o b 8 6 q N O 8 C K g N f w g E z 8 O 4 R Y R v r d o r + I T 6 r 5 D S p K h m N l p / 0 a c 0 s i y R z D R 9 5 Q J S y j C V A x A F K S i V Y Y + h d D + S D N j h 2 c K n U l 5 V B 5 q f 2 q T 4 j 3 O 0 O o r 6 9 s 6 A 5 d f c W t + 1 A O J e u r k e 7 Q H 1 1 9 K m v T 9 + x S W U P f U 6 a y Y 9 + z D w P C b 3 O j S u + Z F T + y m C A u E z O d F 6 Z 4 g y E 4 1 X F d 0 V s m L R E + b 0 X j Y T A s z a w 3 7 O D + V B Z S r s 8 z H 9 m R J z f T F Q K W p s l 9 O 9 F l u B 8 Z t I 8 U 1 S A p r t i m m Q z v M f c F H 6 T R Z x g u x N B u 2 U F A t 5 Z S Q u q l 9 P L z 6 h / z J J b V 4 A 7 G T Q h r p H j A Y D Q B N t + d z p B h T K G j y e G V X i J D 0 5 t 6 u w 6 C q S y k h N L L k Z 1 3 y 9 u r p Z i U N q S r 9 t p D q S A 2 N P N z 7 f G k C s T i J w t b C 4 O 0 0 b Z 5 n L P V 7 d l B S L f X U q L q p Q L R e f V 3 9 T 9 N k 3 V P / 9 O m m Z b i g 1 f S j I 7 L M J O z k u 0 R D Q P M u J j 9 K W C s 4 J V d D q b h 1 R t 2 E E 9 l I S W Y T / / T w 1 7 a A K 9 6 K w l F Z I t T x J 7 B 1 v A s u J c O F Y V w v M 2 F H O e O 2 i L L m w X v g 4 N o P m Z W 7 6 O G 4 r M l q J t J y s D O K A / y E R g p / Y 8 Y A O B e Z 5 S r d p L R M t 1 5 6 r 3 e r 4 N g K g s p R 9 N L h 7 z L 6 t P S H E w 7 t j M T P j y Q t L A S n K f v H U 0 0 x o g j p s b I U r R C u c M q l W b H D s K p r q T E 0 0 / e s 7 a H o u l 9 D m 5 z h 4 3 o h E G 4 L 8 x H i / f Z P f x U j 4 V p 8 L b B Q e i w M I O s u 8 T C R l n 3 H o Q 5 n 1 W f q p X Q N X t I c 8 f W k i 6 G d M W z R J d e e O s 0 n Y a f 8 2 K S U / 9 l y H A k e G I N 7 g 0 1 + 3 V w s 6 k r K T e b l 4 Z 0 + l E C D X N k + K F q b r b Q Q H O U o w Q j z b E / V C 9 m c 6 O j r q 1 8 P i k B P I A S k g v O 1 0 I N s B 4 k E I J H C R J X 9 8 7 a s H R B 7 t f B k d p c R z l Q f o r n B x o q V t N + h c s m v U u O b q 6 O f 7 K g W 7 x d X l U 3 y 8 W 6 M q n Y 2 s 5 G o v q M J T q 1 n x i B 7 F U J Q W d y k s s w A Y T j c h 4 + X N 5 v 2 s F 3 o 1 l M + X i 8 H D J / N 7 u 6 a f x B 3 1 a r 2 e 3 N N o H q t Z W a L S o s y L I I O Y 9 M 0 G M F t l Z r B o Q T T N Q T p A k T B C K G j 7 y 2 G z 6 q t 3 t A S u a T r a W U g L 7 2 U c v 2 v F q v z B o Q l 3 9 a I G 4 J k h 6 C R s O M K y 6 S Q q i 9 R d w C n C 7 K g j 4 W C G s O 9 X m w 2 m S z Y w d n V F 1 J i e f l n x 5 i b o G 2 E N S Q 6 Q a n S 2 0 h a K A 7 i 0 J w Z D v 3 y d L J 3 S M O 5 3 a u u 0 L A n V l x L L F r O n B / p p j E Q n E l Q v J o R x 6 N 3 L C D I 1 X / M t 1 C y o n y 0 n n 3 O a 7 P s 8 U n s x e Q 3 Q C d c L m I o r J A r l H 2 B 9 u A M k D H T A g D t p A N + f 8 B X x j e O W w 3 3 f 3 W h 5 M l 6 3 + h b j E 1 s D 5 O 0 7 6 u F l f V Y w f V c j 5 a i D g W Z d Z y 9 u u i J k C 9 I y V j B e e W f z R Y v 6 P b c f c 7 H y 6 o 2 2 v 9 C D H V Q 3 C J R Q b T Q X B N l B 4 c 9 0 k O m F v u Z a q n j p / m P 2 r / 4 z 5 6 O p o N K 7 C j o x l Y g Z K O N r I C + z z k 7 d 0 c b 4 C Z A Q m 1 I / Q m 1 G T 4 A j C O V C v G t w w J C L 1 x y B h T G c Y B f 9 1 h X K n Z s Y P 7 T V 1 J u d 2 8 J P S e V G s 8 l Q n n j s r j e i T n A c M O R D T R k s b S I c q F n m Z T r 2 H Y A W u C c e M 8 L 8 k v J U Q 3 D I m r N 3 3 A y / F J u 8 J m C D U X 3 Y M 3 Y P N v v r 2 b r t b L I w r 5 Z V / a 7 f 9 2 H M C L O L d 5 s f A c L U q y y S x I y q K e U q k T D 2 I Y Q H w h z 6 y H j A f z 7 F W 6 w u H S D n W l z Z g + O f X R 4 o n 5 r m 0 Y z G p 4 J W p a F K b p l Y i i e x x f u d 9 + L T X j n K F G d E p / H Q 7 S 8 s e E c D v U i U 2 L V 9 i s i N P Z 6 h P r 8 s s w Z m R 0 b P H 2 i Y 0 e 5 b J J 8 1 u U y 5 D l C 5 R r T P L 7 I D z D B M E 8 7 W D b F A Q 3 D p i H z 4 U L C m 9 V / Y h B j o f 1 B 2 u e Q Y g M a Z T B m E i z X w e 5 p b q S 8 o h 5 2 R Y 8 u 3 p + 9 9 d f M 9 O 0 g + 1 Q b Y K f R V K G 0 q i o b / H S 8 W F m J c K g R I q c D k W 4 2 v 0 6 C O f W U k o 8 v Z y o P Z l P / 5 4 2 r b o H e T B W 6 B Z k a j q w e Y i 5 P Q L 8 J J b t C Q 3 F N D y E X B j V U K m R / x s a 0 2 7 P D o K 6 v Z Y S V S 9 d r / U j n R p g x S r H 0 e R R i V U L q Z X F M P W Q h C z G 2 E T q n 1 e 9 L I Z G n c Q i 1 K + X i 0 8 G d M j u w q d j j w Y o M 9 3 w 4 a K k C D p S D 3 + Q I H V c 0 M J q y D 7 D k A S x W w c 3 w 8 Y y y q X g 5 V V f 2 9 L 9 U V 3 N F m v T 7 I z d c F s w S X N B w m 9 Z W u 3 w K Z R u r v 8 i I 8 Q 1 N j S Y + C g M 4 5 p d O w i r b j U l u l 4 O u u l b G p q y d n B H v 2 t p N J H S l Z y S V T x q K f f X 8 f P l Y v b 1 R v o + P p R O 2 U 0 D 4 6 Z L 9 5 d p Q + F N J f x X m 3 R K n C / q n z R C 7 F 9 M O Q 1 X x 2 i 3 7 O B w b S 2 l n C w v p 4 F f L O f X U z E / e u C x / W w S g 6 Z n g O e N R W M T W S w + s V Y G o 9 0 Z U 6 9 3 f q Q M 1 R 8 O l d W v p 8 T Y y y F + P W B n N R j T A n a m y R g B 2 G U H 7 H n s 3 t z Y 5 d / Y f 8 v j 9 f S f m Y k L b K e R W + A b h r J Q E I Q F y W Y q o N S W a c E g f l j 7 v + 3 S s 5 L b d X B t b q 6 j n C c v 9 X E Z e t 8 G w G M b A L x 1 7 B M O D 6 I O 0 G U j C V J d 8 Q i A 9 9 m I P i m 0 u d a 6 p N B w r c m k c L z W + j A 8 v 1 u Y 9 C f s n E q F h T s E e I R D g M G Z J + s S w n A C b 2 z 3 S 0 1 s 1 s G d t r G M e q X 5 6 E 9 K G r Z 9 p Q W a s 2 Q B t O C K / F d l M r W 1 N U H N A v 4 X b 3 j J s Y / b Z g n I y w R F 0 s a W o U H f H t c p q X f r 4 F t R F l K + F i 8 9 U J / e L t d G B e h L m / m X B I p G y Q B c G e U R V m E 4 Z L a 1 Q p h j z g K r C g Y O o Z Y 5 z j D U r N 6 w g 2 A q C y n B v P R x + u X F a j p d 3 H 0 1 Q K B 2 u s D F J G U M r W C W C U o V Y G e L m R W M x Y h 6 v o D 2 z f 0 + G D F r 9 u s g m O p K S j S 9 1 A U O M s 1 F H t s g Z a 3 C X h s h X W 6 a l e S m I 1 L W J 0 U v 5 i D R R q E Y W x X E H G J b G T D j w m y Z 1 G q S 1 R 6 a z N S B C U N m i M i g 3 h w M P 1 b 1 j l 0 c K 2 U l 5 V j 9 Q B C K V T + w h V B M / U A B o Y z 9 w P 5 Y M e a 8 n a Z G G i E E i z T 1 s p q v b 9 A w N T y I Z x d y F 9 y E / a T 4 D p 0 H s G y R p F K / S D O 5 l j N Q B l B T O b F J n A W 1 0 d F Q z k C 7 Z Q e H d 2 s p 9 f R e 9 K z h + o 8 e B N 2 e / H s x W 0 + v j y 7 W 1 X p 6 2 / 9 r + 0 f e B n g G W k U 0 h 4 6 V R t y 3 6 H e T 6 Z Q t Y V y K m J L G x j D J M 2 h c w + f w V S e / w 8 H a 6 k p K P L 1 s W u B M v 1 q a W F r W 4 j b A q K I r 0 f k R y 8 c 1 z x k 6 L Z M o S G q 9 h a H H s 9 6 u g 8 O p L K S E 0 k t p m 5 f T x c p k O H 1 q o 4 6 Y h B M 8 4 3 A a C 4 J i Q 6 Z I X L U x M / f U k A m + j Q 3 c 9 z g o I H f r I J C b 6 y h x P P V R G J F P b / 1 p + W V q D K Z d c x i p 6 B J H K P H / R V I r u m 8 O Q 6 I p a A 8 L R a p d 2 L D 9 p h 3 E V L O Y E l g v 7 1 p 9 s 0 O D D A 5 O g L p m h w F l l 8 2 O E W W / n / n q h i 4 0 5 g Y W m e + L a l V z A R 4 i d 5 z / Z p H 3 c h m j W p M k i G K C 3 B U c 1 h b W C x i V B N 8 v K W h T n l 2 B E A 2 D 9 e o N O z i 7 y k L K u T 3 / r U 9 e 6 z / y I O f V j x / b N C m 7 8 W N D k 1 K O H 4 9 N y n v n V t t Y 0 Q A H F u e W D s L d l 4 + z w 6 k 9 R h P 0 3 8 m I S Z a Q s m 3 h + B w N F n S K c X F t y 9 h h p 7 b d r o N z u 7 W U e n K 9 l C + K N F d 9 r O G 3 D 3 5 x o w Z r i g 3 C A R F Y U z w K B / Q n 9 8 3 n 9 e z j x + m N 6 V j Z A U E o F U V d j d m 7 W q P c T p V Z M K O 8 o 3 R 7 t 2 M H J 2 t 7 L e V o n f k I B O m 7 I x r 8 c P D R 6 r o j 3 I o P M X d k d 2 Q U U u 2 P 1 v n 0 H 9 D V P 5 e r z w a Q 1 Q 7 D Q V 8 o F 0 C q I I / c Z x L z a O E Z l e d R j B r f T j 5 7 b P p I b N n B 4 d p a S j l b X i I 5 q H N t Y / O h 5 m x Z Z D p 6 / F / T 3 b R Y 4 + K m W n 0 2 G 5 h Z g c W R u N 7 z O G D a U 5 A b u i F Q M K k C r Z i k R F h 7 J 6 y 4 2 b C D 7 1 J d S f k s / b z y t W K Q m h G y w V d + O y b f D F 3 r + u F i T H 6 0 t + 4 v / N 9 E N + 3 5 k m F 5 0 2 z W i Q 1 r K B b K 8 0 U O / s e U A a S S t O W Z 4 L S B 3 0 a C + R g e O T w H w 5 s w v 8 2 P 6 j 0 7 O F r b a y m H 6 8 R H 7 t C f y + r z 3 R f D I 2 4 3 b h c z G h L R P 4 M 8 l C T M B L X a W i G I k R D w o a M m + j Q 7 m O X W G 3 Y Q T 2 U h J Z h + D t l p a e 0 a q G L w T d k h v Q a O g 0 R 6 R 4 5 D f 1 e + r v 5 Z T R d X p v a m L S E v Q B 0 e o 7 d m F q v F Y S H k o S e C q E i E s p m 8 K o f i s O 2 W H Z y r r a W U k + U n K S / U p M a J T Q + l w 2 I N P R S J x Y 4 9 l P 5 k Q a K 4 / b a + M T x X d s P + y S S K 4 I G E + H p B O I f j 0 4 5 g J R O 6 l i C n / C E n b A c p y G b H D s 6 V u p J y r L y c + X 9 J v 8 p I Q 3 / z 0 q Z f F e A n H R L O E p s j o d f T h R P c G 4 5 P X A a Q L 4 X r x m B t l 3 r D D q K p L K Q E 8 8 1 L H / t V W t T b p k 7 r U G 9 D o S Z R 7 7 F S 6 + 9 I J p c + I / V u u C P P 3 l g c q j i b R E V A S Y Y I l o p + B B E K S n H G K D g o i M B V h 7 W T m h 0 7 O F X q S s q x O n v j 4 b F 6 N / 3 r 7 t P M V H V b l W h R g W c w 9 m T w q H j h U E B u O k 0 / l 8 L Y P U G D V Z L Q d 3 j y m g 0 7 C K e 6 k h J O P 2 u 0 W D d 6 r A F Z B 9 d o 3 c y r o Y E h Z 1 7 H B k Z / S w a x p k U b 2 b R o 4 + b g R I Y W b U y L N h p b t H 0 Y T n i p z J 4 k d p U y 9 k w I g K c F z k x S q K v F n w r k a A R J n 6 w Q P h M j b M 3 Z e Z x A 2 u z Y w e 2 m r q T c b l 7 W y Z c 3 s 7 V Z T f X U R h Q c B p r U b w f d i B m S C l t 4 6 m f i m W L U H K L W i E D N L s l H s 2 M H 8 V R X U u L p p S j 4 o + R u m 2 j G G A M J p R P h Q 7 t Z n y H K i a d M k k W k m q L g b v S M H z + d m 7 T r w 8 1 c b K 7 z I 0 T y x a q 6 q U x A / 9 P / t K k K G F r E b i E v m A d u O j T 1 N C P i U A U + l n T s 0 c 2 t Z 4 e H F Q X 1 f h 0 c S 2 U h J Z Z P / 9 P D k g C 7 1 q / G C u / E q s I j Z C n z 3 J Q D k q f f k X y F 6 z 1 S m B 2 x a W h 9 V 2 / X R S j l 7 9 I t p I T y x M f q T k / O t 9 G A b 9 9 E Y V L 5 E J 9 J t m x G F f g + D 3 0 7 + 2 x q 1 9 i h y v E k I M X M C 9 6 x X N 6 O P a o c M / i N t n R N c B r e 1 x b b 7 T 7 z w 7 1 y G 8 s o p 8 l L P P n t c m 4 i p N n 6 R C V Q p a k a o j K Q b Y A m j M y I i j w l Z n Y 0 h m B N O j P 0 Y h T b d R H G + 8 s o Y f T S I e r 3 1 f Q L 0 2 g G C N P u g S s m H E T h S R n S 6 R E U 3 X t P H F 0 B n j i s S U W f Z 3 B V 2 O z Y Q T D V l Z R 4 e v n I v V 9 N P 5 k A T L u p Q n Q T Q 0 Z A 8 z A t h L Z Q R 8 M u y W O o / r H b B p H e K f e U + 3 U Q y 8 1 1 l E j 6 O U u o 7 f F o h t g G o 5 d d j y d 4 O F 2 R P Z 5 g F C K d i U / k a h 0 d h 4 l G R S P R h M G C R a t H S G 3 a e R 1 C a m j n S Y R 0 b O f 1 m e l J d W u S n D 2 1 Y V y K 6 X p S F t B R 3 L Y Z A u v V u l F t h L S X Y H + J Z P c u D 6 H Y r o O b c 2 M Z 5 e I 8 9 Z F n i f K l h l u v 4 b 0 P v j i F m p f A W N p h W x 2 L O U b V K x x V v f r T p J + p t Q l D x + N q 2 t 2 6 M E g e 1 x i G + 2 H Q d N 8 S m + 5 b Z 0 B o 6 L 5 J A 8 K x + 9 a H g V r i V j r x P i Q X Y M f n p / l G S p 4 n A d C H 4 F n x 7 D c S d y V 6 r g A f P D h B I O S W h h b M 9 Y Y d v C / K Q s o L 4 y W T P y g 1 L 0 y g y d c s c s L X l R E m + 9 1 G 6 g c i C g U 5 l m v M d 8 T 8 J W w / l w K n J V Q R w 5 L h k F 1 Z z U 5 g M v G r d N + k 8 q n 8 7 q P U z / t q t a q M + I o V p S i G h k 4 1 n q Q J R s 3 1 u I 4 8 9 z C K s A 4 J G 3 r Y D u b b z X 6 7 3 / h w i K e 6 k h J N L x l F J 9 V H 4 n l n q h L O b S 0 S i 6 x I c N y + D 6 8 U D G W l N N y R a 6 o 9 0 A b f 4 u 2 G H c R z a y k l o F 7 a I w Z a k M V G + K U D W Q z C L x J k G Y V f + u x I D 4 B o Q J b h J V t L E T N g X R I A G b G u P g z P p / O 1 U c H j 1 I K 3 k K T 4 l Z V 0 A Z h F j B s x A f l W F R n g M c S U o p R j i 4 N N B + R u H V x s m + s o t 9 q Z j w Y V + t L b h v j a l d 4 G 4 q s s v U f i a 3 + c 9 F Z i m j J h 8 K 3 W l d 4 G W F e W 3 i O s e y 8 M W q 0 N z R t v U a 3 p 8 w i b o c U u j z A M L c o 8 Y h x a 7 E P 9 5 m q 5 m B 6 S X Q K x p M h C h K v p g W 4 M u T G o i G l x F C N T j n X j 4 D e s 3 r C D R 0 x Z S H n F v G S Y 6 J N C z b k d f H 1 2 X T F D b i 6 T w j E 3 7 8 + U / h W z y c 2 7 V 8 y Q m 8 t X b M z N 7 4 W h 1 A w z p R r B C Z t X T C t q Y Z O w t E B 0 S 9 T S t W w k Q 3 J M W P p Q P 1 1 c T 1 e 3 S 9 N c 6 Y U V y p R M Q J N g + + c A 2 W K w l K S + r s Q i R E p R u 9 i V I 9 l u 2 M E 7 t r W U 8 p J d n H h I I m f T q + X t 1 f L T J y O V / M x K M R r d h C y F / 5 + Q f w i h n 3 b + K g / w g c u S t A x a l H h o C + j + t t 2 E t v u V u u W U 8 J 5 5 q R 6 t B R E 1 V / P g R K V L / g 1 a Q D L 5 H 7 W A + m t T n y / a 1 G B d v m i o w W S + O N Z g f R i 4 e r b p N 4 E G f L J J V L Q U H 8 0 a g 0 9 c R / E x A F y S 4 j M C X H 2 o 9 R M 1 N q V B l y 8 a S g O Z L 4 6 l Q R + G P 6 Z / / f V Y w v j e a n o 0 m z D x G + A X j H 4 g Z o l d b l G g y p 1 k M c r c W R G B i 7 Q E u c e n R 7 s 9 d y / 9 4 T r N 2 2 s p W c X 7 c w + T x t e z j 9 P V 2 m T 3 Z M U B i U k L k x B h Z 8 Y z m L V p 5 z K K h C F S 2 s z I 7 s Z 1 P 2 Z o t t j s 1 0 E 8 1 Z W U a H r J A 9 G L q d u A W Z 2 Y u g H M k m L q I 5 j V X 5 W P U b x t b s k E G f U s 5 D q k D o s w a m 6 L 6 m w S U 3 1 F I M Q U Z + H g + f o N 3 v X h L s e N Z Z S T 5 K d O Q v V l N j c L m V j 5 4 K G N H B S Q 4 4 h V B C 2 / w 0 a w 5 k b F L m d Q u 7 k Z h 1 6 M L 5 s N O 7 g Z t 5 Z S A + o j R U 6 v U 6 9 h K F s U D E + v T b y G 0 + c 2 v A Z y I J K j F A e F h r f V c W / R b 2 O u A 5 n Y J O Z 7 G q 7 S x m 4 d f C z 3 V 1 G / k + c e J k T 6 H q v N / H 4 H s x j m 9 y X M M s 7 v 9 0 / o Z f V t M b 3 9 u F y J M d O r 2 f r b d r X / w W Z S S t y / T O k D T 2 P Y z q k S I l 8 S n c 6 Z P u X 2 Z R 4 c 3 W V J k B x 6 A / d b P j p h w w e c b n y y t Z R y s j 7 4 O D H 1 s p q b m u Z 2 D O V k w q O Z U h 1 G Q i x K U p F l O C E s o 0 u f F U J L C j d o + h B D w y m 2 6 + B + 3 F h G C a O X 7 O T e N N U w z m 8 n 8 s b Z j O O E J A i R t + C e e T d A Q I k f C 0 I 2 Q A S N h d A w 8 a F + 0 w 5 C q l l M C a y X U m + v p 9 N 5 t a j u D G E 9 s 6 R m c g Q D j N R 6 M Y a W m h l g C k 1 M o y z g K h 6 O 7 7 R b d h D U r a W U k H p J 0 T x Z L k 3 y K X Y q O E j 3 U a u Q e J Y 5 d S c 3 b F u K k q p y S D G h l G 5 e w k 1 p 2 C E V u 3 U Q y Y 1 l l C h 6 S V F 6 X 3 2 b L 1 e G Y 2 k 3 M w 6 g E O c J s c R 9 H R f v J o q I 4 G R l x v 0 r B N d 3 U s i v t + s g k M p C S i j 9 n B r X z v R p m r g W V e i 7 u 9 v b 6 V z Y O z 0 0 B b o H e R a c f o Q I q 2 R 2 t F + M m P e D m 5 h z G a R x y q D Y 0 I P f 7 N j B J 6 O u p H w z X k q 0 v L y 7 v v 0 6 N Z p k 2 O X O I d A C i X M e Z l n O P Z 6 0 V w B w w 4 Q + D A O c o V T z H K 6 e 1 G 7 Z Q U S 3 l l J C 6 m U O / W y 5 u D a c T 1 t k k Y c X A 2 h i 2 k p 9 1 G l W y b v M h F 8 W i 3 o 3 3 G F c U 2 z X Q S g 3 l l H C e O o j p v h u Z v a E s j K l R M Y / 4 U j y M C e b 6 n Q F T C t B q U P n r I x S i H S D r 1 m 2 6 y C M 4 l f p l l H C 6 O U F + 2 y 1 / M d I g 7 Q C b h F Z F Z Y L A Q K s d d H a P 5 f i k S z j A K Y / U R x O 5 5 f 7 7 X 7 h w z V t N t d R I n n h J X i b a S Q T Y h t y V t f / N J C z Z P 9 z J G f 1 4 C 2 J w z Z c m 2 o Y 3 h Z Z 7 p s b o 4 W K H Q C V o y d Z h G W J m E k Y Z X g N t K U t Q 6 Q 4 q n B q w 7 y s U c Z h p a 3 Y r Y M T u 7 G M c m C 9 x J z O r p 4 v F 9 X c l A z Z m h t l E T B E H m d F 7 e H c 3 r 4 J z y u W t M Q y i X Y K Z b t l B + H c W k o J q Z f 2 R m + n q 5 W J T 2 S b 3 C L w S j S T s K x R x P Z k l h M q T 4 b j 0 C h J 0 W Y b m h P J 3 T o I 5 e Y 6 S h y 9 T G 6 f r q q v 1 c 3 S 1 L K x E + 2 V m l F C V i b i G G 6 I 9 n I 2 Y 2 Y g S Z k Q L U T v d W g w 2 y 0 7 i O f W U k p I v Z T t f b e 8 + n x t 7 s L Z Q c L C h p F W q p B c z h n + 6 d 9 N 2 n N Y y e V l W e I p s V P N 0 m z Z Q U j b X 6 d b S g m p l 9 g w b Q k D k G C b B e G p i Z U 3 k k B k d J J Z U g M J M f p d I H 0 E E 8 0 3 l P A H 3 7 b s t v t 1 D 1 e 3 3 F 9 F i a G X S Z B + p M S G c t K N l B g o J 3 K k Z K S c 9 F X L 2 X L 1 q T L h A L b s d t E q w x u C A 7 P B b q f R g m N Z E H B r 7 i Z N U 2 / Y w Y F S F l L O l J e 8 9 p P l / K / q v w x X 4 7 n V G G Q 4 S b F q D x L + V z p H c M 7 k 1 Y g i H h b E w l E H f 6 Q 4 H t w B q b f r I J T K Q k o o z 7 0 c f N Q q q 9 R 6 s 0 x 6 f 6 j m d 9 O j m 6 v j n y z Q B J z A N Y i F 5 g q 2 W U M L T m l Q k c H j Z B 0 4 Z R D q k e D U O P f e X / O P k f N t J E + F A R 5 Q b x I w 7 B I K K k v L K i z F H I z w v S s h w D S i i 8 O Q o w 3 m / O F y p o 1 l l F v B y / K 0 J a E b r n g 7 Z 8 o A R m G U h t S m E M 4 w w e M u 7 9 h K K b P v O Y K 2 u 3 r N 1 z M F D q 7 5 9 t f p l l J D 6 u M s m p 6 i r x n 0 t L i E 4 b h s X / Q N X L 2 v x 4 Q G 2 A 1 M O h O o a Q u C 5 f B c I c s l J e 3 6 T H j d 1 p + m G C q B 6 B q n M C T J N I e 3 l N o t d 9 / L 4 W 6 a r a X U T 9 P H T m 8 Q a f K D 5 p 9 t f D a D 3 + 6 o U c M W f x c v g U 6 z J g p x l x 7 f 7 v 7 t 5 t P e P r 2 J Z i L f 4 o Z 4 d r e a T 2 e f b g w P y 7 l V Q z g j R 4 A + R Q 8 / 3 3 R W D S a c Z c y t A L Y Z d R 7 O V G 9 3 7 O D w b i 2 l H N 5 z H 7 v C z 1 b V t d n D 2 s 5 H E L 5 r l o F W 5 7 g j I D 4 b t J l C G S G W E w F l R 2 l G q 0 k q I A 1 L + p o d u w h o / d t 0 K y n x 9 N J N 8 M 0 / 3 2 6 M s K f d p F 0 E Y Y M B 2 4 Y M 1 7 + u Y Z h N w v w 7 c J p 6 v 9 1 P f L i n V V l I i e W p j 2 f z e T W f V y a l e z t u c z j h R i 1 C J o B q J + v u a N K Q i L l / E 4 q 1 3 d q / 9 Y Y d B F N Z S A 2 m j x N e e h R F g 3 B Y P M 9 M T W + n A I 1 Q z / d l Y q 1 J W t s 0 1 m V i B Z l Y P B o + 9 Z m Y n E A 0 p E h 2 x 1 a M J J T 0 8 r O G a N M W O G U 8 i T E A Z e o k b 0 R w h 7 a G 5 X 4 d n N r N d X 6 I Q 6 u F J T V V 9 + D S p o M l D f J K E p Y c 5 Z X 6 A 6 X 3 E 9 S g 3 I P D 0 I m N w V 5 7 q M K U Y m P x A U e V j / 7 r d v Z / L G b z 4 5 / k v o 9 + e f J r f S j 2 8 g e / P L 2 + x v L s 9 v f Z d H 5 9 + + T X X 1 5 M l + + m t 8 v 5 3 X q 2 X K j / t / h / I L s F / P 3 0 y a + n R 5 + P f / q P 6 v r L b N G H Q Y 9 B 7 f c J O 1 v + M z W N c 5 1 Z 6 c P A w c i x A I 3 o Q 4 W C 8 9 b g D D 9 T j e T g Q k E k 5 G F 2 w Y b k d h 1 c n Z v r K F f n m Y + A 5 Y s p G g X G S s R u Y D a G N U P F Q R h R I y B q b S i Z g 8 5 R L + i e x + E j l s 2 O H U R T X U m N p 4 + O J o 9 S F 2 0 O p l C c g D R M K G N h s g W 1 p k V t M / S Q B Y 4 b Z W i 4 F D u Y 1 G + S C g 9 X V 2 6 u o 0 T S S / m m T o z P k K L a U t 2 g R J V M b X D b b t A 5 o g l y T m H A J D s 2 R M I t b 2 i K 2 u 3 Z w e n c X k u J q p d k t 4 v 1 d D W f L T 4 Z g m o 7 C Y l v F I A B I k t w O K K k b d 8 K F R G a L R g d M u q + E 1 u 8 3 b K D m G 4 t p Y T U y 0 n I I N R M 7 E T 1 P / u + c l 6 w E U U 3 L G p Y i b p y P s R G O x r L + T 7 t f Y N 9 6 C c T k / T 8 T 4 m 6 f F 9 I s K V P A u T h S w C i d m 5 G N i x z m N 5 B m k I U R k M C E t x w J m m 9 Y Q e n S l l I O V P n f / 4 w E m Y 2 Z 6 q T M D O c K S l h N p 6 p / k z p / Z s 1 w 4 h 7 R 0 M 1 D d H B q E G H h h o k y i U a O k q U 9 6 F + J v 2 X / 9 f d b C 1 7 G W d 3 i 9 n V 7 O t s u Y 1 U v 3 2 3 f Y / q 4 / / k 1 w 0 w 4 2 g O S S A U s 9 9 C J k n I 7 q Q R Z X 5 T Q 2 T I v / K 9 U V T Q p Z J O 2 w M b j f c 2 f k A U 6 M n 9 H 2 j w j f k g R P T k 7 R 2 i 1 c s j q C T L / j / t A G C Q d o 5 1 v 6 x Q P e C 0 3 1 s i j D U 9 k 0 g D 8 e q / R A H a P Q K c H S P W v i c q 7 s v l f G 1 I 8 O 1 4 2 x R n a Y r 5 P A O E U g y w r c F L t G s K G v U h g y 7 M L s H Q H F q 1 i e 0 6 S E M 2 l l G T E C 9 Z 2 0 M N O g a / T G G j S 2 N 4 m M L 8 X 0 f j u 9 S / S 6 + r / 3 n w B 0 m K p a Y p 4 v 4 M h X X v E X M Q p P z o k + 9 E d p b 7 P e Q 7 1 C y w e Y A e f G c e / A N X D 5 C e d m j T F O p o h 4 a m k K Q d j k 2 h / h j p Q Q q b L L s D K U y X m Q A p x t v s X h i 0 D m g 2 Y e j q W k M Y Z F 0 7 h q E P w + v l q j I 6 D L 5 5 u V 3 j D H 7 l B V Y k x i s K R C k l 2 N r A e T 8 X s C n 5 A + F 9 E f G 0 g N A O T d H q D T t I 0 p S F N l + Z J 2 9 e 9 r V K / U c P v y / / X s z W 0 + u j i 3 W 1 n t 7 2 / 9 o h S h x N a R D u 1 x b h Z F 7 N U H J f m P B F 2 9 l a J C e L b L u 1 R j M 8 Q 8 M H p Z d a 5 6 X B r x 5 3 j u r 2 7 O C z 2 V 5 L + X K 8 n L D V T 6 3 b o I z d 1 L o B Z Z R T 6 y P K 2 N / G e q 2 t / S r K B t o J 3 P 1 e E m f V y v i o n F i 7 P S S M 1 0 d R g K R F P 8 w X R p g R 0 4 0 H D O A v N X d / G H I m 9 + v g c t h c R 7 k Y T n x k A e s R L Y 0 J 2 X e j T d G x H t H a L 0 1 L X 3 x p U L P B u U 1 X f B m I k b L 4 G o m R 9 y 6 4 p H 5 T B F G v / a f H y X 4 / p / c 3 1 T c j J c 8 O d Q y Y G 8 k i R P J D I Q r R M 3 9 Q i + D / 4 J + 3 q k i D u S L 1 h h 1 c P 8 p C y v 3 j p V 7 E e x 4 S / H c M G L I t S S T A u D L G n 4 3 E M u w m S t I J c 7 e Q R v J C e p Y M F 8 t u 9 u s i m P U v 0 6 2 k R N N L g s h r t H m v p 6 Y J o b M L i 3 I z Z n g P G 6 g Q 0 Z a m r G x Z e Q W m s z T Z g l q C L h 7 O s W x 2 3 P 3 K h + P l q S s p 8 T y 7 6 C v H + o 8 8 K D i f m a 0 J r I 9 m z F B t Q X + 0 o T h L m g n 3 L H q u A c R L g A X 8 g 8 X A / L A s T + z W Q S A 3 l l G i 6 O W p h B C 3 3 d t u h r P 3 1 Q j U F 5 g 2 c F 9 X Y B r g P l l g j n B f m 2 l F x 5 f L p U n J w u 7 A M p M A b A O j s u F b t o T L U j h P i M O K e b R 0 K x g M 3 I j t O j i x G 8 v 8 C C c 2 0 E o n 2 M A 1 Y a O K n R j g m j D + 1 1 E y w j X t a T p G E X U v N I n j N N z P f 1 B 0 r B 8 8 0 4 A 7 g 8 v c b v C s K W f Y 6 V Y O J A f P o g O 2 e h 9 M d f b y B / s G 4 o / T Y G / x 1 F p M a Z 7 N 7 4 Z f j n F 2 2 t N X n O 7 n P 4 i v W C v Q o 4 F B B 3 / F H V j T + N f p v m I J 1 q T j V z w T L + D V + j h N 9 h X P F x D S T T Q w O 2 X j A s l V Z j k Q 8 8 C 2 E O 2 W b r A O L d Y o S f M I s 5 a d 9 L P k d h 2 k H Z v r K H m H l + L G T x d M 6 P 5 j q t 9 t M 0 g m C G g H 1 z N 1 s k y X N V 8 Y g O w D 6 T d G s c O l 0 J o N O w i m u p I S T g 8 L v 2 M I x / u 5 + U k a 9 / I f J F o B O k 2 w / e L D + h x J s 8 b g 1 6 X L k S A 1 G o f z 8 / F 1 a V 4 X H n l t D a N J b Q a H o a t h D I i A r G F G R K C r Y Z i K 3 N P R f X p d f T G 9 D H b I L k S i A t 3 W M i r y M C j 7 l 6 E M J w h k Z l i U B n E i 5 t E G Y w t y v y 4 e B v G 7 d O s o z 4 K H q O 5 x s q f q 5 Z h M b C / f 1 n G y r x I F N 9 S 9 7 C g 6 H u D L + 6 d N J w N d S Q Y s Q d M Y Y y C 3 F b Y 5 M h M q 0 g l e v b h I Q p m L Q N V 2 M I y s n Y S 7 L 3 G r i v 9 V 0 V + p P 9 X d K + w n j / n y + j d m e Q z / c C 8 f x n G y v y I 4 0 a D y V t p o b W V k 0 k Z L R m 2 0 T Q 0 h N J i 3 m y O 5 D a J W g E G I s 8 y U 1 Y P Z Y p H + 6 y g f E b U 2 T X k I E r I J Q w c J G c I g I a E x D H 0 Y f g f J + Y x q h 4 G P 8 b u N 5 0 J U T g r c H b M A M e W 8 e d 7 q d y + Z 8 N g l u / v r t j t 2 8 O 5 t L a U k e 7 / 7 K I Z + O Z v P Z 2 S o S 1 N M 7 Q j d 6 Q T X M e F h j v O Y S F 5 I 0 e u Y Y s B a F j i Y w 9 e Q 3 t f N S X y c 0 N 1 v 2 k F Y N Y s p g f W S 0 n 1 W X R l j + t T m n M Y R L V 1 E s O H B d d q d b X 5 K k Y b m M i S 5 2 g l 7 K D t D 7 t d B O D f X U S L 5 1 M c j e r Z c r k z j F u c n N p U G z X k E r v B F K U r 0 k 1 t z 5 L y k 4 A 5 j d K 8 K F F p 3 0 T G T u 3 U R R / G r d O s o c T w / 8 Z A t d T a 9 + j y f L j 7 e r U y i V 7 b R x G 2 A p 7 M 2 Y e 1 x k i L g Y Y 3 w w E k h q O 4 0 c H V v 1 9 2 v f b j a U b f a j x D b y + r 2 B j G z t f H K t Q 0 t o g a I C 9 I i E Q 4 F Q o t O X r l 5 N s G S A K v W R P r H D O c 2 9 n t 2 E F j N Y j 9 C X P U N C c 3 c w P c 3 4 C n H 9 4 M 9 w F L e 0 3 / Q n k C M Y 2 C r P e 1 o T 8 D d M S 6 O e 9 r R n s D N h 0 p b m 3 5 U V 9 o a + l G y t B 3 7 U W 1 p e x z v C / W G l 7 q n L 2 x v r Z l A C y X a t N o 6 K N H Q a p N Q 4 t h q a 7 + w 6 L i l w b x l O v L 2 Z h t V f G 0 1 F Y m L b Y k i c V F S e i U x W u F N e o B U O K K M c G B k e 6 w Y n h 7 U 9 J R 6 s w f s W z / Z X E d J C l 7 7 O B T 5 Y j V F L N y A g d n h J c K Z i H C R q 5 d 4 F 2 E j 3 e I l 0 a R I K L r L L M a J C o 3 p w b 3 O e s M O s j x l I S W Y X u I k T + f V 1 c 1 d Z Y i m L a K Z 5 Z T S Z c l M k p h J b t N 2 J D B g w 9 P Z o / Y m 3 p C b h i I l z Y 4 d h F N d S Y m n l 4 D m y a r 6 5 6 / l y j T m 8 N b m o k X T h A k H Q C 4 J T w s q W g 1 8 M R d K c P k D q T W 9 w 1 h S u 2 E H 8 d x a S g n o W / 9 u 2 + N o X 1 U N G t L 7 S c y i P V U 1 0 f G f y 9 V n w 8 V j 9 Z 0 K + 2 p u n T i G T Y l U M 4 l a i x Y g m Y B w I l 5 4 i f S s H H r t i M 0 6 + E Y 3 l v k R v s 9 9 F c v R n k p T K s q s B i g 2 p u w D m 2 Z p h s i B + H w M v d I s Q O H s g H n i 7 k S U X f 6 N f c + A R M f P l k t j j m j l G p 2 Q P J A C k j Q g 1 i i z h / Y Z K u i T o n 7 C + 5 N H 0 p 1 + 6 P G W + 3 V w v j f X U Q 6 4 h + 7 0 x 9 G e s K f o + G 2 1 p t t 6 e B H P m L H o k u j n F A q C Z S I v f l S l U f c U e S g D 8 m m 6 Q / X Q b v u A h / t J v 8 b m F 7 H L G W 7 + T S d 6 0 s f R v v A i w L o 9 p S V 7 w o u O E V L c y 4 4 e g j Y 1 m t u D O d 4 d t N k I B r L T r W a U h D a T A 3 6 t u 3 + U u / w b + 3 + K X k 4 X K 5 O E i q 2 / J 1 Y 6 Z R x E Z V 6 k t U e S v H C g Z q e g F x H C K t I J a z j y J P f r 4 C n a X G f z 4 n l y 6 l 8 t F B 1 f X C 3 X p k k 6 O + 9 z O F Y 4 X U H I S U r Z S m x r h h K D 5 Y z u M S i G 8 F H a o b a V + 3 U Q y c 1 1 l E h 6 6 X u u F 9 3 Q d H 2 + u 7 F Y q z 2 s 7 v 7 6 y 1 B i 2 n 0 w y C T R k U Z l v w R g v s f s 4 u h H c P U A t n D 3 z Y R x 2 t A s V E g x i C 0 7 + G a 2 l v o h P h v t g J y m t L P 4 b P R 6 f P t 1 s d C r c N u I o X c q 3 A Y x d G k V N o q h t y 2 p Y 3 6 z f W V 6 z W T C B u Q Q a r 6 Z w Z l e N 1 T Z 3 B 2 6 T E 8 K T 2 R j p t e O 7 I P y 7 S W e x 9 h z 7 O k / a G + g 1 q O u d n a j 5 8 D 3 M O M w V Q 6 S J B M T V 0 3 Z j E t 9 U e L O h J 5 s m g r A p Y H A H i c p K 2 Z z W 2 X K 3 u a t l I W U Z 8 z H y f N w T 5 h p d H w y n 8 K n N A J t t i l O G g v L 5 q I k k y m h O 7 f f R Y S f M z w 8 F I i R F R R A + t A U p 9 2 y g x R n a y n l 2 / A w M 0 Y C Y D 9 X T 3 T 8 E r D t F q 3 6 5 d 2 n G 0 M K f G 7 l c B D R Z U k p f q M 8 y 7 C i o l v V 9 F n C C R Y 6 M G 9 S 8 Y 2 E g / 0 N 7 m / a w R e i X U 7 5 S s 7 9 8 z o 4 5 h r e 0 w O 1 L / g t 3 B M g + B B q Z q P u 1 q F m B n U 3 i Z q N 6 m 5 t b o w W S V R X 4 x s p r W 7 y 0 6 L U e n + z / C L 7 A S f L u 8 X 6 2 z Y n z M 7 X H N K / a A H k L T L X k R V i 0 R u O m 5 k P J B s H M 4 n q D T u 4 m J S F l C v J S 0 f z 9 9 P 5 X 9 V s Z X h q 7 K I Z T v A r F 9 p I 6 C B J m / r m q Y F J x D 8 T f u Z S O G l w I t L s 1 0 U w 6 1 + m W + l H i K Y e B d k v Q K d H Q T R o z u C q u U N B D J 1 6 i Y K M r f r 2 p j 8 O 9 l U 1 B 3 u C U y B w 7 C e 7 G c B C O L e Y H U w C x E g C w T Y O y I C h M r a c 4 y K b Q G v M y g x H h N 1 U S j b Z A Y e r m T f X U e 6 j 0 3 M P p w e D Q q c H o n F J G X x X d O 7 g D f O U b 2 7 r B 5 f u 4 O G I s L U I W 7 A 3 7 h + t k e 1 0 L 9 W I n H 5 3 e n k c 7 A 1 m 0 X e r N B M k F p v d U 0 X 3 U P 1 k g 0 V 3 9 Z M B i 5 b 1 0 4 h F 9 6 / q n g r r 6 P h 8 d n W z r G l T D 5 V J l x 8 s n r G 4 m E S A e x m P W F E I 4 7 B O Q T a Y 5 M B + 2 B E 2 P u K D s d 9 2 y 1 3 G u 3 W x 7 g 3 9 3 V p K e c w u P 3 j 4 m F 3 c r c 2 j 0 r Z g P g y G C E X g O M l L / t o q j q A / M g H O D V B W S + K d O H D 1 h h 2 E U 1 l I C a a H Y D 4 Y / O M T F 9 Y Y f F E I D Z k S x A J B r j a c 8 F K g o 1 A L I w s Z o Q 6 5 A w b f b N l B Q N t f p 1 t K C a m H G H x 0 / B z o 3 C h l c G G l O Z J M 4 I W g 8 A S F O W J k h r q p A c 3 L C f c v l 3 D M I K M c Y R z m 7 F N v t / u F D 3 f Z K g s p o b z w U X X k W f X t r 9 l 0 b p q H u j y 1 e D 2 T D G l u Z E V Q Z U 2 l u l N b B E I C C o s g o w v C 9 A l 2 n f H g A b d 2 y w 4 C u r W U E t L L U w 9 f T z 1 s Z F M K d r C R o R S U s N F Y C r Y J r p j n n k 7 n U x O x 1 s 5 p E v 4 s o 6 M o k M S B J B 6 0 6 H 1 Z T C A k h E i m l X j a 5 c H w g 9 X s 2 M G 5 U l d S j p W X X p O X 1 T c j k c B q Y o c i I 4 l K k k + m 7 7 g V 7 9 l U i D 9 g i q f h U A 5 G 7 + V u H U R y c x 0 l j h 7 O 6 1 D / a 5 E y j W b P 7 k i Z w e t X I m W j 1 2 9 / P Z 5 N V 1 d G H 9 4 3 V s Q L U c m V Z Z F q l E K R z Y 5 T l L K o D W p Q e l g W W W / Y w Z F S F l L O 1 B v / 6 B Y 0 w 7 U e k R p O w n c D g I z H T R c i S 3 2 z m l J 9 m O Q 1 L q 3 m 9 3 k 9 m Z 0 M 4 a c H K Y O S X f G B b s o k y p M A G m D t H z 8 4 X x U b P 2 q 2 7 e D z 0 S 6 n f E S X P k 6 v k M Z o I G 8 b 0 j c C V 2 L W S E i k P G S 8 k v / r K B 0 p 3 / e u 5 e p u Z q A o v L S p B S M B m I a i s s 8 Y C S t Q b G 4 K e / 7 R J I a 3 E J Y p W q O 1 a / r A S 5 n t O j h T Z / e X U c 7 S S x 9 r Q D 0 9 Y Z 8 d G R K p U N O i i m w S q a 7 O N C R S s s 4 c E 6 n + x L 6 q 5 p + r 2 8 8 m i a I z m 1 O b Y J S H o k 0 B g i N F A 1 p a E V Y j S M U i C t z M d V J / D j u z 7 Y Y d n N u t p Z S z e + b j 2 d U X K B p q 0 e 4 F i k H x U R Y o o + J j f 6 7 0 V + h + c 9 r L 2 W I x / V h 9 W h q e X D v 4 V c z m t l I + L U J U C E / M h L 5 l k s c M 7 u 4 w t N L t 1 8 H Z 3 V 5 L O b x e g q 9 P q U 0 + 3 V Q L I + 5 n 1 R 2 B P E X T O Q 2 j D B F A U c G 2 F z K A O h L e 9 C 6 T X H i a D r 2 O u x 0 7 i O n 2 W k p M v V R m 1 x s O a 5 K p w R d y x x g h A 3 6 o M p G M k V E g t b + Q e 4 1 w w 2 1 p j a n D V g z j B H 2 k D D i 2 p X q U 2 S S K Y H o w w R P v J n H Q b 9 r B 8 d I s p p 6 v 3 z x s W L 2 q D g e s o 8 d I 3 l r k e J E Q 2 D T r F R k F s M 7 8 A + o j k u t R N E f x 8 c l N s V 0 H w d x Y R g m j l 8 A 6 l b 0 G v 9 H 0 H S 1 A Q H 3 N a Z M b d z W n I T e W N e e Y G 9 + / i j / i a G E s O a 2 Y 4 z B 3 B D x f C J K 4 l M V t c h z U q g U p J M Z W q L u g h x W d l 5 X c s Y N z q 6 6 k H N 0 z H 9 n j j / Y 2 b a K J 1 C g W X o k A 0 1 E J 4 h X t M l Y g h A D 3 o L B l g A w m U G 5 2 H Q 9 H 6 N l c R 4 n k D z Q H Y M N u 7 u Y A D O x m C R 6 M 7 O b + g k Q 7 7 H q 6 M t v m v f r T g l c V 5 2 D p K W c H 7 Q n G y I O Q 6 E h d t S K f p D l G i N B C O i O g Y V d k t 2 c H l + T 2 W s r h e u W f D T C I t 7 Z D p c l w B h e C b Y f K Q K w S H a q R V 9 U f L U z n h q W Z w 4 P Q E E x T U x T K M Q x f Z o s + D G e z 9 d X N d D 4 3 1 O J 2 w p E x B g j w o N A c x L c E x K u r x a M J Q x i w 9 h H U 2 I U F 3 G 7 Y w e 2 2 t Z R y u X k p H v n 7 f P n N R A M + t c o B C 3 w k t 3 D o d I L j h e D m B 0 n K h L o Y E B 3 2 V M m 9 O g j k 5 j p q F H 3 M 5 P 9 Y 3 k 6 / 4 j V o I s i 8 e W e R e A h t 8 Q y t K z i m R c 3 o b h K P M I q x E m J s h p I t T I s o a F g X j w M q 3 Z 4 d R H R 7 L S W q b 9 5 5 i J B d z G 4 / z 7 4 t 7 w y X 7 Y k V 6 0 n Y Q + H 7 E O c x c i C 1 4 o f M J s M I f y h 6 v B F k q N 1 m a N o t O 4 j p 1 l J K S E 9 8 Z D v 9 d i v U 3 g 0 B t S 0 P 8 K D B 9 D O H I n 5 f m K x A 2 4 U 4 B x F u N J K C 0 + Q 8 j 5 / S e s M O w q k s p A T T y 8 L g d f W l M i m 7 2 L l p x x N x K B l i C 1 E f L B H p b 0 u 9 A g r G f a u h Y Y + n 3 K y D O G 6 u o 4 T R S y v t 1 3 d X p n f T j k a T o f g G A M a 8 R i x o p H 3 f N m W Q Q 5 j c 0 5 z Y 7 U S K 7 b q I 4 / 1 l l D A 6 I N C 8 m C 7 f T W + X 8 7 v 1 b L k 4 m q + P f 2 K m L G L y W k g a i b d K m h b W 2 A d u 5 f B 2 c b C g i 4 e H x f C e z v 8 / f s p f N n 7 L 2 y e / / v K h m t 9 N + f v p k 1 9 P j z 4 f / / Q f Q s 7 s X p V 3 O f 1 4 u z b S 9 G 1 n 6 4 V E Z p v / b x i S C y V 5 r M p z 7 I p 2 s S N p d u z g X K g r K U f D y 8 n 6 P 6 Z / / f U Y L m k 1 X B 8 B 9 q O S g L R l i u g l + j 8 t x 5 d p 7 J C K n V y S m n 6 n e c 9 u z w 5 i u r 2 W E l U v R + y f o 2 F q V s A 4 e W N R 8 t H A o X 2 e o W B K Y A U r o l W 5 J R 8 R o n M C b 0 7 L Y J e S r 9 m x g 4 i q K y n x P H n j Y b m n 7 3 L b N H H a n B E X u Q c J R 7 L L P T Z x e o j z 4 u p u Z X T G s b o p Y 3 B M T F / x x k g A V M g H 2 7 a o k C F B c E Y w q y P R 3 x E j S M M y + 3 r D D g 6 V s p B y p j y 9 I x e C r / B U / v U h o a D z M 5 t r E m Q M v A T w i 4 c P s + 1 + d C w g 9 8 8 L m t 9 I P c u 3 b 2 h A n y / / n / + 7 O m L P D m K 6 v Z Y S 1 v O z g 1 + V G / m p z P U 5 J T G / J 7 P s o M f 3 6 a 7 Y 6 U 7 4 S V E C Q e G l k W U a d k q e L / k 9 X f 2 m y l L u f 9 L d c 3 6 9 9 J y m y 2 n D 4 9 J 2 U m 1 m h 9 p O q m F 0 S H R S x 8 m h / n 1 7 f z e / N X G 4 3 r y y u Q 3 x q e f t y m A n 5 A z 2 3 e v f 0 f V B 8 R 5 5 n 9 o P b v D c k N y u g 4 t w c x 3 l x L 5 5 d f B L c P c T + 9 v f 1 e L T d F 5 3 f d 5 W q 9 n t j Y y c K O b b c B + / t m k Q x I x u Q s S j 4 R M E k K O Z G e k Z e Q m 6 P l I Y D 0 h 5 c D D 7 L R / V G z 6 g i O g T z W J K W F / 7 2 C I 4 m V c r e E Q H V N q K J x n Q I 8 0 A K g 5 R 1 3 U T Q s E k C t G G b 9 i X w 8 P a b d n B O d 1 e S w m q l 4 J b L 5 b L q 5 t 5 J b U M H k p D P 1 g d V Z h h d N S 5 c r E k E h S w 9 q j m u S g r y E / J m d q C Y 1 j G 1 O 3 Z Q V S 3 1 1 K i + s H H o 6 q v 2 D V y v Y N J S V 3 F 3 l y p O v l l W b G n B 7 w 5 d z G m r c O 0 y 7 + x f y t b K o H t h y / R T G p Z p a 5 1 K r z x u C Z W o a 7 f 0 s Q U 6 X 8 d J W O g 2 1 x G C M 5 o S I C N Z P a + x P E f c 9 O 1 u 6 V F O 5 D W P C O 4 V L b I I H Z N 3 W i S Y Z Z M Q x C t D B z F x B 8 M u 6 U 3 X W 4 P R 4 r f X O d H u J 2 h J m 1 f C / F + K 9 q 3 0 / V q O Z / e f T F Q O s 7 e W x R U S T 5 B g 4 j k u 8 j C o I i h y 7 X E q w C F 6 h Q G e I 5 M A 1 / N c L u e b s 8 O 3 v X t t Z Q v 5 + y 9 h 5 X V y + r L 1 + v p w h R T m 1 w N M l 0 Y p / S q W 7 p + l 6 t x C 8 Q A i X E 7 c T r 4 F m h 2 7 C C i 6 k p q P H 3 M 0 1 5 W i 9 u / l i s T z 9 U O 1 B f U B C w f G T W N 0 u K e W D w T G g C Z j O 3 j i J J K j a O h 1 3 q 7 Z S c R r X + d b i k l p F 4 C + 0 G s G T u N E o u b N m 7 K 4 K j h I + t S 7 z j 9 1 1 G U j K l 3 4 3 w i 5 G 6 r x d p w T 7 6 6 s I k I Q 0 2 w i s m S Y n w Y O E T t t J M 8 V j j J x + g T M U c o D V i H Z U t y v 9 2 H f r h s a X M d 5 U C 9 u v D w z X t z V 1 3 d z N Y C G T 4 M l h h N 0 I y K Q 6 R u c Y e C 5 d N R R H g N 0 w Q J f z g i C S L v Q 2 / I d s M O k M S t p Z S A e o k j 6 s E J m x u y r V Z M N 6 Q E J 8 Y b s q 9 Z z 5 e r 9 Q 3 5 p N n a x K 6 q z G l B Q 8 b h L y F k 0 7 S b C s 1 p u s D f o f G S R n R N d x A F v 7 d r B 7 e l b j X l i H m J / z 2 r 1 t N b w + t 3 Z s W / E v U d t y U 8 / k L K m L S v H 5 y 6 O K E h g 9 w 7 I u G 7 u M / L / T q I 5 + Y 6 S i T P f O R e v Z 0 J Y W p D K O 0 U h h C w Y P w C R x p I D R z E t o u W A / q E o D 5 N r 3 T o y 1 d v 1 k E c l Y W U Q H q p 1 6 8 f 1 r Y h 0 b U U A w O H T l A M R g p d / + a 1 k 7 C G 8 2 R X b 0 M P C n j X g q Q M 6 H p J j 6 d 6 c E 2 Q 6 L g X 6 U y n 7 d D M s M K g 3 b K D U 7 W 1 l H K u v K y 3 9 W C q 5 l x Z 9 F j + W N 4 s b s 1 5 0 r m V i C I z N 2 G e 8 W U 0 X P T 2 I s 6 Z U 8 7 g M 4 O 9 p 4 y Y w 2 g Y e h W 3 W 3 b w 2 W w t p X w 2 X o o o n g k u g 1 H o 1 G 5 I j o c 1 Y e y g C A t k + h L 8 p J q n F T 0 U Y L g U k d N 6 u G o 4 l 6 H Z s Y O A q i s p 8 f R y V k 4 P u 9 k o s X W w m 0 G J T c J u o x J b / 8 D q R f c 0 3 W i L 2 1 i f S W n W G E x u a D M p Q 8 d b Z F J j x 7 s P t F 7 2 x i o I T c s 5 N U V B y N 6 M Y e j D c D a d f j b O Q 5 7 Z y K Q k K a R Z o B u w U e S 5 7 + E 3 V P o U j D E C D U 2 w H p / X r 3 f q 4 v W S P 0 m 3 k P J 4 e a p 3 e I t G y q d H M k w b f b Y E + S J 0 h M k x e 8 n Z P J 6 g v F C g z Q Y P T 4 r R D k 0 u N c K + h + t Y a B Z T Y n r u p z i b j p d l k 5 A 0 z f j E k I + E 8 L L G d K S / H i / R N J l V X 8 z C h 3 Y V f 4 B 5 A R a J l G k g 2 j X b R V b 8 p c D Q g j z n H 0 a 1 r c H g 0 9 V t u r v E D n i 6 t h d T T p e X V f 8 b 2 r u f T L C o r T x Y m o S I d C P 5 K x y 8 4 7 Y l W A i 3 g z S I 8 O v r 7 t J h M E 6 9 Y Q c B V R Z S g u m l S K w E E I x j B X Y g d 4 C B N z B 3 x G j r Z h Y D O y b D u Q L 7 C j k f K c I 8 L J r N j h 2 E U 1 1 J i a e X U L c e k t M 8 f T Z F o J Z m o 4 H 9 B h e B X b 1 v w N N l v T 8 C 6 v 0 D + 5 r R E Z N b k O 3 b i m Q H i o y 5 Y K p l X Z s R v y A I p 8 2 Z H V 6 B y L 0 6 O L K b 6 y g H 1 s v X 9 H d e 0 8 / M 6 x n a I n b y b 3 S M Q a 8 L 1 K a 4 h k V n u E V D k w m q S Y F g n r d u G M M u 4 H b H D s K 5 t Z Q S U S 8 V 4 D r h G E N I 7 Y x p B Y 4 t V B g L x v K Q 0 R G d i U a i E d 3 N k J o S S l X K m z u c / t 3 t 2 U F Q t 9 d S o v o D W d L a M K d a 5 N N A L R X I 5 8 i b 6 p + 8 s + V i t T S V H u 9 t I L c 4 n S Q I S 7 R i t v c k y D A h g S w V 5 B m 8 U 6 k x N + y m r L f r 4 E g p C y n n 6 b 2 P 6 s T w 4 r c H c R K b 8 9 R i N I b z J D C a 8 T z 1 5 + n Z 3 X p u h L D t U g 9 s 0 q F i Z H G Z Z G n c M Z w o 5 D P U 2 s s k i O s T N X i g p d 6 u g / O k L K S c J y + z j r P l C r E H Q 8 p h V w 7 E T J z F U C R S 6 B A N X l 1 D b c k E r A b V n V J U C e J P h t b x 9 Y Y d B F N Z S A m m l 0 X B i 9 V 0 u v i 4 g n 9 o C K i d 3 C Y K A K i i h o w K M m O K R 2 h X F g Q T 9 B p L o D b K h q Z e G P b a 9 Z t 2 E F T N Y k p g v R T d 1 F M l N O O n u 0 M n B F D E 6 c E J p d E 4 p n / 3 3 l b f F q Y 0 0 l b u i N 4 D A D Y y O R s m Z 1 i H l j k V O J 2 / U P x d i G c O O 1 p y v w 5 O 1 e Y 6 y o H y U u / o x V 1 1 j X D x V 1 M 0 r V 4 + V G z T I g 7 A r 4 k Y z 1 / S F t s 0 m c o E 9 R S a F T S h d l G Y 7 v b s I K L b a y l R 9 f L 9 O 6 n m / x 9 7 7 9 r c x o 3 m b 3 8 V 1 b y e c P p 8 2 I q 8 J c u x r V i U V Z Y n 2 u y 7 j s R Y f E y R / l N S P N 5 P / 1 x A n 0 g 0 B D U N s Y 1 U 9 e 7 W Z i a e G W B 4 N 4 D 7 8 D s s C q y z D a + f V V C R E m Q i I U Y S D O X T E B G r G n 2 P v m 0 K 2 A L 8 M I P F p C o l n k Z Y 1 B s e I K K d p f 4 O A X 3 7 g E X U f G k e B l + 8 s u C F C p Q F Z s 0 B B 5 T T G l f N l Z 8 4 p X S w Q 9 x D k Y L H k a Z / S 6 z d 8 g B B 1 S y m h P X i l Y P 8 0 J f F u v h k 0 g 2 0 9 k k Q b U w / R h E X m 9 f m l G Z A s 4 H U 0 P 2 E X 5 8 L Y E 3 f h 7 T c 8 A A B V R Z S g j m A V 8 L u 0 o H 6 j o x N b l p 3 Z A y p q e j I j J n p R m b 6 J O f M 6 p J k G E R l B 7 L C D 7 b k 2 / O c 1 B S v D I T 6 q Q V 3 U W 9 U 6 G D 7 Q 8 s o C y k n 6 s z F 6 / H D / E l 9 v z O r c A o Q h f D M A E Q o k 9 D m 1 a P S i D K M s U t 4 R X X + n k 5 j 6 g 0 P c E F 2 l v o 7 B B Q 9 W L g r h q z U y n o t J J y o N W a Q V j w S l l Y n F + 7 a J P O E Y x A F B 2 M / v 7 e f X r n h A c K p L K Q E 0 0 n b t f f 3 9 8 X X / S U v g T i C h K s c x j Y c J F B s m 1 z E / r 5 E 5 X Y H C K W y k B J K J 1 O X l 4 v V g 1 F y x o 5 Q h l G e w C J 6 K P A x z g D G X U M o E r R o U t 7 L h j z Y O w + V G x 4 g m O U v 0 y y k B N N J O t n x Y v b H w 9 r Y n 7 M N J 6 9 l z O m s q J 1 V m v p T J q i g 4 s 0 k o K l U J O 8 b z n r L z e + 8 v z S o s 9 T f I a R e V i I Q t 4 R S P Y 0 Y a + + 2 d 1 a l O h V s V N f 1 z k B P Z K M s V y P L p Z 8 9 2 B g t N L B N g 9 O C h G 2 O V g t t h Q e j q w t 8 q P 7 e c + n V k j 5 q 1 g g s 2 m t Z h Q C t Z x b a A 5 f 8 8 8 A P x h P X n r h U I 0 0 c 2 2 B c 0 p q o a Q C 5 p I K o O a J c 2 h P H t K 1 7 G i o M + 9 a J 6 / 3 6 + N X r I y 7 A x 4 a u P s 9 P O P J l 2 z C g I G j m y 9 q O d F L + h 8 F q 7 o E 1 k r J m N R k M s C y y W F i s e f k O r N l y v w O k d M p C S k L n 5 I B O / 4 h p H h g L m s m v x d V n 8 8 D o 9 a n F i y Z 8 b H A 6 w S R Y i I U w N m q q u h j H k x i 3 W T / N d j O 6 r 3 Y 8 w C e j r q R 8 M 6 9 P H R w W 6 Y s A G 9 m C u g g w 3 M K i C B g v 4 c 1 L + H 4 9 v / p s a G H a q U 6 C 7 Q T g I g a w u M 2 A B 6 y J Q x k 2 Q h l Q i Q C H K G n I 3 R v 0 e V 7 I H Q 9 w q N S V l E P l p N r k + c P d z W 1 x D 1 j C E F I 7 O F M 0 I Z J 4 C I H 7 l C K 9 V Q r 6 U 4 7 F O j A m f E s B + F a W U T 3 h T M 2 m h 4 h q d z E l s E 4 C m y 7 u Z w 9 / G O 0 G z q x E K Y T 6 J O 8 b M l n M F Y C 7 1 A c V a 6 i Q y V E g p k q M l n a Y r V c 7 H i C k 6 k p K P J 3 U p H i 5 W h l b m i e W 5 h H o n t P Q B J 4 d A l S r 0 U w 0 r k N h H 7 y D G 5 / c 5 w A x 3 F 5 H i e C J i 4 Y R v x V L s x q s l Q x h g t p g x P A d x Q q p W V c 3 p Z E h Z B o Y e q C a U h / f x b 4 t a b n b A e K 4 v Y 4 S R y f l B 1 + t Z 1 8 N j + X R B 5 u i A g I m t s 7 A K 2 B N C 7 J Y A y z 0 M X n K 8 z y M c 1 S 5 R T e t 3 1 M p N j t A F L e W U Y J 4 9 M H F Y k K r Q a A p Q H v 3 d J p m d o X K 1 n U 4 Z T N 7 7 H C 2 5 c R l Q X Y F C N B w n i 5 P L M 5 T F A n e k X A P B k / v R 1 l E 3 1 N 2 d b I c J B P S 2 c I D a y d O Z r 3 j A Q 5 V Z y n l Y F 2 e u H i w M o 1 B W q Q R E O l 9 s L I K + 2 A S z 8 r C U T 3 r d r 5 s D 5 Y X a H r W k Q 0 Y M 6 i y Q m E C + 1 j P O q B b M s I x N 8 J w v F p 9 M Z L w b N 0 c I A O B K w F A k t C 8 D u v b L Q 8 m d E k g X G Z Z W u M 0 + + U L 5 Y Y H u N y U h Z S r z U k / B 3 0 D 0 k a 3 q G 5 A V u m c L m U Q D c h R t W j j Y t P y / m 1 Q C F W l F B l A C A J l P m I Q 2 i A I 3 9 Y n j M e t L r Z I k o h j E r M k y 3 I a E x s X m w 8 H p 0 Z e 7 S C q X 2 9 5 g K u t s 9 T f 4 n L T D r l t 8 r Z m y E 3 i 8 F j C I I f c o + p p e 7 I + z J d X U k 5 x + r C c X 8 2 / z F d d 6 M G 5 p s N g M S c 9 L t Y L s 3 y x n R A 1 I N c c 5 H k Q p k n q Z a 3 Z M E k K S Y u H P H W 0 U 0 u j 2 u 8 A B 1 l d S T 3 H L u r i / F 7 c 3 q A L a y i o 3 2 s + n 9 7 F G L L i Q S g 0 V O E Z p N I G o y q o E Y 7 E P y c D 4 Q z M m Z D 2 F + S s d j x A P N W V l H i + d 7 J R p a 2 n r a C v d T 1 t w r 6 K e n o E v 7 b 3 8 q v i 8 0 r 6 m B 4 L p s C 3 7 q V s J 3 O L 9 1 T O 0 D v B 5 z n B n d Z r Z q S C I Y C e C l C S P M b v W a g v 9 i v k y g 0 P c K i U h Z Q z 5 a T I 7 V s Q D L d G d Q A 7 3 S o J Y v D 9 H F 1 x l X c M 2 x i D R a z E w A 3 t E M 1 q x w O E U 1 1 J i a e T 2 l W v V 8 U e f d g Z g k L 3 w B Y a U E r s A / m q p 6 P 5 h J 4 L 0 q i 8 h + J v 1 9 D m p 2 m S c r 8 D x H J 7 H S W S b u I C P Q 3 i O d R U 9 z b 5 7 m r 9 b W b M k O y A p L 6 4 y 8 E w x S G 2 b 1 z a z Q g P K Y l c 6 K 3 m t X 5 P 3 7 v 8 u N z x A F + M u t L f 4 Z t 5 N R P Z r r D 7 3 R u z N m L 6 G m E z T j S 5 0 / 0 6 o i L n z e C 9 e 7 j p C o u d / j o S 7 P l A 7 n i A m H b X U q L q J L v 2 f H Y / W 9 9 B 5 P s k S p n Z 8 u 5 B i B M e r W d F N / c 6 e m c x I o x T R o R C s C 5 M k Q Q h z 6 q R E / y z C Z o W 3 O 9 h G o G f E L P D f r l X u / e D c u c H Y t 9 7 J L a 8 e G x F J d J H 7 / Y + M X w z W 3 2 Y 3 a 0 W D / f z 1 f J g g a J c T D q E t m O O h 6 r U v i 2 l p v l x m V x 4 O K 4 K c 3 E K y u / 4 c V + u 1 q u H T z c D / b D N a s P / q N 8 h x q J t 5 9 l Q h 5 p 2 X n U M d M M K 2 c 4 b q U N t 2 Y j Y 1 g 0 F o 6 E b c 2 G F + g p p o W F S m o B x 2 H i X A E s j 8 L 6 j y V u 1 1 Q E e J H U l 5 T x d H O / 9 k t r 9 P L 1 d L W 5 n J n l c W y 4 J M J Q c 8 R y k 4 + T A t o a p x A x y k Y B g t u v n C F b 1 v S T L 7 Q 4 Q S 2 U h J Z R O 8 k h I 1 7 o p R K i B R l j U G H p + U 4 m M 2 a I M W q x B Y t L 9 7 x F Z 8 W H q z q C J E C M 6 g y M j p r 3 i 9 Y 5 J 5 S f 2 X K G + W D 3 c 3 x S 3 X 8 x j G l v m D Z B 9 x P J 8 5 j R V N 0 N m a g D 6 I d x k e L + 0 x M h + a f D G r g e 4 i X S r K d e R k w w c v W y e D R K 1 B j Q Y g K g C 0 D D i U N t D r K d 4 a 9 6 E 3 o O y J l 2 u O v a P p s u j e u F G G C q E 4 r b O i 8 2 T J t C K 4 h o z v G g R h 2 F 8 0 N o g T A s Y n q s v J k z 2 0 f 9 a N F x E 5 Q 8 w M U R F M v F x C W g w 2 b R h s O j k P Y U + x i g M q k P f d L f e 8 g D P T G c p 5 Y 0 5 + l 8 H q 5 d T q E f F H Q 0 1 Q y F 6 b k U g 8 y Y e o 6 4 k C K h E h b 9 q Q w d E k 5 B / m t I L j 2 q P 3 X 7 Z Q 7 P n A Y L a X U u J 6 r m L h D J S t W 4 B E G t u S 4 s i A 3 o W 3 8 z l b H 1 v + H T e v 7 W 4 D s D 6 I a w d I r 1 R i e N x V Z c U D Y z q M / i l U K G y K E + q d / T p 6 R p b P h A b H u C 7 6 S y l f D b v 3 z p 4 G e j r X w 2 M 2 e K z o V 3 e / T Q r 5 O 5 W U d Q 7 n w q q 2 t S Q T g W U p m M 2 t f 2 Q G 6 2 Z r T C 6 Y Y 6 m b I y j N g T h l P F J o 3 + S + x P e A U j h H N 1 y M L 7 L M 8 7 Q o I T Y 7 L O r L x 7 x j Y W U U + s k + e B p q 7 U L i 0 s 4 F J a g 0 I M R O i q d Z e p L G M 8 Z / H r p J U e 7 a l o q H m j 7 U 7 R U F l K C + e 7 C w S t Y z y S x K T d r J o n h e h R M k v F 6 b K 9 H f f 9 U 8 w 7 2 f q M a p q K J z y P 6 p y O h Z y M M W q a i B v L T O w w N U 9 H A 6 J F M x Z H S 0 4 b h d T F f / 1 n 8 x 5 D l 2 7 W X U a A H 8 g h q P J T y T Y 2 w A e 3 l A F i U G H H l O E 7 v 4 I 5 b 7 X i A d E F d S X l i B m g r d 1 E V I T 8 o u A k v 5 t f D Q 6 x V y h I C P B 7 J F z l Z y Q n t D V t R / 2 v u 7 8 l W V x r + B 9 1 9 A v x m U V x / n Z t G + X Z m R c B M M U 4 B J I P Z V K V I U J f B t M o C V L J Q F K w k Q f p 1 U K o d D 3 B A 1 J W U e D q p + U 8 N g P S E E Q d q 5 5 B K f Y Q 1 a p 4 B b p I W c V U n + i f Q G W D 8 A f v D i J J 3 3 i 5 t T r n l A S J a / z r N U k p I 3 X R H 1 Y K e b D K 6 Z o p j y O g k 6 G n M 6 N p U Q t 9 g 0 l B J r R p M O n 0 L T e 9 z 9 6 z R M C q S W e M 4 K 2 p D f T r / g 0 7 r N 0 P W + M Z m r B D 6 E y Q G Q 0 T o a E B E Q O f r s U L m y 0 l R 1 q i d V b P u p 7 v D 1 Y 6 b e 2 1 / S Y 6 6 k n K D v n F x p H B R L K + B X R v i O f 1 o 0 W a K U o F X R P I z D Y Q p L g y o q t f v + / E E v H W Y + I A Z d 9 I b r H Y 8 Q D z V l Z R 4 T j + 6 2 G h K N F i 3 y I Y 9 K g x Q R V 4 a G d i j C Q 4 C I 3 t 0 Q w Z I D y 8 p R y T f N w 5 p E p M K N / 8 o v C T c Y x / 9 4 D 9 3 8 / 9 a z h e H / 5 C v 7 M G / X v x c H o p n + Y N / H V 1 f r 2 d 3 d 6 / n s 8 X 1 3 Y u f t 0 s 2 9 Z + L f 8 F v O H n P + O v J i 5 9 P D j 4 f / u O / B Y 5 k I w y v F 8 X 9 z a y 4 3 t v 1 h j 1 m D l k X 1 m d Z x d U 0 X t w D J h 5 s B 2 A P u O 8 F V Y b x 9 G N V b 3 i A 2 6 2 z 1 N / h e v t 1 9 u e f P F f G I Z e d f i A U I F o p j L n a W V Z Z l W e Q P 2 P M v o I 0 2 c 0 X u t n z A E H t r q V E 1 U k J w a P b u Z H K N 7 W a d P k T n 1 w y g n d E V N M N n w 9 w C E J H L Q G v E g M 8 6 D u 0 l L s d I J b b 6 y h x n L o 4 5 f o 4 W 6 9 n f 6 y W S 8 H L x K R k f n f T B Q W c 2 t Q H Q Y 6 E P G I j F A h I y G N x W u e T O c E M C G 6 Y Q 8 L P S j e X f k 2 z d t M H 5 Z b 3 + H 6 + 0 C y m B P b U y S p h f v 9 Z w g P n s v S j Z i D A F T 2 u G 2 F b d i b 3 L x H M 0 B A i n I 0 S m B + i R B N H c Z Q i t C A q w 9 4 E w g u x + 4 O G z b e / A l B Z S I n s A F z M 7 Y y p T 4 Z 0 c T N b / G E q 5 2 2 d M / G b B m E Q M b g A V b B p h J o k / F M Y U I F 0 W a q K i 6 c z p H L D A 1 y / y k J q M F 0 0 z H m 9 W H 0 z 5 b p 2 l g F k R r G Y W H i Q Q + L S F 0 t m R s h 6 Q a J m H k V v R p p N 9 2 7 N y P 0 O E M r t d Z R I O m k d c F z c F q a m z I m V C 3 w 4 i d D z o s v G r A K S o Y B d y 0 i K q g V E E I b h o X A T 3 + G K l f s d I J L b 6 6 i R f O V g Q 2 a K 1 8 6 n 1 f r a h K 6 3 k h 8 J m A v z W k Y 0 T C F z Q b r n + J X n M p k g Z s A o K m a W C F z P 3 2 H s V O 1 5 g I g 2 v 0 + z l h J V J 2 V r 9 G r b N h y u B s N i I H H J a c T I 4 m q n E a + L b 7 N 7 Y + l o h V Q H 8 R r H Z K A R G o e i c B R 9 n L I Z w A 0 a U 1 B 6 3 K N y e N 8 7 f a l 2 3 H z s + 0 t G 1 Z W U Y + U k U l 3 v O K 2 h 1 v Y e 8 j U m H d X l p 2 u b S p O O f I 9 l 3 7 N 0 R 8 v 4 a f 6 j n r 9 t e v F w S 0 f G 0 D Q 9 f m 8 x E + J U J S F F g U g 0 8 B E D F l G n H 1 6 C M k 9 C E h k H s a g W + l d 4 c s M D H K r y l 2 k W U s 7 U 8 X s H E 5 B L x G H n x W 2 j r P S I n K W 1 L E k g t H 2 4 F I G n V c y N n 1 I E 8 2 h / E + t s R y 7 Y 5 q a b X 3 t / d 6 V 2 O S W 4 T q q U X N w U y 6 W x G 2 5 H + U A K I E 4 p E 6 B 3 l M Y S d W 7 J O J 7 X D 5 3 E M B G M z v 7 i v 9 W O B w i q u p I S T y d J H 8 c L 4 X l t u H n t 0 B V A D n E Z I 5 e B p x N t q O x n M H S Z 0 8 N S i A M B u + j b C i + 3 O 0 A s l Y W U U A 6 A r N D g c c W P G Z M A o u + 4 L f r K j 4 l E a J R i d l r O / 8 a f c 7 s x + T 2 j X P 1 E 3 Y Y 1 0 E z U D a w B C f U b W Q N t x a U X L 7 H J 0 C u U b G R I 0 I V 4 y Z i f t 0 F 4 W 9 z + s T B a / X 4 8 s 0 n Q o f A L 4 2 2 c 8 j A R j X B k a c t e f H 9 R C + L K 8 1 O 4 G 7 3 L 3 m r H A 7 w U 6 k r K U / H R R Q u H 9 1 e z Y m l q E N o S D V C U r w 3 D e J T q a A q f D g / l B i q t G q / e b 2 R a 7 n e A Y C o L K b F 0 k m V w v F o Y Z Q N P T m 1 O J g 0 p N L s y 6 q x y C k O m V j a k A C J x Z k W 3 q j Q D 7 j 2 D k f s d I J T b 6 y i R P H F x m q b v 8 W p Q 7 b 2 b U U 2 P 1 2 C Q J H u 8 o 0 F S + 9 i B 6 e h C D C o h l O + D U o Z V f 8 K v + k v a n q C Q l h i h l G 0 Y 3 s C c K u 7 N d D g r p H g 8 i Z H Q T + K I N 0 m 2 B a u r z f c F g A s x g g r 2 0 R 9 M W W 9 5 g N u t s 5 R y w b m J F d d a Y t t g x Z t u e 5 U Y a k 9 W / M + D Y H Q a a k / W 6 3 W x / L w w n q x 3 V g D I T F o K k b C D n B O u B T W n J g d Q B Z I j A m + V 0 n V H j 6 l v o 6 L e 8 g A n q 7 O U c r K c l P v g q u q + W a G m S r Y g x O F V t 1 4 Z 2 a x H N r 5 v Y Y J o H 1 L 9 o E R E l 6 s V 8 s / D S Y x e X 5 h V Q 5 r + 9 3 G 1 4 w E + G n U l 5 Z s 5 c t L 3 T S u F a S M R U 0 t h G i R i h B T m K B H T 3 s V 6 h T 1 N E C w O r l 4 q z Y r J W i W 0 J i I r + e z I Y 2 0 D / b H 4 t l i Z 1 D F t p Q A E r A 5 V B 0 b c K b P s D S k A G m o + W W 4 C A q 8 / 5 6 D c 7 g A 3 p 7 K Q c n E 6 K Q J w X N y v j S P Q s 6 l N y 4 U x D 6 K 1 a K t E a e A n d S s U l y A m o B F + c H E g + U B V S f 8 0 g L n c 7 g C h V B Z S Q n k 2 d R C r o F f o s o H V N Q p d B l h d J h S 6 R l h d e z m + X j z 8 B a 7 A 1 J G 2 0 4 Z K J 1 h A p 1 k c h R 7 O e T X + J 6 W J m U L 9 i C J U o 0 T S 2 b 8 e q T Y 8 w K m q f 5 t m K e V c D a A N t T 1 M 7 c P y 0 A 9 P b c 5 V M z w 1 n C s 5 P B 3 P V X u u P q y u P h u w H X a u 6 9 I Z S k g p x H g K C U 3 P q n + G o C d o O j A 6 W U n O 6 M 1 F F r t t v v L 9 Y a + 2 l l E O 0 9 T F a d 3 5 4 s F M z j i 2 Y T i i j i 1 g x f A v M h i O G 5 h j P 4 D i S N W N y B v p C M p 5 v W / H c s M D h F J Z S A m m k 6 6 T F / c T T u S v q 7 v Z l x v D 0 T y x m a d j J k r K n 1 I R x D 7 I q 4 1 q g K O Z 4 S R a 8 Z L 7 d 1 L Y 9 U G 5 5 w G i q l l M i e y J i 8 f U 0 / Z T b L T B 6 n 6 K Q R p M 9 F N G Z b D 2 x b s o / p h L N n g p 8 d 1 t i l p R n 1 C L A n p K g Q 2 i 0 c + 9 q M Y d 0 6 J E K j P J I k n 3 3 + F Y y d 0 O c a S 2 F 1 K O k 5 O M p + n q p v j L h E y 1 s 4 i J J 4 z 4 I C O i C y X g x A 1 I h Y b c B N k N P 0 Q O s w x n 3 x l F u e E B g q k s p A T T S X u Y l 8 X 6 / m a 1 W N 3 O v u 7 r 0 Y P l E Q j B D b + B F 9 V Q F R w u c w R W o H e A M S v 1 O P r B j j Z 2 P U B Y d a s p s X X y 3 X s 5 u / 4 T v i l x v U K t o X v j 2 l b u G J a m W Q I E a e u c U r s n e e b h 6 B L k H t R i z S n 1 d d P g 3 + b r T / P l f J 9 e 2 R r K V B V H J 2 v 1 1 t l 7 b y E M e C r h d 0 s T D 7 9 B d w o d 6 V x 4 e 2 D H t R u p s d 3 y w T H f 3 B 6 Z d F u + 5 3 I p 5 U g 6 G d K 3 x X o J T 9 V w 1 Z 5 Z m U L H s D e E 9 P B G L 1 q i A j m U W Z I z Z w A 8 g 9 v w T n h d u e M B r t n q t 2 l W U u J 5 5 q I 3 d F k 0 C m T C 1 W p u k m m w J V 9 l 1 I t 5 B q u / F H a v O z r e h F k E Y h s J A j l C U 7 M a 8 D 4 9 e x C l X L 3 t 5 h f f X 2 t H u 5 w S Y C d p W J f F 3 c 1 8 + c n s v m u H 5 M 0 m Q p e B T g 7 n F q X A p l 2 X 5 R N g F 7 g i 5 p E Y I c p M u F 9 6 1 G 5 6 g N B q F l M C 6 y S m 1 4 8 0 w J x U 0 w i 3 m O 9 D J v 2 j W H 8 y e i / a l b 1 o S 2 a 0 9 P F Y R I 4 Q 6 Z 0 G 0 E X O D Y m P F j A W E T S W h N F m z 2 + n 3 v M Q n 0 5 n L e X L c b L + f b N + W F 6 b h L K s 7 n q 6 v o j v e P Q y 6 P k m V L t N 9 x 6 0 V U I b G F 7 m j r p 2 5 Y Y H i K e y k B J M J + 9 3 P b R f g 8 / b H d p f V T 6 6 W k d C + 0 c e W 9 s d / L A S Y v K m B O r C S u c q x p e Q 1 I k c q d S f q 1 E 4 j M T A c 8 B 6 I r 9 C z K y 3 8 m e 1 3 w H O l L q S c q g u X F S 6 0 l N D b e D k V b x M y u O C G j q C y d s j V Z Y m p 8 X X 9 W x 5 Z W r X n v 1 u A Y q K I t w Y k g j o e B 4 G I g W p T 1 Y a T 7 w k o 4 2 7 c w Y i a o V 6 2 w M c M O 1 y y i k 7 + / 1 v A 5 G y 4 c E 3 E C k D D 1 5 C p E Y e f H v O p l f H K + N g y 9 o 2 I 4 r 9 D A m J 0 i S v T g f R s J 5 U 9 m / o J v W G c p S 7 H e B Y K Q s p B 8 p N F p T W j t J m T t z Q P A 2 D Y p k L j p P i 9 k D h d N e d V f i a 7 M G i M t d T S T X V f + + 0 v 6 G S G m B w o a C S j j C 4 N t S X M J e M 6 h V 2 I 6 p s A q a 0 1 K 8 V N 2 T d C W f W i E Z q D u o U f 7 7 + V 2 e 5 2 Q G u T m U h 5 e p 0 c q 6 B K h O k 4 F v D X O P S C g q X T d C q 8 g F N h f T t k K W q s 0 w / A O C R I r u U p W D z m T b y B / 3 6 X N W O B w i n u p I S z 0 s X Z f 5 x I + 3 e w R W M i o a G d N s 5 u L m q 3 H 9 e / L w l i g U O e e u f H y z u D / / R m E d V E d K 1 R a R 5 1 E h C a + 9 H k j x N G D Q p v s 1 T G G h U F b z I o i Y M K v R V 1 X P W R T o Q R I s 9 T o c f n f Q / y x 8 8 v 8 6 q P h + x U R h p 8 h G D w o j M R 0 a F k f a 8 t b M s w 0 t m h Q D G u x v B H q G 6 m K a 0 y f K 4 R i p m K N 6 i g + v B y w 9 S H 2 O b / h O b Z k Q 5 w G P W / k L N Y s p 7 5 i Q U 6 t V q X V y v C O r 0 Y T m / m n + Z r 7 r 3 6 v m H 7 p 1 n c 6 9 W y j Q F R n T 1 F 3 a o G z D 2 L j G E S o 3 I Y V N D i e F z s a Z j i V H / 4 M H h F N M / U / f z n U 3 3 M 0 w n s C 9 I P S M S 0 U 1 B D U 4 z I l z k p R t 2 g P 3 y U r n f 5 m z t D 5 G x v Y 5 y h t + 5 2 e / U J U O a v k D v A 5 V V R a F p r J A h U j P O F T a c N P W l g U 3 r p C k N D P e a L A 3 G e 6 2 9 1 / R E T p v B d U P k N A y u J Z F z H F y 3 Y f h Q f E W w y T S 4 t l N s Q j c f e R 1 h h J A l U d B y O X 3 P n 2 B O m m L P l A s l 7 z o n e B r 5 V + 1 4 g C d G X U l 9 Z F w 0 r i Q z 7 2 a G l T r a 9 z U + 6 s 6 j U E Q T K Y C 2 H O a R C U d R l v Z Y U R l 1 w 1 D 9 v e 8 L g 5 A 0 E 8 l z L W 2 m C 4 O P e b k / 3 m 5 t G M 5 X C x N N 3 c 5 f O c Z 7 D i t P 1 B z h O J e m Z L J D j 4 u g c B 7 A E 7 L 3 V F P s c 4 A L b W s Z 5 T Z z 0 k 7 5 b P Z X Y f S b s x O G Q 2 g g C b E + g E 4 Q p R v 2 P b A u B S D V D 6 G Q 7 O b p W W 5 4 g F A q C y n B d F M W T t u T t + k R N o m 3 o U c o E + + x R 9 j e i X r E q E 0 Z 2 q A E w H Y 8 m i G k Y x l 6 O 9 8 o Q / W j E U 0 Z a t H C O y 6 u b k y 9 o 3 9 b y R z 7 W G K h c B Q k Q U I b u L U U F D L H u C n F Y Z o j 8 B 7 i Y N 5 7 p i n 2 O 8 D l K X + X Z h 3 l 7 v z 3 R x e x c t o h l x W 0 p 2 r G m p A 9 9 G J H Y E 9 7 c 1 6 u V j U h + T E R C L t u b D b x I t h w D F d C A B 5 p 2 H g i R P J A 4 W V M q 7 Z K N f t 1 Y + s t N x / 7 / h q y n a W U c + V m T z b W l M v V 3 / u + O i 2 u e r L i r 4 8 9 h j H l c j y W y + 3 J w g z 7 2 o i j s q I k M b M k 6 W H G Q a 3 m Y Y H b + k r j 9 5 4 k w H K i A F 9 A Y e D Z / 6 U S G x 7 g V J W / T L O Q c q a c p C R d F E s G l U c P n x 7 u c F k w 5 R 9 2 3 E E k c w R s H 9 G p U H p y U g S U 9 X c 0 Q T G H 5 i I W n j s 6 O h b L g 2 b f z W + + v y u T X 0 q z n h J j J z m E + j a j F e i m u j f F o / f Y v R m I N u M I u 2 n v T T 3 U W D N E s S g i A C V 2 W 5 k V + f j 7 n k i h q S J O q s k o L 6 S V O T r l b d S L 5 w / 3 S y N A 1 Y 4 G h Q s u 7 1 + X t Z s i W h V R 3 g m S Y R 6 G v R / I c r s D 3 K H K Q s r l 6 S T x 6 X T 2 J 4 r t p o d x a u W S A t E 6 9 o T Q d 5 o j Z C T F h 8 u H 0 a O t 6 a N W R W m O p P s O 6 U 6 1 4 w H C q a 6 k x H P q 5 M x N 6 + u l u Y V 7 A z s a 8 K N h l C 3 B j + O w p 3 0 M n 7 a R s f M S j S c 5 B O w c / 5 j S C x m 0 h z x W G f r 5 s R f 4 G b 7 x C T V 6 / x p C 2 t 4 M c K i e M J F x 0 k l U D 9 P R Q M d 7 H 6 p m W m B g h 8 p p w c g O b Q / V v 5 d z o y O F X c M r n S A F E i E B J Y Z v V Q H w U w Y o E e 0 Q G m B x l g p N m A p W 9 T Q 0 R G 5 2 g P O 0 v Y 7 y R D n Z 5 2 J O 3 U 3 i d W B e m 0 L B L 6 c X W 4 B h K y K G X 1 2 x h p L Q D 0 Y i x u Z Y 6 b R Y z 2 + N g k 3 H 7 + W X 8 H 2 l G + o + S Y I H M z p f X v k K V o + g o H P L U b n Q u + 3 X m 6 6 2 O s B 5 V V d S T u z x e w c n P u 9 m S 7 N o m 9 3 N C 7 U U y b 0 0 i B C w j Y V 1 Y p 3 M R H j i o c W H X b p U 5 O o b z H K 7 A 8 R S W U g J p Z O X 7 6 v V w 6 d F Y c J Y 2 o k D g V a B J R w J W k 4 J P K p i m a P M R 3 u b E l A O j a T x Y b + j W e 1 4 g H C q K y n x d F M e S I u x t A G y 1 L l P a A C y y O b n C G R p U 1 M 9 5 9 B m J t 6 U 3 Y a h u C y 7 x 6 l 4 G 4 Z S p w m S + N x k Q j g 9 s c k 6 A l 4 r L 0 e m O / H h K s m K o C y 9 A 9 K R i A c M o d E k E i Y z f d 8 r o Z o k 9 z z A H d d d S 7 n l p i c O J i D 6 v r 8 N T q z p + x t w Y r L v P 8 q g t c f L S z X 0 9 l j j 4 9 q 7 D 5 J W y J / Y o G S Q A v 2 J R y W D N g y k n d d I h B h o 1 V b D 7 C C n 5 4 E f V o q U c k 7 v v o 7 R T + R w A m D u Z a W Q f f / q q t r w A N e b u p J y u b k 5 v 8 7 K E 7 T d q 7 C 5 3 I R 0 u X i T D H d b h s T j e L W 1 Z 2 q K M L n g t D 8 G p r M z L k 6 B p y Y 4 7 Z A t B L L E r S v c Y A K 8 D o 8 e q S u 9 g y q 5 3 O 4 A 5 2 l 7 H e U 0 O e l b r O / V l x 3 H 7 + s z N b 1 6 A 4 p O 9 u p H F F 1 7 n i 5 o G M 2 + 7 v G V C s O J L 0 D d t I z Q c w w x j a 7 O F O L D w p o z z B D 9 B p M i n V j 6 d R q a P Q 9 w s L p r K Y f L y a f K 1 1 E J Q 0 2 Z a 9 G 6 P 7 r + / x 6 W 9 7 J F 9 S w C I z o B L R 8 N N E T r c n T 9 c U y O M q + e 9 y Q J v m g h 6 t b B j o J 2 9 a 7 3 q M P 0 o l 1 j + 1 v Z X Y f p x f k D E u G r g w / z q 1 V b 7 j 2 / F N P 0 6 n Q m E Z i P P a t 2 j e N 0 I j J U P 4 s w + 8 i x / K i w X G J q J 5 5 b p g J l k d 6 3 E C + 3 O 8 D p V x b a D u c L J x v H e o 0 E m y y 1 0 U g w p K l S I 2 H M U 9 t 3 9 a 1 w R z L 6 X d s e K f p X E S L k O T Z I T L y r S u I n R H h S X O S F u T y u o D y r F R r o 6 U F 4 t e M B T p W 6 0 t / h W F 2 s F s X S V H h Y 2 V 7 D N g g g h G P X E C Q E V Q q h y W a l H / i 0 M X n n C G c q B j X 9 m 5 V y w w N E s / x l m o W U Y D p p e 0 0 T 1 + R l c / a L T d / Z 4 7 E T E l i N h 3 k 7 W f N w j 2 x 4 j / 1 y X b H V 5 r f d H 6 t g a x k l h G e / t K l H + U e P J j I v Q L n c z 6 4 P L u 6 L + 9 l d + 2 9 7 / o x F T y b Q Z L i 9 W 5 z N P M 0 w y J H z t H G Q 0 z 5 z L x n h G O k 6 7 9 9 Z n K U Q s 1 x c H c F J 8 s K B T 2 5 s 4 u h w 4 g 8 X N Q r I f R P H c r s D n C d l I e V E v X / X H g 1 3 T p S u Z t R J 0 P c + U Y 3 8 j C l x F P I z Y + L Y n q j L 1 e J P E 8 z f N m 1 M w z y I q c V C 0 F c t z D 8 L s b R B Z z z L v B D C Y x 5 W I X s 6 b Z T 7 H e B E b a + j H C g 3 K z E t / 9 6 m E q t F p g 3 n S Y h M j 8 e p P U 7 T 1 f L + q l i Y V P r t Y A Y A q T g v P E 6 o A Q m P h Q b h H 0 9 g k g p 5 / r p J 1 f e R q r c 8 w K H q L K W c K y d B B k f 3 N z O j + u D 7 t z Y 5 R z 4 B y w i y P M 0 Z B K W Y L 7 Q z I O Y / P u q D z I e E i H X v U q z c 8 A D h V B Z S g v n + r Y N Z h 1 C A + F q s r w 0 j P b s U M o G k S N H F + C 4 O K o l x W V n n u M X S P q G L I v T H d 3 I a r r Y 8 Q E D r X 6 d Z S g 2 p k 4 m k V r P L p j R r J n u G 0 k x O 9 s b S r H 3 5 P q 7 n n z 4 Z j p V d I p l M M F p G x g k p 8 D z 1 6 p k e D X 1 c 2 x B w A l w M G l z m l / 3 6 H H K 3 z W e + v 0 b H 9 j r K c X I y j X x T L I r / E M e r + f 0 3 + a 5 t 4 U / s z K I S w c w Q L k P 0 j E N a j P V 4 L f M m O f K 6 M Q q V C d d j b 3 q i 3 O v B M T v d 5 3 x t c x U l g k 4 a R e l R k T b Y 7 w Y V a c B + S 1 T k i P 1 u L 0 T 9 U F y D i r Q Y i h 8 X y 2 9 G 7 u O J l a U z 4 q O U F E k m A c y 0 w + r c F L T f B O c F D i w A d 8 T z h G t G v 3 u 3 3 P A A F 6 + y k H J u T 5 y 0 d N Y K f d k I 1 j R C X w Z 2 o h T 6 G g V r 2 n P 7 s f i G 9 I U h k 3 l 9 a l P v e Q j o 8 Q A K J g B I W r C 0 d b 3 H Y e M 0 C W W 9 W q q y 3 5 E q 9 z v A k V I W U o 7 U 6 1 M H y z 3 9 2 E Z z B / d u M j d j m 6 o c B z v Y y R 7 l 2 G Z E p r d H q i f / x o b 1 K w T 0 a C V n 2 F T S M d l w c U A o G 5 Y + E m x 1 1 t m 7 1 d z l x H Q i / f P R 9 f V 6 d n f 3 e j 5 b X O P J W J 6 J R + e V j / 7 B i + 5 a y v F y U k Z v C p P b m H 7 Y i Q T 5 E 4 q 6 D M W S g A w k o O 1 Z X 5 X 5 B C 1 E V N H D A J B 0 2 T P r d 1 e W G x 7 g r l Q W U o P p p E S Q l s V T M n u + D y F d M 0 S E A Z + I j + 6 u l C y e c I / l 2 6 N n 7 l n + 4 P m R B r j O d M v u 6 u 9 t h c G i b N A L e 2 t a Z h Z r 6 K m v N u O o h v p q m E d J 6 u s 4 k G q f 3 r f 7 x N o L I Q Y v x Z a v e l t r h Q a B t U f e F L t o t N V l P t u 3 P h T b H e B 6 3 l p G u Z y d R N j r e z q a E 9 s 7 k W 1 6 O o Y m t + z p j E 3 u 9 j T 5 Y d l G 2 + q J + p r W m s X F e X E 7 v 7 8 x l J 9 2 C n G Y Z q K M g y t C R S 6 r j 2 y G d F w M J j R G k j j Z y R h I 7 n e A M 7 u 9 j n p o z x y s P t H 0 K W 7 n J n T N 5 e 8 W r Y Q I d W l o b T T U 4 1 x O j u t W A g r i X L + E s l b I 6 T 0 6 r n Y 8 Q D T V l Z R 4 X v 7 u Y D z 1 3 Q Q b v b + m m 2 D Q + 5 P d h F H v r 7 2 E P x S L 2 f y T 6 Y q 0 Z u W i K 5 X D E 6 S X E D K y r 8 t O 6 t E o Q 9 7 D S 3 N J z K 2 6 q k + D 1 q o d D 3 C s 1 J X U Y / W b g 8 e q 9 T s 3 v H p 2 g 4 w I + V M x I I Y S 5 g n B x q 1 B B s Z q K A 0 n m Y T f 9 E 1 U 2 0 0 P E F X N Y k p g n R x o + D r R Y Z 1 z i U W 2 d H w z W 6 8 + z 0 y P 7 M m R z S O L / 0 Y Y x 8 I A N p U G H K T L J a A n Z j i G f x T S P l X G 1 P f T q b c 8 w I f T W U r 9 b I 4 c v A / 0 t Y 4 N V b + p d Q x U f V n r j F T 9 9 p k 9 v i n u b 4 x y / m 9 s D l Y I 0 w z t 9 4 D + L W 4 3 0 K r r g 5 X 5 E z / I I G K A 7 I H X t I M k Y L X j Q c 6 V / G 2 a l Z R j 9 c b F Y 6 X H I z x v 7 e q H m u Z l 9 f e e q 3 n 5 e j 2 7 n q 3 n R r K r H U w J q K a o j h O v 0 j m q E 8 B U 0 C a D G L a r 5 0 l v A g q u f n O H Z s / N F 7 O / U V J 3 L e X r d B K 0 N J 0 V 1 6 Z H 3 M 7 i H e J / m O G B T E / S 4 8 p p Q N a i U b m l P 9 p 7 O C j 3 O 0 A 0 t 9 d R I v n O x T k S t / D t l 2 L + S T h s P a b v c G I D o U D g G Y F F 8 n g / S B O s t R q J F 1 w O U J H F Q g 0 j t a y E F / Y 7 n s 2 W B w h o d y 0 l q C c u A i m m M 0 F r 2 S N T L C E b Q F Q O b E y K K 0 z r f 0 d f E t Q v g w S 0 P H a j Q d R b H i C m n a W U k D o J 9 D 1 d z f + v 4 I z u U 0 0 n Q r y b l x T n 3 T z L A i 5 X W T o l 8 G z z J A a V I R 1 E d 9 A 3 k 3 v e 4 7 D 4 R b X A d v x 2 n x Q P J a S j V 9 6 0 K Z W a m b 2 h V J I z + 7 F U a k s l T B L v x V F 6 W a z / o O d v e P j s Z D v w 2 A 2 a r m Q L n / c D Q I V B k O J 4 A E Z X 9 J T 7 P X t y 2 w f V p g e 4 J v X r b Z + 1 F 0 4 q e L y a L Y v F X E R 4 t U Y p / 6 a L 0 D i y E R 5 I w H 5 C i G D 6 F m 2 T A P 2 Y y C K s S r 8 5 R c 0 K C Y K + s S 1 3 f F D t d 5 9 X p r q S E s 8 j F z l j 5 7 N i L Y R y P 8 z / M h q R 2 O H X P K x 7 U U Y S b x 2 n t u 4 5 Z / m E 6 Y G A J K L B k 3 h + f 0 d f u W v E 2 d j z A K d V t 5 o S W z e t 7 r Q w e h s c W w O j N + D Y J I x + x L G 1 b + L 5 a n 1 f f D K V 9 F a 8 a Y b f f p I m Q u m T B u K m y B 9 / w O w O u Z a U f 0 G e Z L 1 L + m r H Q x y t 8 r d p V l K O l Z P M a T 1 m U I P n s x j m o L r Z f V k 9 z R q 9 U U 7 1 r W u A D E a j 5 P X t p j 3 X 8 Q 2 9 1 e K u + G p I Y + 3 e x X C S B y Q 1 I R O 1 W v x F 1 o X 0 b z C E Z Q 6 7 s + 5 1 s + f m S O 2 v v 9 p d S z m + T r 6 K b 1 G H R M v c E F O r 6 z j M E f T B 4 C l r R j Z l R I M J w 3 W h 8 5 N E K a K r f b P X a r c D R F N d S Y m l k 1 f x x f 3 s 4 Y + Z s b 9 6 Z j P y 9 i d J F C J S k S V w 6 2 U 9 W Q Y z p h a h 4 9 C E u G e V W e 5 2 g F h W v 0 u z k h L L E x c x g n q 4 v w b Y a / G s v h U l q 9 m p z 0 6 U i O Y t V z m U R m E u j L h J 3 e j j Q s c Z J K Q H i E w D 8 g z 9 c 7 F 6 y 0 0 s 9 3 e f d 5 Z S P h s n R Y m O V 1 8 X 8 / v / M 1 z n l z b D + S g h i R b c K / L r r e z a D 7 C z y r w M 7 d i I H F u a M v a 7 B q o d D x B Q d S U l n p d O D u c 9 j f l t 9 L z D + T c I C d 0 8 m C q y q d W z A c h O W I + j Q I Z + f t m r k u 9 G D o Q K T a T S P r n f x 1 J t d Y C P R V 1 J + V i m L r 4 Z 5 6 v F Z 8 P J t 4 P l R D z y P p I P H s B y a W R X o 1 8 R m M s y 3 / f C m J Z V / y a z 2 O w A c d x a R g m i k 3 C c V w / L 6 3 2 q Q v u p g K q I K X m c t c Q A U r s M z C I c k N o a u d + B l L s d I I z b 6 y h x d F I Z + v 3 i 2 o y S s z J d Q 5 I Y v w q Y z h j n C r 1 2 k U H J S 9 X 3 e I i 9 A O 9 5 T + j y S w n 3 f q E s N z x A L J W F l G C 6 S b P T e q 7 Z 6 E X U m j l V 6 a u j Q A v P t V E t o u 0 c T 2 e L x e z + 3 p S o 2 J p R x z x k a Q L E d K O 8 F V g w N F W 9 k F Q l 5 O K M e 1 t Z 1 B s e 4 E x 1 l l J O l Z N m 1 I g h 3 M 9 N 7 Q q 7 K z I Q N D g q z w j 0 E O W 0 m K d V V y Q Q Y 7 y + k N y M U c r d w f G r 3 P A Q 4 Z S / T L O Q E k w 3 r 0 g d B b b 6 e 1 s Q 3 9 4 9 e u E o L g J m c h Y P 0 3 8 e h K O 6 X H t J c j 9 1 R y W R D R c x q 9 Q Y I w M X M Y v / e R C N X M S N M E R 5 N w x B + f e + 7 z R E l c p N U D 0 / u o w h w s U g y P c I 6 t g d 8 b b L v + P 5 R V N + x V X y z l A S 2 8 2 r K J r w Z + U R 8 S q q V 1 0 S 5 8 y g R c M j 5 G 1 B j 7 0 / k k P u t 7 n 2 9 9 f b 3 F 5 H e V 6 c n F P p + + E a R K N F P / z j S u j z v 1 n P j D M U u 6 T E F 3 V b R C q Z N h J V V V L i T Y T 7 Y B a k F W C v 7 0 y M X R / I P Q / w 3 X T X U r 4 d R 1 M T z W U c B R a j s I Y 4 W D F 9 d J e x J A 4 G 4 2 U 8 F 5 / I 1 X 1 w e P m t W F 6 v 7 g 3 X s d W o G f o H q X 4 Y h C G l m u w r 1 9 c x 3 h h e F A K t y 2 i X i N K u 7 9 G q d j z A w V J X U o 6 V o + P m C b H 8 W N z e o j b M P z p H 9 e 9 O A 4 E 9 t Z k 4 h V y L k D / g C U T I C e d 0 t O q o 5 h P Q X b S j o x B 9 V N F 7 7 h t V o a l Y 7 f q g 3 P M e D 6 l U c F R X U 6 J 7 6 u T k S V f P + R q 4 p M W D O 1 2 t P x n 9 f o 9 t p D + 5 E K B l b s B P 6 k + H W c U k I 6 E I 6 X U D F d z B Q q X c 8 A D 3 g b K Q 8 s E c v 3 e Q n v / r 7 M 8 / Z + s 7 o + 6 n n Q A L l j g e 8 S J s v p B J F v e 4 z J 1 S 7 B 4 w g c A 8 R e q B 9 k Y T N T s e I K D d t Z S Y X r o o w f K U Q + m x T Q 4 F b I g s G L + 3 q O T e 1 u H E B C 7 F 2 g g p M i H h 2 n + i u G U e u r / a a W s Z J Y h n x w 4 e T H 1 L S F M 6 9 e 7 M N S 0 h A x l M t o R G M l j b E u J K N 2 O t z q w 8 G X B e 8 M m H y o u x a t n 9 x C M 3 C T J 0 q Z B F l q C 9 3 o Y M 5 W 4 H u B i V h d Q D 5 a I h g 7 C r + 7 S 6 n a 1 N c / q p T T S B z f o E L E l R o E I C B V x F + 9 Q x z a D A g S k k 6 N D 9 f d X b T Q 8 S 1 P o X a h Z T A j t 1 M b B 6 2 q y N 0 0 Z D m 6 0 I e r p G g a T N j k 4 b G z f l 1 T n q X e Z M 0 m 7 S G z P R T a r p X + M 2 J a z 4 8 O a j z g Q i s 1 t Z U G + 4 + d r 3 l 3 5 M O 2 s p J 8 v J U a 9 e 8 k 0 D o L C o J v X 6 Y J o 1 e u c 5 T Z v P g N K Q b b 4 R p t G e 3 q M v X x Z m R o k d E N G f p N Q M M A 6 8 0 E N 8 L 6 6 r + i w g 1 U H C M Y V S K / x u + 7 a D q v 0 O c H T V l Z S D 6 y Q c 8 X w F 4 s b k e n R u 0 9 2 D r S k q Q N 5 d 2 E A i a B y 0 p q R H v B j a U G n k 0 b 8 K L D c 8 Q D S V h Z R g n r v Y 0 3 s L 3 8 M 4 D 7 V 7 V a N J y P m D Y R v j X A x G u A 4 m D y t M 3 J A A e 0 E U + b 2 1 C s r t D h B K Z S E l l G 4 + q F o 7 E A 0 l 1 u J B v f g 6 m 4 l x z Z t 1 c W e c o n + 0 a A N F i P 7 4 o Z i T 0 8 T f d C 7 H 1 w f a J / 8 f d Q v J H + w 9 t p H 7 Z i b K r g f 4 e H S r K V / Q 9 K O L b a F A Q 6 p O b a a i Q X X g 0 y p S u m I n A N S a j l P R N l 3 C n a y L F A p t u n M N b s 7 Q n Z O 4 u b E 7 t x E G L W 7 O 5 j Q 0 T V L D a Z B N 0 v E 0 t G E 4 X l 3 d z O 9 M E O + j / 7 V 4 b B A X h u Y S + y i 1 k q l A Q a U f W s F v c o Y O S O E C D 4 C W K n O X f r S J a s c D P D T q S s o j c / S / D j 4 y Z 6 s / F q Z o n l g x C z E 6 w c C R I i H O G P M C B a i i i T h k J K x U Q Y O U l u K 9 U 0 6 5 3 w F i u b 2 O E k k n C e m / G L m F t l U g z D M I x a g r b y H 1 E V Z O q A 7 z M A k Y Y e y i 2 c N u B 4 j i 5 i p K D J 2 s / 6 a r + 8 X M N L S w w z Z C E U W N D v c D N D 3 8 D V 9 O y a B J 8 w z t i C T w Y N j 0 z u T L D Q 8 Q S W U h J Z h O o h p f L m b X d y v T 5 W r n C B Z P Y o p 2 5 k y 1 f m R 7 u Q Y o 8 u b A L b h i + 1 f z 1 X 4 H C K a 6 k h p N F 7 n b a B h 3 y w A d 3 K p 3 8 1 q M B k V u 4 x v U 6 X w I A / 6 o T t f m n 3 B q u 2 E I N H o L v c P Q 8 D Z g M 4 m M U l c U S 9 7 G y G L a C E O o C Y M V i 6 k Z 5 R h Y T H K U M 7 K Y 2 j D 8 s s b O x I D X t k s X m N e Q 2 A F L o f C S V P X q g c m x 0 y B t R x s M x R C I 7 A L 8 0 K 8 W k / s d 4 I H Z X k d 9 X v 7 H w T r s s g B 7 9 N W I t b U T e U G 7 D 4 U + Z u e 4 p V X O v r K w z r G c x J U B Q a B K A 4 5 x X b 9 g 1 l s e I J 6 d p Z S Q O q n 2 o o f 1 2 T x V T c f K 8 F T J j t X 4 V L V 3 5 N u H J Q P S a y P s + e x X i 5 4 V M P Y 4 S e E Z + v i a i C q 4 y u t + S q N J T p m V Z s x N Y y n x 3 v d o N X s e 4 G x 1 1 1 I O 1 9 m v D t 6 X + q 6 8 R n 6 v d x 7 Y d O U r n o o u D 5 R d + d F X u z 1 c L 9 e r r 8 X 6 2 p C C v L Z x D A q Q s 4 u D g O Q j j Y F S w r y s a 1 x Y R x n o 8 1 p d R 2 D E + r 1 a 1 Y 4 H O F j q S s q x e u 2 i X Z C + v N J M r X s f q 6 a 8 q v I K 3 b G S 5 V W 2 R 5 L X L i T 3 M k y 7 / D u e n x Z / X F x f r / b G 2 A s m c Y o v K p B z j B y F 4 F + d 1 8 O 6 o l e P x j O + B z t 1 c + V + B + D q b a + j H C g n W X p v V 5 j c m u B Z Z 7 / Y p B 4 I 5 f i Y y G / o b l f T M s T 0 w x i n m d L u s P f t W G 5 3 g M t R W U g J p Z O C c b A 0 u q 0 n K 5 H 7 t M o U D V d j S g N w v B n b h E N v V K o p q i x g V Z 5 W T M 4 G 8 V G L y R k A H 0 J M b s R 7 b A Z a A 7 v x N Z m I R a D P b + a L x f z L / q B z N M p i S k C y 1 x h Z u g 3 j L y / l 4 k Y K I Y u p G + m g 9 a Z 9 1 V s e 4 I r u L K V c 0 k 6 C 5 v y g Z M A X 1 7 f z + m M 6 D D Q w I Y v P 5 m j x y f i k 2 2 m y p 5 Q 8 5 G X o K W w P a b O E k k e A 6 s M Y J n X Y W 0 1 B 7 n a A z 2 V 7 H f V b O d l 7 D + H N b P V h d r d a P N z P V 8 u D B Z M c x N B z q M v g h V I / 5 6 w 1 P p b 8 l H j N o j Z S + 1 t W 9 J E j P p r l q / l f 8 z v + I w J d p b L 9 X 3 J / J K L t d Y b / M f + 1 9 W v e v f j 5 X 7 8 V i 4 c Z f z 1 5 8 f P J w e f D f / y 3 O G H 8 W G J v Q j z m / V e j K N O 7 3 y 3 S 3 D C b 0 L J O g I N h 7 g 0 S J W 0 o J d G E q P p x L H g m O 1 k o i u 0 O c C i 2 l l H C 6 K S 5 7 N H V 1 e q 2 2 K N H e w q z L 4 x a / 1 h Z r 6 T w / W L 4 f n E A A k U y p P u 2 c + r 9 D h D L z l J K P J 2 0 Z / e C M m / d e g + r 4 S 0 X n D z V B z d X h / / o 3 d A R T B 8 R t J r A p b s m A + Q m w 1 H n s L 0 d L 4 u 7 G z h 3 Z n 2 B E 0 u m F p k B W M u U V w 0 7 0 r q n A 4 G L C U S c I s K U A c b s b 0 T a b n m A s 6 V Z T D l d J y 7 y t V 6 u i / + Y Y 2 o n q A O 8 k k Q w Q / W / d G + q J 0 s Z i t d V S r O D / k q 1 2 w H C q a 6 k x N J N K Z 1 V c S t 6 r v u 0 V f d E J p p F i j 9 X k k w 4 n Z D a v S q 7 6 Z 2 O H o s 9 7 7 F v / q J a Y D t + u / T G q 3 / n + c M M c R U s c K / Y b v 2 f 9 v x 9 8 1 / + / J N b 1 m z r Y E d u R r M c + X k g F A H 5 C t K x t W Z 5 B t Q d v X I P 9 5 W I a x h L 6 L 4 Z T L P n A c 5 l d 6 0 6 F t V f n a Q 4 6 2 e 9 N q o f z a y 3 4 h 3 o c h g 5 6 x 1 V P 9 o c R g j U z N Z G e P q x T Q Y T J g J W 5 m M k G v D / k Z O s q z w w F C D R m F R x v n w p / N H 3 b N V b H u B o d Z Z S T t a x i / k L F N y l G N 7 T y P h s 6 o L a K V / R 6 8 T E A f g Z N l T C Z r C Z N 6 a T i F 4 W U t w w S 7 I A L b m + c Z X 7 P p C 7 H i C 0 u t W U 6 J 4 5 q Z Y U 6 W o / G 7 2 V q K 7 9 q k j p 7 s 1 I 1 H 6 j 3 k p 7 b 1 6 u 1 l e z O 7 N I h 5 0 Y m c D j B p C w I i R T k 1 T 6 p d R t l Z B O c R L S B t 1 t o N / s e Y D j 1 V 1 L O V x u S p F p G y u a + d T u j R X D O F g 2 V s Z 5 c H u 4 9 L Q c z b y n d x g a W o 6 B F i 5 p O S M t f C M M W l q O D R y z w Y 0 Z 4 J g S N z b C M T f C o N W q s H n x m 0 r J 8 O L L S m l 8 8 T f C o N W q s D k N D f L f c B o k 8 n 8 8 D R t h 0 A K 2 b M J Q A 7 Y M U R C A r T E I b R D Q h + q i 5 g J N n m Q B y N C D P j S e a j Z r h B o 1 J t 0 g z W K N 4 4 f F l 9 k X I 7 b k N 6 s O S w a E J E H U n Z l 5 L a J S F g q U 6 L F g k 2 O 5 I O y w + q v 5 1 V s e o E 7 o L K W U C U 7 O X 3 9 d 3 S z N Q r m 2 H E 1 M F U B x + 4 z 9 q v G e j G i e 0 q i m I E S I s 4 J G 9 O 2 t V D s e I K D q S k o 8 n R R 1 Q A G l e 5 2 F m q u m d 7 3 R 9 F Q M x G f Z U x m J z + 2 r A r d m Z e x Y W p 2 q I J 3 Q j I w x g U t K a F H d i Z b M 5 y x B z Q j H o 5 3 u y X L D A x w q Z a G / x Z m q 1 P S 2 M C q x x s m o 9 5 k K q z 5 l b J D W C O l T x q O 0 R n u m 3 q z u z L m H H V U F l i y z H Z C r O f D W D S 0 w x G e x f e M 4 o U u E V + c O P m H l h g c 4 U 8 p C y p l y k 6 y i l a v R 8 C R 6 n 6 m m L 2 Y g n 8 u + 2 E g + b 8 / U h 5 X U S j y 5 W z B o 6 y Y O R x d d V K x F / f D x 4 e 6 q W B d f C 9 M s z 9 b D M S K p h C A I K R e w W U 3 H x T U V i X A / Q S N 4 N 5 R Z u + U B z r F m M e U s O + n j O J 0 x Q D J y C C 3 l C w K B h I e d I i 2 9 q p A i X p B 6 X M b U i / J S 7 l 8 S l t s d I J z K Q k o o 3 Z Q t 0 L a k b K h l d U v K Q C 0 T L a m R W t Z e y i 8 X J c D 9 b f H 1 s 0 G 5 w A 6 O G 3 A j e p B P Q g a z S O 7 U c F z w Y x 4 K t 3 m K K 2 o M 9 b q 3 8 K n c 9 I H Y 8 g A n S 7 O Y c r q c h O N y h 3 X f 2 C o R 2 g K 7 W 7 y x F 8 v V z e o W H 1 3 D l 3 N p 0 6 S L s o k X J Q A J Y Q W m W C x W X 4 4 A Q a X Y J g c 5 F D C h u V U d + K c 5 S 8 2 O B / h w u m s p 3 8 2 l i z C o d 7 P l 6 u 6 m M E X 0 p J u o 9 c 6 c I y G 4 k D Z q C y 0 N N E v B d 4 d Z h I p J k u 0 E G q 1 2 P E B E 1 Z X U e O 6 f 2 L c 7 F 0 3 f p L M p f p o m n a H 4 k U 2 6 s f h p 3 9 m z 2 c L c + r Y j B W I q 7 E G M S G g n S D H j G l Y o x M X 5 m 1 i S 7 3 p T l h s e 4 F A p C y l n y k l i 4 H G B n 6 Z R R M 1 a Y h z s W o T w f 4 S o M X p q d R 0 C u M 0 L M 9 9 P o l J D r b f Y Z L X j A c K p r q T E 0 0 m p 8 W P 6 B H + u j N J d l 1 a P X i g w 2 4 y k c s a J g s P U 9 N C 9 C U M p + N h R 4 u N B t Y N 6 a L 3 l I S J a / T r N U k p I L 1 1 8 9 v R j c A 3 e w S L 9 P c M k W a S + F 4 v V F y F t / n K 1 X m F a 1 k 2 7 j 9 5 Z Z E y J c J J v D A Q F s b v O g u N w g h 8 d D e S 8 l C v t T b O R G z + Q 2 z 6 o N r 1 P 4 p R 2 O e U j O n r X c q H K P 3 q U W f X i 3 8 v 5 / e z 6 4 O K + u J / d t f + 2 p y h U W z R + K Y o g f t o A A E A M d w n S W e t c 7 I u f F h i x Q A j s 1 s P T / n f d n z a C d r n h f 9 r n S k s 1 5 7 N / Z V H j 8 Q 2 A J J m W j o i k N i 1 t 8 O a G e m 9 q V c H T 5 G H W F S B K g Y v R B p E p R a 7 N S 2 m U p 6 G / i 4 R L s + P m O d r f 6 e q u p R y t q Y s V P D 3 q 7 h M U W w F f 6 x G y C f g q R s g j 8 L U 9 W t P i e l 6 W f O f F m h 5 Z N y a n N g c r l O x b q C y V g 7 D H t V e i n S A I Q i W j W 4 Z W v e y O 9 U U 7 V T s e Q L t S X U k 5 V k 6 q V + r l Y G 2 O V Q P r N x w r C e s f j 1 V 7 r E 7 n 9 1 c 3 f 8 5 n C 5 P Q 8 r G V y S v N 5 Z x j J d y B y b z J u O v y m z I O u + A s C v y E y U W V Z z z d d G 6 3 P M C b p V l M O V 3 H L h q 8 / s o Y y t w g s 0 O x Z Y B 6 q a + x d c 6 Q g E n 9 O q a 5 l D 9 L h N Q v j o o l X 7 C f e H a 1 4 w F C q q 6 k x N N J b O j F w y 0 9 M h P 2 w k 4 N h m k B A j / I T O Q M E D M v q k d D q M F g s s j 0 P s P h w 0 + l A U G / e F Y 7 H i C e 6 k p K P J 1 U h E G t 5 E b g d g x 1 w s W x R Z c j x I 8 P Y n z g e Y m g x W / M h W i R e U F G d V 7 y e f u r 2 9 d b H i C i n a W U k F 4 c t 2 2 K 8 o + e v b u x e w l + f F P c 3 6 9 W n 0 y z P j u B m I i 5 P x L q x L U C 3 l c P K V M J c A C 0 s F H l F p 7 p / W P a 7 H m A o H b X U q L q p k C M V r D Z p r F S 5 z + G v o o Q b B 7 b K m 2 S K g R Q P q 1 4 A E 3 + p d P 3 N v c l C Q 1 6 r g y C q o l C k 9 A I + K H n 4 2 M V 4 m I q F E F 7 l 3 / N p g c 4 X O 0 v 1 C y m n K 7 p e w f v z N P 5 8 m q 1 W B p e w a M P N l H F m S w G D p V H Q Z D g T x v U v f 6 c m i Q M A 2 R f y 3 6 0 0 A P q l 9 Z U O 2 5 + 5 f 1 1 y 9 S V l H g e f X A w n s e L 4 v 5 u 9 c U Q z / c 2 8 U R 1 W R x F n A G B v P h C z L W e 3 Q T h J B H H t B w 7 9 M Y v V f s d I J r q S k o 0 3 7 s Y T b 0 4 m g 0 h r a H 8 G w h p k v I / E t L a 1 + / i Y W 1 8 + O x 4 u 2 j C g 6 1 n l A C i F L p n 0 / d M E x x 7 G N a l d G e o + 7 L + S a X c 7 w B H a n s d 5 U A 5 y d j V E 9 Z L E v t z g U j 1 k 3 p N X 9 V i U q 8 H w d l A z R s Q X H V 1 P 6 r + N Y L N 2 4 s B I m l 3 C m L l G y 5 k 8 s T U w + Q b H l K c j L 7 h G / Y E J V f E k P P Y S h w C a f J p z j H 0 z X E C r X N Y 3 / N h N 9 L H o Y m + W 6 u 1 3 P A A N 7 S y k H J F O y l s + G Y 9 m y 0 F + u h 4 h b n r t + 7 5 s m v h h M C 1 e U r p n F f U p 7 q F E 0 5 I X l M P T F v p m 9 e b v F F u e I B g K g s p w X S y e Y M T 3 L K 4 + e l o + Y l / I G I 6 W 9 4 9 i C b 6 0 X p W d E N r h S u L A Z N S l A A O r r H B d W 0 S x h N g p x B I G J U I p 5 j e H Y S t 7 R + U m z 8 Q W 9 8 n u s y w q B L y A T B m u 3 d h 6 Y F 2 A x v Z i P b V R W Z U o Y N 1 q U k c / v M g G k X 7 2 t T k 1 9 m f f z K v M o K 6 r e x 7 Q 1 x 6 Q 3 C G e c o c E p J p / S p m G I 0 y e s w E E k o Y Z m e 9 O z v N l g e 4 S 7 t r K W f L S Q f f N 8 X 6 S a S A V R M 2 n 0 C 4 C H A 6 9 2 K 8 R j Z U u o W n H d S 0 P A + D L I H 3 2 D u o 9 Z Y H i G l n K S W k x y 4 2 Y P U a p z b j j U b L w T D f k F o O 4 4 C j v S 7 1 Y C i b V 6 s B Q x l e L Q m G G l + t N g y v i s W i u D U k / 1 a g G W F C k K Z Y E C B z 4 Q t O Z g 2 y 8 L 1 g k j C u D 1 I P o Q R R 4 / W d R p Q b H u B y U x Z S r j Y n I T O X x b W o 4 9 4 W t 1 8 q H 6 U 9 Z v 9 J M I F V z f 8 g 7 R W L P m r V S P k J a N s k D o T n 5 q 7 5 y L u H u / n i r w J O v t z 3 3 h N / / X p K p A f I + T W 8 k m A C 5 D 2 K Y H V 5 O J I 3 x 4 a f F u w g e m k V M L f 3 2 E f / X 3 V / o z z 9 e s P / t M 9 V T m m 6 y b 1 5 J U 0 5 V V 1 y j 5 Z T I 0 q 3 f Z i O V 1 c 3 + K n s 7 W V i e u q h v Z S T d S c Z d N j m 9 u J l o m O B e F r r r 9 J v T l 7 t e I C n S V 1 J O V Z O v k 2 e V q v H 5 l j V W j 2 G U y W 0 e s Z D 1 R 6 q 6 d W 7 + X J h N J 0 6 m 8 p m 0 t Z s r v d N R 9 8 v B k q b p 5 h t 4 7 U Y 1 J X R T 4 B O J m B P e N B o 7 I v Z a u 9 y t t 7 y A M e q s 5 R y r s 6 m D u J P 3 s 6 W a 3 w A D f e k 7 b A 8 x k 4 K 7 n k W 5 9 J p s e r x p t h N Y S G d R e j W 7 Z b B V z s e I K D q S k o 8 3 R y Y B 5 p u b q B R W 7 E Y Z r / 6 Z h T A + 3 h m c w U A W M J X P I t D T z a 0 B I h C s s q y n A 9 m R 7 C S 2 O g A 3 8 n W M s p H 8 v H M w U O v b / n b w J S a H N U A U 5 I t / x G m 1 D 6 n + h 6 W T R i a H p Y h D L K H N Y a h D c P F 7 V y q a D w 2 v 7 Z r Y c G S Z X q N y 0 M A B k g Q 0 K v 7 L I / J a H K f I m J X B T m x 3 Q F u N f m z N O u o 1 9 r / O H i t v Z o / S e G z f J o w 6 q C f E q C i 0 5 q 6 o x s X 8 s / b K X b v p k q 1 3 + Y 3 3 l 8 7 R V 1 J j a a L j 9 S H V W G E l d j R 9 z I 8 2 y P g Y N Q Y U r u m m Y Y K 6 + g s C E h M y + P a G 1 Y i 9 z t A L L f X U S L p J H X v 1 e z P e b G 8 M m G E 7 H S w i R n y V n 4 I c w G q V 5 s y Q v / i v H o i 0 N k O d O l 6 v w M E s 7 O U E k 8 n J b D f F e v l z M S s t X o x A 4 h F H n 7 u n g / M O o + w T K 1 f T D Q G 8 S t G V y J N a m f V f q 2 1 c s M D h F N Z S A m m m 4 0 1 L S T W Z p D a Q G I N g 1 Q J i R 0 H q W 0 S q t f M s Q G I N 7 Y r B o C 4 t F 0 Z A e I b Y d C C 4 T T t k 9 4 9 z a Y y N o j V y s p 4 F K t t w 6 C n f W g u J Y s u 1 s n y 0 4 0 R u j C 1 U t x E Z j o H n Q w V K K K l L T v W Z R 8 r o i C s v H X 6 y 4 a X m x 3 g B V M W U l 6 w q Y t K m x A F 1 y b r A D v l V J w 3 s G H 0 I 3 R b y E r a Q V / u T R I f t Q j + i E Q F g F 0 1 R 3 p a j U f u d 4 B Q b q + j R N J J z d Q P s + u v q 5 V J 4 m N q U 8 B H 1 A O 8 s z k D J i 8 V t V / d W x a 9 G A a 2 D H K 9 s u 3 c v + g r d z x A N K v f p l l J i e f U x R L + H H L z v a n s u / z d Y l S A k r 8 w 9 K A Z 4 8 V c s E 3 Z R 0 9 t k i e I / M N 2 l t D X 3 i e z 3 G / z E + + v H 6 M s p M T y 8 n c H m 2 t v 5 o v F 3 P h e 2 h H V U W R J K d L B M p e a g f X Z 5 I 6 d B E J 0 A F 2 e T P r h 9 o X 6 V T s e I J z q S k o 8 n a S q T 1 f r 2 c 3 q Q T q i 7 U s f E j U l t M 5 y k J s t B g 0 h C c R 4 M u 5 h y N L J L n p n z Y 6 H 0 I e s f 5 1 m L S W m b i p E a m t 5 m + q l q e U N 1 Y u s 5 c f q p a 1 e j l e L h 9 s / 5 i Z Z K 7 u c F B Q n e u F Y a g g a j 0 h k 2 h k 5 i p F p l I K 0 S J N d Y N H 1 l g e 4 L D t L K S f L y c y 0 V Q s y I G W m G g P J 3 n 2 C k K D m E Q J 0 o B 8 g a U H q a Y O K g A t o 3 o 0 8 p 1 / b s 9 3 0 A G H V L K Y E d n r h Y F p z W a x N C a o d d 9 k H y x I y 5 E U l y x P i g U 1 I 8 a M L + A O E X E G 6 w 7 n r b Z w g t j t A M L e W U c L o J G / 5 9 W L 1 z V Q 3 W k 0 k h D Q k 8 k k Z 0 p C x h B 8 S L t n L E Y I C o R c G i L q W n m H V K / l 0 D 0 D u d 4 B A b q + j R N L N e Y S 2 A 2 v D r 2 s 6 s A Z + n e z A j v y 6 N o f R z y N s w t D M I w x h k P O I M Q x t G O j h X X 0 u b s 0 e 0 h 9 s m i j x x E e k E V Y r S v 6 V a F V 5 t w U B 8 g z b D e x + a U e z 5 w H u t + 5 a y h 3 n Z O 2 t V 4 P S q F r 1 z h 4 b N a g q k 9 B x h K T 3 T L 5 H J Y x H J Y W f 5 Q + e c l f a n a p 1 P l t / n i 9 N Q I a z X 2 y O l l A C R 1 y Y v l W e R B v O M y J t S K I c A l G a Q x / a g Z x f 7 X i A g 6 W u p B y r s 1 8 c z O U v i v W n 2 f L e U K H Z 6 U o l E x 8 a U h y g H Z X 7 G x V a j h Z 8 y J 8 w C / L w Q 5 O 0 l X 5 X Z b X j A e K p r q T G 8 5 W D 8 T x f f Z 3 d 3 c x n p u G e n S 8 4 5 5 D a D I x R k O H B t q F 2 y / Q W u d S U E R E s W r / 3 O K j Z 8 Q A R 7 a 6 l x N R J V / A 3 w j L P d E K t N P w T / A g j i J c I G A f S 7 a s q 1 J D m x P 8 9 z o i l n 3 B + e 4 8 Q x G 4 H i K X 8 V Z p 1 l D i e u a j d z z i S K J 4 W n 0 3 d E 7 t p L X C / F N M 2 m p w c 0 h i L 0 i q Y O K Z 4 3 M L N d K 8 / i o J N H 4 g t N 7 / 0 / i Z 8 n a W U o D o 5 r z 0 x e w r b N a 2 T i R C g r m T F N 1 C 6 A C k C I S E f B 9 h d 8 n j 2 5 3 a K 7 Q 4 Q y q 1 l l D A 6 2 a z W q 1 D b l B e N C r W h v J A q 1 G N 5 0 d b u e p a d D a S z 6 W Q Z I J 2 y k z V C O t s w 6 L G E G p a d B Z b w X b E s v t 4 Y B 3 6 / W V S S Y T Y B B h / B f o X j A F K p 0 c r J f K R y M j 9 H I a k i P v S r O 6 r 9 D n B 5 q i u p 9 + d v D t Y d e k H w r B t A i y 9 G 3 w L S r L F 7 C 6 j S R n i 0 B Z S N L a C 5 + A y v 7 o P D 8 2 I h t A / O 5 8 t 7 k w a C 3 f g o m I B p A s d E 8 i O 7 P Z Q f s s W a c 6 z x + E 4 4 0 K C b k v 5 V J p s + k F s e 4 A C L X 0 h Z T D n D T o 6 R f p s v j E 1 z 2 1 w W v U 2 s 2 f H I 8 b w c U d U q o o g U 4 D U t u G Z o 1 W E C G F e z j q c H g n K / A 4 R z e x 0 l k k 5 m s 8 f r 4 u u f q 7 V p u m s 3 p e d 4 C n g 3 x z M N e G P z u s 5 E G F d I l s A q h O y b U 2 7 2 b h v U W x 4 g n p 2 l l J A 6 O a 0 / L d 6 g z f X J 1 D o 4 s Q J 6 i / 4 6 Z 5 P e X o B 6 f A v 0 x v e P v 0 + Q g w Q n q 1 1 A + 6 f F J 7 n l A U L a W U o J 6 Y m L U O 8 L q b U 2 n X 9 6 m C 0 M 7 b 1 j K 7 X j b I J Y Q u r H X K z S i 7 P F Y W Q g + 2 n g 4 k a X M 1 c R R 7 h f I s y 2 D 8 p N D x B Y z W J K a N 1 U P A 7 L m r W 4 v p 3 X Z d V h H H X T 4 d 6 p a g M F q O K k S 1 U l F C A a U 9 U m V X 3 N a G s 9 u z M 1 z 2 2 V l 4 A 4 M Q x B q 2 T b 0 R g 6 R U i B y e E K J P G 6 a g I 9 n d T U W x 7 g b H W W U k 6 W k z p M w o d 5 b p p X / t v K R p 7 5 c 5 I J j U p f v H l M o K s s F Q 9 H X B 6 Z h m Q J u m x w K n p n q e W G B w i n s p A S z H + 7 a C B / 9 n D 1 e b V Y m M 6 n L Z z A R / g g Z S S Z e W n i N 2 h S y k i Q B E j T J G j p V b S 2 f q 9 f v e U B A t p Z S g m p k 4 C C D 6 s r 0 + z Z L p w C A + w D 1 x c t g M o m t + w K I H Q X 4 W q E y s W O O a r Y 7 g C h 3 F r m 7 x D G a W G 2 V T k 5 t c h l I s Z X + K l w I v F 9 9 H P Y w G 0 v Q J i Q o V q P Y A l N g a h 3 U i r 3 O 0 A g t 9 d R I n l y 6 m B n 9 m P x b b F a G + o L u 7 Y O N G C f e z S j d O T / c 6 n W j T p v g o o Q z A z w X K L d 0 7 + t U 2 5 4 g F g q C y n B d L K x I 3 o A o q t z c r c w d Q J + s 8 q B o O / n S V q y L F q K c B p O G D Z j 1 p r y l g q d 0 d 5 n U 2 7 6 Q G x 5 g K B q F l M C + 5 u L m d B 5 Y W 7 t H N l d t 6 m Q + i J / L f n A d e s V D j 8 0 D E E U h g D n g R b p H V K x 3 Q G C u b W M E k Y n o V r v F u g p z u 8 L U 4 F y a R X L G I R P 7 T r W 0 v c h f A s 7 E G o T H 2 + Q H Q L Z b H i A a H b X U k J 6 e e T g + 3 k 6 M 9 2 0 V v Z y Q Y J 2 O 8 q J o C h x X 4 3 R 1 6 j z I A j f M L 4 R O x V D s A q 5 8 H T v g K 0 O E M b N V Z Q A O m k o R 3 k n L 8 + t X p x v R c u p 8 l W / a g J o e 3 H C w H i k 5 d T N z + B Q j y n R h M E C I f D r 6 m Z 5 V / k w P e K s + / 6 d x U s K q z G E V w z h u J p u 1 e x U 8 J V J 4 o k 5 J u a s g h T U u 9 9 X b 3 m A g 9 t Z S j m 9 7 9 8 5 e P 0 2 J p a G C u b I h s 1 F T C G i w l G A b s w 4 k 8 S 2 r m B 8 e r h M T U Q 5 W k r l 9 O s Q N T s e I q S 1 A 2 q z l h L T o w 8 O x v R 8 9 c X 0 p t q F k 3 G l k L z B D a F y E 6 r D G U 6 8 M E K 6 O I + S I M u 9 h L P b L 6 B i u 8 3 v u z / 4 8 9 Y y f 4 c w v s b F / I / V 2 m Q Y Z Y d m x z A K L 2 u o J h S d V c T K d l 8 o B K c z u k R Q w n a g m t Q b H i C Y n a W U g D q J Z a d 7 0 8 2 U q r 9 H j v N b s X i Y H d x c H f 6 j 9 9 S y b g e J v 4 r D p s u U o h R b 6 1 E L p 8 2 U j h 4 + P d z d m 5 C x d v 5 C 2 Y Q c J g I Q k O d o u b f g n T R H H C 7 E 2 D o r u w F h b 8 e o a s c D n C t 1 J e V Y O e k v h D n o f G H O S q 3 K S O F S D l s W G 7 C 4 U g i r y 8 h g Q s e O R n s e Y q e R 9 R 5 Z 1 h s e I J 6 d p Z S A O l p R a u 7 J 0 A a I 3 J B F D E B k S R Y Z g c j t P f n + c 7 F c f T I a V t r 1 2 r J J H A k + H Y M N f H X r 5 g w T q w k X p M A n k 5 1 A J e A P + i W S 9 Y Y H O F e d p Z R z 5 W S r j d 7 9 9 T d D n W d X u 8 c T l B X h s l L N Q T 3 H F q E u D C B N Z r S / 4 5 j G a o j u d O / a X e 5 3 g G B u r 6 N E 0 s m q X d / s 0 V i P W j R 7 B E 3 m j 9 m V 4 X u x q z 5 i H k 9 s F h W N l 1 y M w W i w + 2 m J f O 6 f J F X 7 H e B 7 U V d S v h g n a w 8 9 g U h D w L T 4 Y h h b d u s b 3 0 b r M 6 j G 3 b 6 h v g m o b / y x v m n f b S a N 3 T D E N i T P o H q b Y w P J M w j / e R C P J M / N M O h O g 6 Y h 3 7 v a b 0 6 D Y S 4 i T 8 M 4 F 9 k I Q 6 6 B i o f P f P F p B Q I 1 a / Q O d U O r r p I l X W N H 0 q p H d n s b 6 u O b Y r 1 Y m e X 9 7 V o 7 K T k u K F c g r 3 l N v 5 I d 0 z R j P u W j 7 A + m O R T z j N 4 5 b r P n A f K W 7 l p K 5 u J k e 0 f f N b V 5 z p q u q e E 5 k 1 3 T 8 T l r D 9 e H w l Q 6 T q 1 I V D l 2 p Y H w p A 2 Z 8 a b Q 4 + r S U d A d x f 9 i g 4 J e c d I f q s F u B z h Q m 6 s o R 2 n 6 3 s H B o L 5 s 1 C T o V k W A L v u 0 o W Y 1 2 W c F n 9 O 9 h T L 7 H K l Z 7 X H V o 3 J s U p L G d 8 G Q k k j f h T E l 2 Q y D 5 j R E N o 9 X W N V i Q l 7 1 s Z F f S C 0 W j Y / X R h i 0 C b r N R K F J 0 A 0 T B Z m g j x O F N g x v H 8 x q b n b 2 h i Q L m K U x L 6 A N j X N a Q 0 b L A k R v m b t i f R i R u 8 f 9 k S l y v w P k E d v r q J m E i w a H + q T c p r n R J O W G 5 o Z M y s f m R n u g T u 6 L u y s T k s G u R Z / C M a J J 3 8 h 5 8 f L X A K E k B O o F s h r D n z D q 3 6 Q v N z z A k V I W U s + U i 3 o V Y J p u V 0 a t 6 J N X F u B a r C a D A O g J / k x + j L x w F U u c Q i c g b i k N P N x f 4 N T 3 x u 1 V + x 0 g m O p K S j R P X F S K f o k 2 w s q E 3 b O D Y S J d G k I e 4 w R W F O v 6 a B L l W D C x 8 b O T p X R v h a B y w w N E U 1 l I C a a T i F q O R n e k 4 t t U U 6 J D K O 5 S 3 1 B N J T m T r b G a a p 8 7 o C H d M E S a N N 6 i f y E t i g 1 D b z v I S z w B 6 Y K C N E 2 t X D 6 d 9 S 2 M t Q m 3 M P 9 H D o t G W / 9 O l 9 z v A K d 2 e x 3 l 0 D o J d 7 k o H k x S C X a 8 b K z x E O w S R m n b Q i b I 7 Y E J l J a H M j M S H M J + 6 C W x 3 Q H i u L W M G k Y n S w 3 t A O 9 5 m 5 b A J L + Y X + s L K x M A 9 P z Q S f E S S R 6 l 0 V 2 d e r R y f Z B u 2 A I E f D F 4 7 / U m C F c b H u B 7 U V d S P p k L F 5 0 A z h k C F l 8 x + g Y Z b G L C 2 D p 1 o I C M o l / p G d w E F d Y 3 F D U S s 4 i B x k 7 K D F v b H i C 0 + v W U A D v J A 9 d D X G z a D 8 2 Q w d B + k E O G s f 3 Q 5 m P T Y j 0 3 1 j i X v 1 k U r C H K t U i F A R E W q N F W K S M T 8 j Z h C J 8 Q R r 5 M l v o + s e V + B z h Z y k L K k b r 8 z c H Z o B 6 8 V 0 4 v v o + c 1 M C V K g C 3 d m 4 n w H v h K K n Y S C r W V t R 7 q 0 A S 8 L W M 2 B M V e A u u Z Y J d G L h t G C 1 S d L j v q a q 3 P M C 5 6 i y l n i w X F S 6 8 U D c D 1 C S w v d F h z Q z Q A I u V M 8 A R F t s + V v o e j q Z 5 0 D s M T Q / H M A O U P Z x x B r g R B m 0 5 p w m D R Q / n 7 f z T z Q I l L 5 P w p R U l M E h h S F O y M W 7 k / 3 F r N g p 7 u G 9 j 6 I a A h d R P 7 N / G a b Y 8 w C 3 a X U u 5 R p 1 k B Z 7 c 3 R X / 7 2 G 2 N I 6 7 L m z y T a p 0 9 C + F c z r s M x 9 t o L q n j j Y t w m x 5 z K N Z m 6 3 3 6 + k 0 e x 4 g q t 2 1 l K h O L 5 x M O z W P Y 6 x h M v W + l Z t K r p p 8 a N N O Q V b w x 7 S z S T v 1 2 X 9 g c Z q a 7 L + a J 2 r D I L L / Y A x D G w a t l p b m c e x 9 G h r U n i F H k a i 9 M U f Z y F G 0 G b t N e 6 n J 2 A 3 t J Z m x j + 2 l N g y Y U 1 w / 3 H 0 2 4 c 7 f v 7 W 4 o i K S N U F K B h a B 3 R W 0 j Y p t + B M 2 O / i C c i c y q B P e H f 3 x L f W W B 3 j v O 0 s p z / 3 7 t y 4 + 9 7 l m g h t o 3 h m L 7 F + P T b N J K e o P Q w h p P 4 a 5 l d i 0 M a V o T + + H + Z f F z H R 2 7 T g j K A K C f s E L K 2 E M W x r c l 9 g 0 Y T E B 2 r N q D f c e v 5 b b H e D c K g s p p 9 Z J 3 s h 0 f n 2 9 m N 3 N / m P o S h 5 b a W K D Q R M y Z E L 2 I 9 8 U C U x x v Q / C V g + y d z i b L Q 8 Q 0 e 5 a S l C P X Z T E f l K 4 3 t b C L u Z / E H Z J S o H H m t O V A V D D U x u t 8 1 2 1 l B U 9 + f 0 p B S o L K c F 0 0 r 5 O 3 9 y 0 6 T E 3 z U 1 D j 1 k 2 N 8 c e c / v m 6 e f S G m P n 3 v V b 0 8 3 w H k 8 9 5 F z a G 8 v o p o y + e F g s 5 n 8 Z l a u s z B y Z T A v Y h 4 9 s Z q V R V Q N 6 0 g l 6 m Q n 2 n O U r t k P h U G 1 5 g O e q / n W a p Z Q L z k k z x 5 e z x f 0 a O I 8 h A 7 H l O u S U g h t 9 + z K b F E Z z O F t F l I O 7 t X 7 r D T e / 8 v 7 e q 8 5 S S k C d F C T S T 0 V t q r S m x 2 K o 0 m S P Z a z S 2 h c L M P 5 y v v x k B j / a + d 0 I Y e g 4 D M A 9 c 2 E K y 4 X q s s T x h t Y K 8 M c 8 Q 0 s 6 S W s o / N N G D O 2 m B z l d 9 S / U L K a c L y c d b 4 6 u i 1 v T / N M O x 5 4 w E Q u F S H Q l e F J 3 z n w f U c c E 5 3 h Y m L G 4 M K v s 8 e m Y y v 0 2 v / D + L s v t d Z R I O o l j p w c p m 5 x b B h u B 5 q a 0 6 J m 9 e S i W c 8 k k n D 7 w D + Z f 5 q v u m u c a H w D 9 m i 9 + f j N b f Z j d r R Y P 9 y A E D x Z o U w t 8 U U a r N Q s T L 9 5 0 Y 0 n 4 m H w w S T R c 4 a Y J t 8 i + y K N q 1 3 v M f F 8 0 S 2 x / K Q f / u Z v / 1 3 K + q L S 6 D / 7 1 4 u f y X / D o H 7 w 4 f 5 i t 7 1 c H H + Z X q 7 Y x + 6 + j 6 2 v h o P t 6 P l t c 3 7 3 4 + V 9 b v 5 v 6 z 8 W / Q K q E 8 9 e T F z + f H H w + / M d / i 8 9 i 2 V 7 o T T P C k C n Z i i A l + O n g a y W s 6 O G G 1 k z C F L s d L w 3 5 Q x L g Q B C t + 8 a x 2 f M A 5 7 + 7 1 n Z k X / y N R J A 0 f f P e h W X T 0 z b M Z 2 V P e 5 z P t o d L 3 2 a x G Q w 2 b R b D Y F C 2 W c b B 4 E Y Y t B g y T R j 0 r 5 O 4 r Z + 8 R / W t H C s 8 d J X 4 i g T 4 s S m S b O W M e O g 2 1 B f 3 E x 6 y 1 / h y X s 1 N 6 a w d m x r t 6 o A U J I k q j R A O Y z 1 M S i M w 0 T Q A o B v s U q K w 7 4 N q 1 w M 8 a r r V l G f N T V 6 1 F m h h 0 y 9 t m g C G f q l s A o z 9 0 v a Q n R d r E 1 N 2 a j X a w z C K M h G h k D x J M L 7 N 6 k G Q 7 2 N h H C Q B I u A I 9 k h 6 T z 9 Q p d j t A G d q a x n l M E 1 d H O h 9 m B V m t 4 a P / 2 M B l g k B y 1 D W 4 3 E L + S r D D 6 W J o + c T R 3 j r W S r E U X 0 R 4 H 6 B L D c 8 Q C i V h Z R g f v y f t h 4 r / + j x I u 7 f y / n 9 7 P r g A g v a 2 V 3 7 b 3 v + M u 6 0 e L i e r a 8 L o w / 1 x z O b g K J F g K k 4 7 v A B 7 T n s i u p H D w o 7 6 j 5 0 c l I 4 r D x 8 / f W y 2 k 0 P E F T N Y m p g X V T 5 0 X d z N E + e R e 5 6 s r q 7 W h n q f z u d N U w 6 M f K g V Z N 6 K C F v 6 K z R z 0 V f y O e r C u J w F w d A u d 8 B P p n t d Z S v Z e q i + I H v a d T L U 0 3 d b / G 1 n B Z X n 2 H L L 4 3 M i n M r V 2 0 B 7 x E 4 E N x d / U R o T d U j g H g C v J I v J g G I C f e i / 9 v R b n q A 7 0 a z m P L x n L t I P O w h K G Y V V U z R I / K B F E G x V B i 7 N s 6 u I q p o o G d + t q N d u i r 0 t b 8 x g L q S E k 8 n V Q / e m r O B o 1 O b b A D y E 1 I 2 C J T A a R N n s e 7 q Z u k k C X J 0 u Q M v w w a v m q 0 + P c 8 R m x 3 g a G 4 t o w T x 6 L T N 0 M o / c i C x 0 7 / / G q S W x Y 1 + h L / l 3 K Q 9 Z 1 U J B D m G X i i y M w F E U B W f t v o 2 x 6 U b 7 G Y c 5 S m 3 P b D N / n I 2 5 Y Y H + F y U h Z Q P x s l K Q A 9 n 1 y S M u 7 f + D T 0 S 2 f o f e y R t j + S X 6 6 / F 2 s g o P r G 6 f z O Q Y w m P J o Q U z g 9 Z U Q 0 p y y b 4 j u K O k E N M 3 S m r r n Y 8 w K l S V 1 K O 1 Y m L 9 / D 0 6 n g 9 K 9 Y m g s K 7 3 2 0 e 1 G T C L B Q x D b o l I N g 3 H t S I h l i E Q j V t M Q m H 6 f 2 k 1 l s e I K K d p Z S Q v v v d w a f 1 D Y b p S 5 P e l 9 3 c O x P K K d m G j n h d x H B 0 E 6 o b T u h u 0 o 3 l f g e I p r K Q E k s n B 9 5 A x e T h 2 w a 9 P O + I 7 + j + 8 3 x 5 Z x S w s u N A + O K L 8 V H 1 J L N m s l T f 6 O j R I 8 6 L 6 y 2 3 g N f f N r r e 7 g A f T G c p 5 Z N x k w M R a H o l k Q Y n 1 T t R E v I d Y g 5 o 4 v 0 F M V 4 b I 6 K 0 T Z T 0 w F 5 N y 6 p 3 G J q Z n g G q I m d 6 I 1 S l D c P l f P F 5 Z p q Y n 1 k p m l L q M R h I s p A O 5 Z Y 4 H 5 K m C T L z Q Q h m n n 5 f f w W c c s M D X G 7 K Q s r V d u a i o O m v s / X q 1 p T Z 2 D k D B J M E k z U e J c 8 r d Y u q l 8 r 3 I e s l I V L V U O D F y K + 3 P m 2 5 4 Q G C q S y k B N N J Z w B 9 B + h 5 U 5 t X 8 6 v P s 6 X p + F u 1 g M J w Q i O f U r U R u q 6 / G I + m M E l y Q B O x H A L 1 H Q Z X O x 7 g k 1 F X U r 4 Z N 5 t A m S a 3 s T I g y K r c p m Z d 6 P R 5 M n K b 0 Y B g A 1 z t a Y G H m h T T o n m r x 5 j a A A 8 b j K k B e C g x p i P w s M 2 f 9 F 4 T z 3 t L 6 4 v c 5 5 0 F y N o f L M B p 8 d m U Q N i 6 I Z A 7 Q O 5 C y B 4 x e 6 l j L / G T Q E m 8 C A F n 2 p k N V 6 A f N k h u + 0 B s e o A X Q b O Y 8 i h c u g g O m M 7 W 6 / k t 0 3 s D 1 O P M S i A p F A 2 M h D R e O k P J 8 b y M a + q T M X o + Q 6 D Y l / I O 9 D b 6 x b X Z 8 w B h 7 a 6 l R P X M S Y k k b R v D p n 5 u 2 h i G + l m 2 M c b 6 u b 3 / 3 x Y c L n N z 0 E r A K P I Q H 6 N y B j 6 R e g l F d E 2 h z P G x 5 B r F B d v z A m E w 0 / t s 1 V s e 4 G h 1 l l J O l p M y R n q R y 5 J c S f o r m X U H N 1 c V p 0 / h M M K 9 2 + L m S U 5 j I 3 J Z x U i X R A d C 5 H J 0 8 W p P 1 s f i / 2 Z f Z 4 u F 4 d W y G 9 S k E 3 r u n K H q Y N X p 7 0 / Y 7 Q h u M h h m t H y h K g r V 5 n 6 v V r 3 l A U 5 W Z y n l Z D k 5 r f G 0 5 a m N b m l T n l Z o c t 3 J k u X p q F v a n i x 9 6 W i T O t R n p + Z k 6 8 I g S 8 c x d W j D c P G 5 u I V O b x I q t 1 V f w K I D H K 1 P 1 p B t I P f 9 w I d K D 5 8 G P H 8 i 2 + 9 9 L 7 h 6 y w N c c J 2 l l A v O S Q 0 G f T f g e S v 1 6 c N 6 X Z j w K H b D 6 G h C X x a N h V h I 3 u K o V O e b C P J h C o x q F S m n H 2 S 9 s 8 1 y u w N 8 M M p C y u f i 5 C j 6 1 X z 5 F c 1 M o / m c b Y 4 j p D I R Y W D O l g s S T 9 W A T 4 H r h g G A I 2 R R d 0 O j N H s e I K T d t Z S o O p n l n M 5 M H T S 7 e I I W A + Y H e y 4 G S o T n e i 2 S J K S o g y z 2 / I 3 W W r + c l d 0 O E M n N V f 4 O M f R D z S A l 0 q B p L T r 4 5 / T l T P e 4 l W g 5 2 o O y Y 4 D y I P N 3 1 L T q k 5 8 F E 5 R X / C B A e i m M 6 N r 1 l l + R + x 3 g W 9 l e R / l a 3 J Q r 1 / b i N M 9 + b y x L 0 4 u r h L F 0 C b X s x Y 2 y q m 1 C / e v q 5 g m c n h 0 T N p n A Y / I 8 c m a U O z e M f 2 g Y k F 4 n o H R 3 V X + s d j z A o V J X U o 7 V R y c 5 s I E G 3 O n b t A u a R p y h X S A b c W O 7 o D 1 W i H V 1 M b Y V 4 Z R 7 6 T v 6 o W k t c V P W n b r L L R X W S 3 t U b H u U 4 v U s f / D 8 R H 9 9 Z f m 8 C Q n i N p p A a 2 A L / Z + x K u u o O q i 6 Q A c + f e 8 x 0 I 0 o 9 e n s q 1 H B y O 4 J w 3 Q 8 S I M M 2 l 0 e R / A Q G j E H F K l z V B W D w I O s t 4 s o n 9 z v A A / Y 9 j p / j + e r Z w 3 R / z j V Q H M D I 0 9 m h S M j r 3 2 + j h A F u y v 2 h n E M s o n P C 8 m R o d M C 0 D m m M 1 a K g q F X m i N n h I 4 B Y 9 p d x k j V j g c 4 V O p K 6 r F y U f L m o 4 j n t w W 6 / c b W u R 1 u P Q a 3 j t Q b H t d 0 W k S L v A o q 1 X M q J I 0 p n y N h B d Z / 6 r 6 5 7 Q E i q 1 1 O C a + T G P a 3 K 0 G g N Q x 9 p 6 9 s 6 J b 5 J G D w g Q x V x Z K t b t S f U K X N B Q 2 B P + C F x L W 3 t z x V u e E B Q q o s p A R z + s p B q i U Z R j e j D J 8 5 a 9 W C b Z 9 3 D d p l 3 f 8 e n m Z i a t E O / B W E n h l I 9 O 7 C 7 s u H O S 4 I h a j p V R q V 5 T u F w F f O 3 / C S O A J G t I P C X r X j A T 5 9 d S X l 2 3 / n o m W x v o X 8 v M j g 4 9 X K h O q 0 t T q h E I i w z v P T L E W M q d H t A Z K W M V Q K I q a D 1 V y 5 3 6 x B b H e A r 2 V r G e V T c d P k R N s / L q u H 7 + u w N P 1 j 3 j c R G 2 3 l L S i p Y 4 + l r R S 8 i i m z R S a P b I B / g j U j L t n I A P z z c 8 I w A v / a M P w 2 / 2 R S J b S 1 5 I p C G K m Y O N H r 2 N R P S b n U c i a q O 7 v M i O 0 O c K l t L a N c a k 5 a c e l z P 0 0 3 0 S J n O p 0 v r 1 Y L k 4 T V 2 W 8 2 O R M o i Q h b 0 R T g B K 5 E m F h U Z a B g v K J 7 C j 6 U T w k a Y 3 + I a L X j A T 4 Y d S X l m z n 7 z c F 6 A Z H H b p 7 9 z D q W r 7 C I M 2 H u j t / b f D E Z t s J + K D 4 M W j 8 + R a T M s e k Q 8 f c D o P r c L 5 L x 3 h d x J 3 c 7 w N e y v Y 7 y r R y / d / B b O Q Y H Z 4 J P n E 1 t 4 h h N U D f 0 4 5 S j n 0 U Y / j W B D C c h X R / g V M 0 M u G f u K 7 Y 7 Q C D l z 9 K s o w T y b O p g I P W j r e c t r t / N l v e G n p I t y x 0 F 0 4 h k A l F D t A 6 b Z q E v W e 4 C F o A E s v i O e u s i i O 0 2 M d y f u u n W M s q n 4 i S / / X x 1 f z 9 b G w J 5 Y d M c j P D 3 A N t B I w S 7 w Q S N + q a V n 0 8 Q 3 I M o g q b 9 b o q V 5 Y Y H C K W y k B L M C x e b g 0 8 3 v O x m n Q n M O Y h x + A 2 A W Y Z C V z / G G b r D D G w y U j t 6 + b s k b 2 o b a n 8 n U 1 1 J i a e b c J 1 I A 9 e x K p 9 r 8 L m p f J Y K p G P 5 3 J b P + r 6 j B o x o U 3 d 9 M 8 r h 2 R V d i A E E X o T i X Y h W w E b f k T x h A r 6 Z b i Q 6 i p V F T L / c 6 5 T t D n A H b y 2 j n F g 3 y y 1 t 3 1 H T o t 4 d o V C h i h / t O 4 4 + d e 2 J 1 f c d b X C O d e Y i 3 H c e a / / K v u O I c 9 w I g x b n a H M a a p y j 4 T A I n O N 4 F t o g 6 L u G m i B Y v F 6 X x d 1 N 8 d n I u r q 0 0 X S O k G b w o F v R / 9 n W d B Z t I K G F i J 7 r j m 2 g e s s D v G K d p Z S X 7 N J F T W e 9 m q j N 6 K Z R E z W M b q S a 6 J h 7 b p x e r R z z M 2 M x Q k 2 P u M K Z b A 1 L L W 6 I 8 / k S 5 Q k j a P C 1 j Y x / g M k 5 s E B 4 t h G u a k I v U 7 a J B b r M z + k x 0 I W Q i M F K i e d p G 5 V 6 w w P c D 5 2 l l P v h t Y s y / j j x L R c z U 7 v Y r n O E W D / g M V y O a P / R 5 U / r X o N s A e J 1 D r x G C J 7 J R n K / m q X a 8 Q A B V V d S 4 u l k 7 + j o u r g 1 Q X p t d e q Q U 0 r y H J R L 4 u c t a x q d u j Q V 3 v W E O a S 5 1 B 8 k K P c 7 Q C y 3 1 1 E i 6 a Q 6 n V 7 m V v N y W 1 z n t Q y V o X E 8 t c L W e R j X 4 W Q o Z B O y N O M f 1 R c 6 v Q x M s f i E A B 3 w x / 0 9 M u s t D / D N d J Z S P p u p i + i 6 4 4 f F A v U U Q 0 T t f M 6 i C f z o H N x n L V B e R z R h k J v S m q o 1 s H s / 0 d W O B w i o u p I S T z f 9 z r T F t w Y t 0 r s V V R f f B u 6 Z K L 5 H 7 t l G + q 6 F a z 9 v 6 9 h L y 7 t 9 C 2 Q X a u 7 7 / o G u x n T C Y O 6 x Z l c K y C 4 c K 7 U 2 1 P q C 2 a b n 2 B T M h p 6 j L J j H n m M b h o v Z E 2 w X O 8 w / E o d 5 i M p H T s P J y 3 i q K j S S J w Q L A L Y x / p T e Y n 3 R S O V 2 B 3 j C l I W U F 8 x R v L 9 m / F k x q p + r L 6 F P l j W n 1 i J Z 1 r P A r c D o F W z S h E W H B T 5 C 0 d t 7 4 W z 2 9 Y 8 n 5 I E u r I x 5 c G z B o i 7 3 a U m X r s x 1 f o t k N 7 l t n M c w V y u 3 5 n 4 N i 3 r L A 9 w O n a W U + + H C R X M e v f i p J r n q n f g 0 4 q c G k S A p f j q K B L U n 6 + J m t p 5 f G y t H u + G P E F A U r S O U t V I 8 P V v M u E f p m O Y x H p + 8 x n H q V T Y b T z d 3 6 y 0 P c L I 6 S y k n y 8 n h z 6 v i 2 q S 4 Z 6 u H m c U R Z t U R h U s s e r j 1 R Y m U B q Y V E P / T L E B m t b + O m t j u A K H c W k Y J o 5 N q m F 6 m G e z E N o l H f f Z i Q + a R i c x j T D 3 a C 1 J v J K 7 J M X u / U w 2 M z 1 A Z S h j f W B m 2 Y f h 1 t l z O l 5 9 M Q w 4 7 J l y G P I l Q r E M L M q 3 8 I 8 o h J P B Y m C o R A y 2 c Z 8 H Z V W 2 V p 9 + p e s s D X G 6 d p Z Q L z k l G n D 4 D 1 G B b e p + s J g M 0 I I x k B j h C j N q T p S 9 w b c I Q V A W u I Q p C 5 m w M Q h u E l 8 X 9 j W F 4 Y 6 e S n E 2 8 G L p d R G 6 G P 4 4 0 l 5 V X W 8 r 8 F i Y n 5 L x S 0 a D / / F Z s d 4 B r b W s Z 5 U p z U u v 6 A h W m R X F l i O T 0 x I K G B 5 I u i g J 0 t W D d Z M j T b a o Y I 0 0 B E c / 3 M T j w d p j E V z s e I J j q S k o 8 p y 5 6 x T H A 7 h J w r T g c j R K F Y T o j N e v G 6 U x 7 O + o R 4 T a l U I M I N 5 R C E h E + l k J t G K b F G q S w 0 Y L K D j d C r y g J A u 6 2 k m / Y U t R y m g v I k Q E P R K y 9 F B 7 o 1 4 W t t z z A / d Z Z S r 3 g X M S N 6 J s M k c U b 1 T Q Z K n a v j v I i m w z R q H L b q N x 6 k e a d 0 Y F 4 e 5 d C U U X R N 8 A 9 I u F T P Q a h C Q I G U N 3 H / p n V N v R w D 5 t u U l r D P Q z d J A n 3 G L t J 7 U t 2 f D P / 8 g W s g S F R t 4 P M C u p 8 H t I s k u L R d d L 3 U + 5 P 6 C 5 B 2 s y T V E w T + 1 d c 9 Y 4 H e M g 6 S y k P m Y O 4 2 c O z 4 y 1 M Q e 9 r M m R s E e b 4 v g F s 3 H I Q o j b G V Q h G P L Q E W W n p g I 2 + 7 n E 7 W 6 1 F c V y s V 4 v 5 s v g R 9 + s L J 5 V s A Z B 2 r 1 e d b 8 J 3 g z U O z 1 5 9 3 1 c Q I f c e I V 0 F k B 1 G N Y o l V Q P r J 8 F X o K p G C B R t e C l 5 p Y E G G b 6 C V 8 X n 1 f 0 P + g b c 0 7 g 4 P P v l O + O D B S 0 6 / R j t Q T f Y t J r J 8 0 m G F J n H Y N m T P J M q 3 d l q z u v j M / t j X d x 9 / k G x + c U 5 3 a H D s 7 f f G Z s Q D q c Q i U Z L F x B d k t a w O t z u 0 Y s C U 4 d e n H z s d H I / j 8 T m 6 8 H b 4 v b L 3 c 1 8 P f s x F 6 i L F v c f 1 / P l / N 5 E 2 j o + s i j c s F Z H t D + J 8 U A L M 2 Y z j c C t H + C m 5 6 O S T O c R w 0 u E m z S X Y K B 7 C q s d D 5 C z q C s p K c v x k Y M H 7 t f v P H A e X A z U F r N E + J a U O W T Z z o 8 Q 8 u E F Q y z E E / Q b k X V 2 u i S P H r h f Z + u 7 2 b c f c 9 p + d S 4 6 w e E r g a F 5 W V y Z a g R b T b 0 w Q j Q 6 l W i Z p k Q g f J A n v 2 c o 8 2 p 2 I P Y 7 w G l T V 1 J O m 5 O y e u f F 1 f z P u W k 0 Y + s u z S O Y I Z f m w Z L y a p t g c X c C e 8 u y k E o Q T 7 y 8 w i Z u J S j a u 7 P a 7 w D R V F d S o u m k s / S 0 + A v c 4 p V J 7 d 1 K x B A b m 1 T M S w X 0 l 7 b z Z j 0 g G H B Z m E T o 4 G Z + b 9 B i v e E B 4 t l Z S g m o g 1 K G h 2 f T 7 3 s M Q y 5 L r F s D n 9 c w y 8 v c p C J 1 J B g R o S i Q w D S t r I H 7 P 4 b T 2 X / m V 6 s f 8 x i 6 q E m q x 4 j Y j A l q j I h h S i A w I u O Q Y L N p W a w X M 4 G A m 8 7 / Y + h c 2 k k 3 h F g 9 U b a B 4 S X F D O t i L s 8 m c Z b 5 D e 5 A m 1 t q 3 7 H j G 7 n r A / Y 8 w N 2 n W 0 2 5 / p w U c D h 9 u D L K q 5 x Y V X Y + E o I Q 3 8 h C 8 L f P 8 6 C J K u r N h B n r L u T / d 2 p H y / 0 O E M / t d Z R I n r h X 1 Q W H R + v Z 1 f w P 4 d g w f V j O r + Z f 5 q t u 2 / P 8 Q 7 d Q t 2 h 7 / v a d j 2 e O J G w S 8 X Z 6 2 8 I e o I j o B Q h H z J Q P h r 5 O h e T b y l o f q S T / K q 5 / U F P t N w e r y P f L + 2 I 9 N / l 3 n P 3 e / R R 6 j y + i A O Y q z D W K D t m Y E f O k s h e Q T g J Y N 5 Q f 1 V h D 1 x j V 3 t f V j g c 4 2 + p K y u k + + 9 3 B e D I b u 1 q Z p N O P N C e 7 d z h D H l 9 Y U t C Q 6 Q x g t d j 4 0 Y q 5 I e N E b G o 5 r d W A o p P N a s N Z b n i A a C o L K c E 8 + u B g M P X S w J p h v M X V / P v 3 X c 0 c 7 D x E J I v J R o i 4 C p V m f b C h I / j M l q O M g 8 / o c p c W 3 + + r 9 e c f U 9 O 4 e J T f L Y p b M + r 6 v c 1 Z J o I 0 a N F B o m f u V 2 9 o W Z k G c I p j H l W 6 f O F O c g P V j g c 4 z O p K y m l + 7 + J p 1 o N E b Q j F D U j U Q C i W I N G R U N x W q Y w e u v m u D k X V / 1 W s E E 5 i s i g e P W 7 U j t N A i K B N G v y I y + 3 g P 3 f z / w L 1 f / g P + V / o 4 F 8 v f i 5 P y y 5 / 8 K + j 6 + v 1 7 O 7 u 9 X y 2 u L 5 7 8 f O / 3 s x W H 2 Z 3 q 8 X D / X y 1 V P + 5 + B f 8 V i w e Z v z 1 5 M X P J w e f D / / x 3 8 X 1 7 X z Z h u G 1 O e u 0 b Y 4 i + s X r F M C W S y G V 1 F k n 4 3 h 6 b v C 5 s c P k D 0 H s a p 4 n b Z o i t j v A v b a 1 j H K p O d g W D Q 6 P + Q R u / z A 6 e 9 v x u c N J D L U R 9 j 3 M x p C o 1 q 0 B t F d x O y X T S K F 1 7 + Q K U m 9 5 g H B 2 l l J C 6 i S v + 2 l H b y v H N Y 6 g E N H F u B g B 1 o 0 p f k 4 + Q p U v + z / + D q 7 G i s 1 2 5 + b 9 W b m 6 d r / 8 q q A p C y m h n L r o u X Z e f D I p L d i y 9 p K A 8 V P i y y F / Y 7 m W Z h M Q G E G S o a Y e g d X o r 6 E p d j v A o d x a R o m i k 6 Q 9 b L + u z a y W E x t x 6 w g c F K K n K I v 5 6 O c m 9 V u Z E c c g y 7 C N B m I K i k M E u F 9 J X + 1 3 g F C q K y n R P H F R 2 l r P K g 8 t m m w N q 7 w a 9 u r y T 8 k q D 8 f 8 s y F T 0 L P o l g G h D W W v g l S E B s Z e i q r l S N h r i 4 D 3 y x n a T o Z R 4 Y m V P 2 C A n G K U M V C i x 4 E 9 Y E P X A y w o U P V J g 9 b d o f k s N j z A z V b + M s 1 C 6 s X m H n Y 6 O J w + 3 F 2 t P s 1 M C Y d d K U D Q 8 G H J c x / T T i / i s p P t q k x Y O 9 P J A g Z D 8 v j I L E h b 0 9 U b b n 7 l / e W O n a W U g L p Z C B S L + Z + F a Z J v l 0 A m s G k 5 n O B f f C k K A N S i n A 0 h d V P 6 d u 6 Q d L w t N z t A L N W V l F A 6 m U K e F l / X s + W V 6 W x a 5 Z A h c D S f k 5 k G O X Y L G 8 7 r W T q B Y c b 5 j K q Q 9 s Z m 1 1 s e I K K d p Z S Q O p l H S i S J 8 N c 1 P J 9 2 p j c J t l h + B M q G M Q C Y G y G A W N 6 4 / i S n M k j h o 0 Y p Q 0 D t 9 F 1 7 4 z Z 7 H i C o 3 b W U q D p p f K M X 9 N C M / H p 3 p 2 v g t s l b U A p 6 j P z b N j H V z 2 p s N K e a W Y 1 B d E r O a k b V q Y 0 w p B r G u 0 6 j u / d p q N t U A t 7 5 2 K w m R X c g G I U H 2 j C 8 n S 8 W d 7 S g T E + N n W 6 U P + E 9 w a Y l Z 2 o j n d T q p y a i N x X k Q c K 9 + C h l S P v U N H s e 4 K n p r q U 8 N W 5 q R 2 n 1 W 2 0 s X G o Q S G w 4 X F J a Z T x c 7 e H S O 6 h q X v z v B v k E h y + L z 7 P 1 v v L E 0 J u E I e 6 I r W x E f X g Z 0 U E 4 y n G z i C g O A v E E 9 u s g y / 0 O c H C 3 1 1 E O r Z v 5 Y a Z 5 E f 3 g O b r H B v S C 7 B 6 P 6 I X 2 0 O q 7 x z Z 8 k 7 p 7 b O C b i O 7 x y D d p g 3 B W m D s a Z 7 9 Y H A u m Y m Q j 3 F x x i D G 0 0 K y s b r U c L 1 g Y C k L T g R F n q E O e a x M S u d s B 7 r T t d Z Q 7 7 c w 9 Y Y f g 8 L J Y 0 5 w y P E 9 2 b W M 0 S T F z R d b I T y N 0 s o U + d t n G A H A A O A j d D q y / I e j 1 H 3 C W G x 4 g l s p C S j C d b B o f L R Y y l u f Q C u 5 u u i O 2 U x u i E K k G D C / k O h h Y h 5 v 6 s o B H M i K c B q i g C 3 n Z / r G U + z 0 o d 7 v H 8 e i L 7 X W U S J 6 6 S B R 6 N X u Y L Q y n 0 v Z 6 R R c n 8 T m Q M j V s Z 3 N e Q D r J 1 Z u k U Z x 4 d B j 7 J o 1 y v w M c y u 1 1 l E g 6 e c E i S 9 Q 9 i L 4 G e W x R Y h y t U R P 7 d L 8 y 3 e N 2 4 6 K M O R + K Z y h S g F I p f Q 7 K c R G u e R 4 O P f Q O B C F U i k 7 3 K z O a P Q / w 1 X T X U r 4 c J + d G O H e Z Q 2 q F 0 + U 6 R y U m Q N 6 9 k i + r J w w 5 o h Q I n i H x E 0 h L p v 5 s 3 n L D A 8 R T W U g J p p N Y X X 1 T 2 6 b h 0 z S 1 D Q 0 f 2 d Q e G z 5 1 2 X I 4 P f p u x h W T N j Q f f b g 5 l c p V e f + B 3 2 O E T p M 0 S H K k A b W H R U u G n R Z 3 d 8 X V z c P d 7 P 7 + b o / J z 6 N M g x d T F x O f l 8 X y e r Y 2 w Z K s b r 1 A u F o w U O V m S 3 I U w 4 X k j g w k 7 I Q A l U e Q L P S 7 U X f Z p V 8 m d z z A t V f 9 N s 1 K f 4 t 7 T z t F 8 i y a A 8 0 U y X t i i u T 9 i F P 1 6 H H b 5 Q + e n / F z X C z Q R D J x k 6 c 2 a D 8 g K L R q O F U x W G U P v F / N F E k T x D k 5 a x y 2 x u G x X 3 5 Y 7 b j 5 2 P e H D 1 N X U o 7 V 1 E W 8 3 2 X x b W m a C L 5 / a 3 H C E H v E i z M L s b s F 8 R d B U a 2 7 N m J U C C o 9 h J o q X 8 H e g C K 5 3 w F i u b 2 O E s n 3 7 g l 3 H k 6 3 V W / 1 R e C L n 7 c o f w c L i I 5 R P A l h f 2 R e 7 k c h M L 4 m S A k v G T z L C M v i C O 0 O f T v m k Z R k v v w x k q p T 9 1 q j h 9 P v 1 I v m L k S L o d F I a n 2 Y u A u 5 G w N I k V I K V 0 K i O 3 f h I 4 F Z f 1 u Q G P 2 I B + 2 F k / e f f n B b k o u 3 U n z 9 g R J E 3 C d Y s o f T k 6 3 / o N 4 o l w h M N I k k D W + q A u m p V t + e M W q P h D 5 F r E P I i O 9 Q K 8 y v b u a f i u W P i b + T 3 l t a B o m m q 9 Y 7 b P U M s G p 5 6 n g 8 Y g Y 4 s v n r Y j o 4 1 P u V W A W h m g + F p i j A 5 h / D 0 L D 5 D 6 f b 2 u z 6 C 0 + X Q f j 5 J I K b 4 y G Q i Y N t C R E R t T D v F E T 9 n E 6 v s C n R D l k f e a V Q 8 y v u b u 7 X P 0 b j a 7 p D e n e y v J 6 z y z p B f O 6 C 6 3 D 6 / v s e D 5 I H V P J z m L t 5 h i d n S 5 t i y C b Q 4 O g n 7 C b t M 5 3 f 3 a 0 e 1 v M f 8 3 S 4 x 8 s + n J 5 9 X 2 S i Z A I Y I U Q B 3 4 v y z V F 2 H s F 0 y 0 J B c S u R + l U / 9 m k 9 v O l 8 u U T H 4 w d 5 g E z P 2 u + / P A e P t i h e / B t v g d n 1 w c V 9 c T + j W b m v Y 4 O k B V z r 4 m t h 8 j G Y W i k g M M g K 4 y i D K B O X 2 u p 1 / 0 / w K h h j E U p Y i 7 u 4 C N Z b H q C 6 7 S x V B 6 L 6 q 4 M 6 C I f T i 6 3 z 1 v 9 5 C g P Y S 8 y o A R x s + h J n O T A E 4 V d M o 0 m M q L W W 6 / r 3 i a t Q / N + X L z / o N n T P 4 / F w e v 6 d 0 U G 6 X o D C G R + m a Y 5 a W X m M 0 J / A D S n 3 E 5 y I B U d J A x / Q h 6 a 4 v v l W H J y v i + v Z 3 c 2 P e a v O 2 3 v t q e t w z 9 l D c I g 0 Z x c 0 E G s I 8 v r j 1 K O 8 J X v X 2 k p q 1 u h d Q t W 2 k g Y S v r C V H E n 4 b Q n 1 C p u C m e m 1 O 7 N p y 5 O z k N 9 j O Z F k o k O I 6 0 v 9 2 t G v 9 y I Q l g F D r 8 d 6 h F o k Z b n h A d 4 6 Z S H l p T t z r y l / O P 3 4 n X c p D n M g 6 q I M C R j A G P R u 6 3 4 7 a L p J g m t I x j 0 r w 6 e T g d F f q C u 0 h X + Q w e D 0 Y / + b d L D E 8 s P s G j j d h z l T M A O s z m q 2 j E A v o k x x A D N X q G N L a m 4 5 W 8 b w E 9 w A m n g k l / p + v P a s s e c D u e M B j l t 3 L e X E O Y m q + b B 6 u D c N N Y 9 t a g X G Y I h p 5 b i x 5 n H C Y L O 6 O 5 G 9 A 4 R O H z / j U D 5 m H q K P p 9 j t E L H c W k e J 4 7 F 7 N X l w W I s A G I 7 m y Z n F R J O 2 S o a i b o I 8 g h R G 9 m A O y K O Z J c Q 4 p A 3 G w R Q 9 + / 6 w j 3 r L A 8 S z s 5 Q S 0 h M X K / l f Z 3 / + i W u c E Z N 6 Z C O d x n W L C w G 2 g z H 2 g x J 7 1 c Z U u P 2 g S Y N Q z U 5 6 6 M 2 e B w h q d y 0 l q k d O C q j 5 G g H f y A b O 0 8 A Y D X A e C W M c 4 T x t 2 f B y P U O d f G 5 8 + 9 7 Z e E e E K b g d o U I e U 9 z H I m + p D 5 d w h a G S q G S D d s h m m j 0 P c L i 6 a y m H 6 5 2 L o v N 6 Y q O N 8 E U 9 1 D T o X o i h 5 i h 7 s X m 0 i v 9 b C R + t 4 9 X D 8 v 5 b t w 1 j V y N A o m K A A E A A Y z o / Z K R T n a u c 8 Y I n h H 5 K 0 W z p 6 d A B h 2 i z y p d r s e F B D t X W Q s q J c r I + O J 3 / B T H m z k y j s B s o A C h G z T x H B A 8 O H C 7 x N c M R G g V z h k C 4 P K R 4 t g R C n 6 F f Q N t N D x B U z W J K Y B 0 c K t A g D T W s q u B 5 h R t + L a 4 + m / N X 2 y c W + h 0 m o t w F W 2 L c i C o i 7 Q w z F v Q Q 8 i v y k + r 3 5 V Q 7 H u C z U V d S v h k n n 9 d f 7 u 5 m J k H F s 1 8 t K k y a B d C p Y A / Q + 8 G V p 0 2 Y 0 k g Q C y J C S b C D X S S 5 5 X 4 H i O X 2 O k o k z 1 y 0 3 3 6 5 u p / d g 2 o w t X 7 s + I 6 k v 3 H q x 3 6 a R 1 E Y t n b 3 a T 7 B N w 3 S O s e W 1 5 t w 9 r 3 V m z 0 P E N H u W k p U n e Q 7 / v v L 3 c 2 D q T t 7 + Z v F A R U t o D w F u N H o W d U V j T c B 0 B 6 i c s U 4 U x h d 9 g a 1 l x s e I J 7 K Q k o w L 1 3 0 N j y d Y c K 9 / L p a 3 9 8 Y c u l 3 F z Y R x c 1 i S / a 0 m W 7 R b w / T L I W 7 E J Y 2 C H 0 P 6 c a u B w i r b j U l t u / c w w w w O a 5 U A I W r U F 0 4 H X q a 5 K v 3 5 L g 2 f M b / Q G Q 6 z N E 6 d B 9 h + D y q Z N Y / d 3 B 4 g e a y k Q J k W 9 b 4 A o g o 3 r p A K L c 0 d a q w g M Y U N v G Z j A h v i t 6 3 Z b n h A Y 6 V s p B y o p w s Z / D S W M 7 + m F 0 Z r s q p l a B S h A 4 P R C G Q O U I L T s r t y P k H Z K H v k + G p d z x A P D t L q R F 1 j z w k s P E a r b j A R i u u 4 b 0 a t O K k e u q o F d f e k v q W q o 3 s Q t 1 S r d o 5 u q d K t F R H 0 Y W N I K S a o V F o F Y S a J 2 K K g u C J j G G o w 3 D 4 / n t 5 I g I H 4 W P b i F E t r E a B F 6 s r J x C 6 2 L n Q 1 + B B Q T R K W w x r 4 U n v b + a r H 4 L y d J E C / P 7 d d + L G w n g S C x 0 L u s s B O T l g l X q Y Q P v C o y F N b P g X P G K 1 q Q / M 5 0 V x s 7 r 9 M Q S e 9 + 8 c B I 6 9 W j 1 8 W h S m g d D U B p k C j R u O V Y q G L 8 m 2 w I x t F L G Q R G k A Q z k p / 6 R v E V v t e I D M T F 1 J T c x c x K W 8 m l 0 V 9 8 Y 2 0 4 m N S q L o A 6 O O g M h M O d 9 L a q S R k N X i S K L H j O j M T s Y d 1 Y 6 H i G f 5 2 z Q r K f E 8 c V E w C J t X I X 5 3 9 1 S r y W 5 s G 0 0 E o k i o m z C t 8 e p i G O m 7 C T 5 m a H s 9 R u f W T m y 3 t t z 8 2 J 2 O x 7 O Z p + r X U 4 L r 5 P x W P + Y r s 8 k e j 2 Y P H s T h + w 8 9 / o N 0 9 N k o 5 O Z G h r i a 3 k k k j K y p / c B j e p D F W c I / E h Q l P p f O / E 7 / + q 5 n n 1 Y / h u X / / o O D b 6 9 e O 1 N T R N v Q Y C r f y e 1 m p g 3 o R p h Q i g / B A L o J o c G M o J u 6 N K F b o o U V a g L d u 6 P c w A o N 3 R I J K x y 7 J X U Y D k + / U x 0 R K V F U Y W N S W A S 9 p Y V M X Y e g F x X 7 w t 8 4 A K c b U j f 2 u w d P V w / z u / m P 4 q 8 4 K Q h 9 a v T 2 t P I P R G 0 f p a g A s P R W c g P R N o S M F G Z o Q d c O r p 3 w a f M b 9 j p A V r O 5 i p L L O O k Z 6 K U a T q f V 1 C y t K C m G q V k a j l O z e a O V w k O j 1 Q 2 y w a / X / W A D f F 3 0 g 0 f 0 e v 3 M B I d v V n + Z t A v t Q A G o r y F t j 3 Q h x P S w Z N u V W T m 1 m s B j I t J R s m F 7 4 z H F d g e 4 z 7 a W U S 4 0 J 2 E A P T p j N v S 7 E J p d G F B F C Z / i z Z m l k M L J c a z D c b o x F e n 3 M K n 9 q v 2 V 3 O p K S j y d H E L r 5 b x s K q G 0 H t M Y S q F U j G n G W q i 9 H b E r / / y E l f v 7 d z a w q X g C e Q f J L w Q I 5 d B m o + M M V D 1 K Q t p Z G Q 9 l f 8 R 6 v e U B b s n O U s r J c n K G 0 I L s T Q C P E 4 u g R v g p 0 V j 2 E + H P Q 5 O 5 n t D R o 8 I p m h E d 5 N d A q 8 e i z + A b 3 s Q A I W 1 / n W Y x J a h O W n g e M y Z b X t 3 s L 5 P B W g X 8 F Q j G y m 6 p O a c I / B J m t K p q c S R N X a 0 N a 7 3 l 5 n f e 3 w P Y W U o J q Z M Z z W n x Z / E N P w Z T T I 8 + W B x T O M v C Q g d 6 c h b T F W l x 5 U y H s B 1 A i j F N Y 5 x 2 d J 0 S b U S b H Q 8 Q 0 u 5 a S k y P / j 4 9 5 L I U 7 9 H 5 7 z F C w E R v 9 p 8 / V 2 s h M P I Y a d D O o T n C l Q u 3 w x A a i Z T r o e C X N U 0 G A A D b J b Q L p E y 7 1 P f p l w l X O x 7 g q 1 F X U r 4 Z J 6 / 2 l + u H 5 d 1 X p J k M E b X j l y A F T j C 9 H C 8 S Q Q m q J g Y / p S k N U 9 j W W O x 5 u 1 w D z Y Y H C G h 3 L S W k T p J L P O 2 Y x 0 b t r B 7 z G N T O x J h n V D t r S x v a M v L x 3 J q 1 p Z o x z 3 f P 8 w 5 P t l X 7 9 f 9 B 2 n E u l y y i x y G K I j 5 v N M j 2 6 p L 1 / Q j F S W w w s H l C N 1 R C 4 T u X r H a c e 3 I N l u q H w N x O H J R H O / n O 6 R K l D Y Z M 9 I A i e A c o v m w y r O E g Q I + l r S e k k r W + o / r A r L 7 + G I S b k w g a f U 9 c k y H 1 H r 7 W P X H K U H F S S L M 6 h Y b o i Y c / 4 m w 8 K n K 8 y x 8 8 u 1 7 4 y b Y q d f 9 r K 8 y p 8 N G j D r m d J N m t x p u h b I X m A B y 4 E D V W M s P e 0 o F S 3 P Q H S Q c 6 q G R 1 e H L a o 0 z Q v i g e 6 p s h B j w h E r n Q + B u b X S a r 4 H I B C T b Q M U 0 B r 7 + 4 B N Z t N U e C u 3 O g n g s t 9 u g x e O H m V L X i E W y l F J G N B 0 X I Y E h U V z V s S 3 d 7 h Z A R o 9 E K Z D O z 0 w y 3 Q 8 1 c V X + z 9 a u y i 5 v P 8 + L z w 6 2 h K r u 0 w u 5 y Z e Y + 3 u Z B J B T i W 9 I j X b g J + o A 5 S u S N a 2 Q n B d T 2 Z y 7 r P Q 9 Q m H X X U g q z S x f x u 2 8 e 7 m / W c 1 P H z Q 6 P 7 U 8 S z B m Y a s A I x 4 S w K b W x b U C T F R F s o E k S s 9 R / H l z u e I C I V r 9 N s 5 I S T y e z y e N F s f 5 s C q e d 6 C P h T A X 5 O E 3 8 U s q z b o X R O Q k R S u Y A 7 z g U L j f c / M Z 7 e 1 h f K A s p w X R T 7 l H L Y r V 5 X R s W a w W K 1 r 2 u k s U 6 v q 7 t 6 / p y x p F a G H X i L 4 7 t x h K Q + F I Q g E j e i B q 7 K u B + Q u 4 m j 7 1 c 2 N Z J U 2 S R w v Z 7 + O o t D 3 C u O k s p J + v i 2 E F o + 9 l q z f j Q k M n Y s c p S V D p R j m d I i I 4 Y U r j N 7 B C 9 4 z h G 6 T g g v U n 0 L R N t I l P u d 4 B o K g s p s X T Q t O j w 9 X a B 2 L t L E m T g m A A 4 g c Q I M x 9 b o g 1 e L X M B o R B Z Q W 9 1 4 0 B t f f h 6 s V r P r 3 9 M b + u 1 e 3 r F h 6 + n P W r 3 X s W H v k m m a V 3 3 D n / d J D M Q F E S T b O Q n t O + g H q G m q T L 7 B 6 F G q J n g u w K h N u J 3 2 z D 8 Y q 7 X z q 1 q 8 I C m W R K g y Q + W a V N 4 K P M m A C e y D D X q A E 4 J h M u + q Y j Y 7 g A P 1 9 Y y y r N 1 7 m L l / a F Y f p 4 b U 5 A L m 5 w y m J C B o I w L F T r 0 I 7 j s d a V G T h m J m b e Q l K j 8 k f v l l O W G B w i l s p A S z K m T m m x a N y 8 b 8 G 7 t 5 m X A 7 g o 3 r x G 6 2 1 6 M K G 1 0 5 9 u R T R C a Z r Q h C r I Z P Y a h D U M P i Q c b y Q 5 G b i F Y P d r B A R h q P L p q p I C A Y 3 m 8 X p R c + I v u 4 i H q j s S D i 5 I d W F R 3 j 5 V O P 8 p i u H C + n t 3 9 v w f R t z y 5 W 5 j a l 3 Z I v p j y G 6 U e 6 J Y B v U o I S v W j i F p 8 k N N l K b 2 F d y j M q 4 0 f i G 0 P 8 D R q l 1 M f y J O 9 N 1 z e z F Y f s E 5 e P N z P V 8 u D B S A D h H Q g L m z g Q Z p q m t l N L P 7 A y 6 I S b t c 3 c d T + d 9 1 f f 1 i 7 3 P A / 7 b + 2 f t u 7 F z / / 6 7 d i 8 T D j r y c v f j 4 5 + H z 4 j / 8 W w 9 Y N U u X l E y q / d g M c D G f S F A w 8 b B X Q 0 V J w V I J f g U w j 5 Y x b s w g t c K 2 w d 2 9 S 7 n e A s 7 K 9 j h J J J 4 c 3 e t V K m w S m 6 f c b E h j Z 7 x 8 T m D a B O S 3 u 5 7 d G o 0 o 7 B l g 0 A X 2 y P f o s j 1 Q 8 C W I g k G I E / o h e g 7 Y 5 X O 1 3 g C O l r q Q c K i f Z X 6 9 m M p S n q + t P x s T i o 0 W 1 j d M v U k P C i h v X A s J X p R X g j / j 7 K V j z A A k O A T X v + / a J T R / I L Q 8 Q V c 1 i S m C d 9 J T V l 3 t W m P I a e 2 Q C l Q v s 0 Y g q r 2 / L w 3 c X W z 3 + 3 q 1 f D C F Q z E x J K 0 R G D o e m Z t X k G U h w 7 H q D c n T m a 4 e e 2 v H L u 2 J 5 V / w Y c J 6 T f D r 0 L L u F W 2 w j / O t X T J m 4 6 v 7 q 4 A O + Y F 2 M w r / 1 A U H 0 J N b U z z r a R e + z U z d z U 8 P w K k Z 6 J h 2 n V 2 0 Y z h f f b n F m N v m h T K 1 G J z 5 g D f D G I S l A r f o r 0 7 r U m + A g j 4 Q z h r j S i a 6 K 2 l F Z x v 2 F 1 t Z q q U 3 s 6 i 0 P k A N 0 l l I z A P d G K I f v f v / O p 0 e 4 q 6 a 4 D g H D I G d r J i O k 3 y T m e M h H w n V K l 6 v p n 5 3 Z 8 v 7 h 6 v O 3 H 4 I K d 9 L q 7 e J m t v j j m w F d 8 / 6 t T b L t w c d F V Q G + G F A a b F L q d B v n P m T U M B F H K B b w D f l h 3 3 S 7 3 P A A x 0 x Z S D l k D s q j B 4 e v n i i c 3 t h c m i H z Z r A 2 w G / K k r d 1 h g 8 n P s j h G G H 1 H X 3 7 5 H 4 H C O X 2 O k o k 3 7 h 3 X Q q Z T w 3 / s / p 7 3 3 e T + h W K R v z 1 M a q Z D 4 z G H + G k b S K i 7 / J p V J V 7 5 4 N N l 6 9 C q u n S c t n l y 3 / E G / U o p W m X P 3 h u y h + q E c X i z p Q M n r 2 y e a M o Y m H G Y i O r c F n y d J K C L C T R C L E X K A 0 H + s E v 5 H 4 H u N e 2 1 1 H u t T M H m c 1 v T 7 Y u L / 0 U U s c Q 9 P N J j N g D j 0 + d s t d 9 u 5 h R c s l 2 1 o 8 C t X n g 2 + J r M Z / / i B P 2 4 u 3 + R 3 6 7 z 6 V e k R e v T A A n O 0 8 A 4 Y R H k A g Q G v C N J w D n C 7 V c / F h K I Z 8 d N F n K 7 Q 5 w w J S F l B P m p B G A X r 7 D p p N U y 3 c Y G k l C v m P s I 7 V 5 w 9 v 5 8 u 6 6 M K I j j q 0 U P + F w 8 T Q B j s j A Q i C D U 6 M j I J 8 I L W o Y 7 l i o o G M n H K j 6 v V n 1 l g c 4 V Z 2 l l H N 1 / H 7 v q I j d r 0 h + S k 2 H N u o m H v p H r R d 0 f j p b r s A L G A X M b V E 1 M S a l a Y z Q A R 7 s f l R N U X 7 K 6 L P A w M e 4 T O Q 5 O g U E b d e r 2 f A A X 0 1 3 L e W z c V I g i 9 l x 9 7 O x 0 j K v 0 a Y V i E N X Q A i 0 6 e g A 3 F 7 H 5 6 u F S a D s 9 W n 3 F P c u 6 I I U k D Z o e 8 S P k K 4 A V 9 W 0 u C D g Q i p L m D J z 3 E B 1 9 2 5 x i e 0 O c K C 2 l l H O k o M U J Z o i W o 6 t j Z t 2 U 4 0 b D p O s x s f T 1 J 6 m N + v Z b P n X f G F M b + x Y t s B u h C M 9 J n A + K B v E C G r w Z w D E D b 1 l k M S l l F X v 9 K b d 9 A A n S 7 O Y c r 6 c Z N r q h 9 D l R H S r b u 9 9 O T Z D a I O + l R x C j w J X 7 f n S Z 5 o a s I x F p q n 3 C 9 N c p R Z r v J t 9 K x g s n R c 3 4 i + P 6 b 2 e W b m 1 B + D z M j S 9 4 E j 5 a Y h p R X V R 5 L i 1 o 9 r O F w 1 t e A e V Y L H n A 7 H j A W 6 J 7 l r K J X H m o l 3 7 v 5 e M w A 3 x n F p R 4 S K I 3 p 7 Q f a 5 k F B p o e j 7 B Y U k k W J I A r h v 4 a g s U u d s B Y r m 9 j h J H J 2 l w x w + 3 f 8 z W i 2 J p E m N + 9 7 t F Z o w t C U 2 I i P 8 t N f V b N 2 w I C B l i z I 1 7 Q m + U R b v p A W K q W U w J r J M T / Z c F u 1 x 9 M R x R u 2 Y u W n 1 o K A I H D G n q x k l S t 5 5 o 5 4 L S g N W F 2 r 7 I q / u 1 n a r d D h B O d S U l l k 4 2 c 4 8 + P R T X Z N r i A Z 0 + L O d X 8 y / z V b e f c K 5 R 2 t c / 3 N r Z C v D O W N g S B v Q R E c f 0 6 4 g m N O h p 1 4 O F z h L a y n S G + k a 1 2 f c e R y w v N h b Z j u U u w 8 r q 3 3 n + M F v f r w 4 + z K + Q I a 7 / 0 5 5 / k K n H Q d t o Y z S 0 1 + o O 1 b W D J O 1 1 x B e 2 G f b p f H m 1 W p i y G L u s 1 J + A b c K f A v 8 0 I c P c y J k K F 2 w h V E N d m 1 D d A n / q e 6 C q H Q 9 w T a o r 1 Y e h + q u T O a m + c L V R O 2 k K V 4 P a i S x c R 7 W T 9 l i 9 n S 3 X J i j h R y s u e S K g h F j 8 8 A 7 5 I A l r 2 + K f M v A b y F P i Y l h p d f U + V H K / A x y p 7 X W U A / X R S R 5 5 o I O f a X B P + i y j 1 7 D r w 4 r 6 4 / 5 u b 3 l q j M w l H c R G v U 0 C v M U N n K G H i S p B a d x W N a a e B n h X 2 x 3 g c 1 F X U j + Y / 2 k z l P K P H s 1 3 X l C W 3 s + u D y 7 u i / s Z b J v 6 P + n 5 E 5 s 3 6 2 J 5 b w i l n U Z f j L 9 l e / B l d V G y M O H y S U Q J e V X / o a X c 6 w B x 3 F 6 n / u 2 r v 7 o o z / f m O 3 0 n Q A Y n U R a G H p k O c r M M k O t 2 P Y I C T L 5 g W k I 9 j 0 R d 0 S k K t f A s e P X r T / M f I 8 7 n J B z 4 E i 3 7 p a m L a n e + 8 D 7 M Q H D T X h N s i g 2 v N f z O E e S n F 8 e f C 5 W W 3 o 2 a c s M D H D J l I f d P 2 W P Y b h v p g A b b X R X o u i J Q Y r t H 6 Y C N b B V P y p X R u M y u l Q 3 1 B T V Z n i 0 s d 7 Z w A f m E 5 l m a c F 0 K Z s w O a h x v y x 0 P c K r U l d R j 5 a S u m 1 Z S z A r 4 W K G j B E p K P F y 6 Y y V 7 K y P 0 s T 1 W e v l X T e n Q e 4 h c y 7 9 W d Z 0 u C k L + d S R M t E H Q 6 4 B p n h i L + u 3 U C F O 0 U z L y S C i B h p f S c K 0 R h c / N S X s 6 Y 6 r 0 / 7 P 3 r t 1 t 3 F i 3 7 l / R y O c 2 U / f L H p F 6 y H J i K z Z l H c t t d f p b R a I t H t N k B k X F 7 f 7 1 + w H q p g I h q G i I F e S c 6 n f s z u 4 o C R C t A r D W X H P N i U 9 F b z 4 V O x 3 g z r y / i n J f u q l g p J U c 0 N A M e h / U B j Q z a H J I 0 G z U 5 G i P 6 r T 4 V n y 6 m / 1 v 9 w 5 P / 7 h k z F + k k C O Q 7 0 j 5 b 7 + m U 4 k G j 4 e T Y 0 4 u 8 q D 1 m b a v X u 9 6 n / 2 d d o 3 u c X o Q 7 n j w B 0 e D t H c O X / 6 L t 0 l K w B 3 c X B 3 + Y H G 3 / l r c / m F U t b K b 5 E U o z k 9 C J J C Y w B b 9 v i r P e Z b h r Q 2 b R h h Z S A G 5 / k J x 5 Y Y H u G W V h b p f x p G T x f u U F u 6 t k T N j 2 5 D P E + F E E i f 4 F 8 a x 1 3 C g g M 2 Q B 6 e o R 9 c K O c D + 0 a x 2 P E A 4 1 Z W U e D r Z l H 9 + t 1 i Y C 0 c 7 4 y b m 7 J E f i e i 5 A 8 n c U 1 t C N J f h R w 5 n g 3 l q 8 D T t b V 3 t e I B 4 q i s p 8 X T T u k k 7 a 2 9 F e 6 1 n 7 U 2 0 V z F r P 9 J e 6 0 T o 8 M V J 5 / H s n d w g T g Y / n O H S H A w 6 C m t G v z C I F 8 p k C c T Q X L o e 6 9 q C W v S 5 3 t L B 6 i M n Z g F P 7 i + C o l + 4 a M f 0 b l U s T e K M d k 1 e m n a U e G E W E 8 h c t B L q T g I e h B D O / C T g n Y u z 3 k Q k u d s B 7 r 3 u O s q t 5 2 S L F y + l b S J Z 1 f b 9 v p N Y p 5 G B Q W E k Q p I x G B V G 6 i u G Z o A W t b S h r j S M M A N 1 R a K W I 3 W l D U M P R p i V b S B q 9 u R z O P J g V C Y k u G u K Z e Z P R I + A 8 j s W q f o O O l g q T 2 t / a u v q S s r t d u b e K 3 X 4 4 u f O F a a v x H V c W B w r P I 8 + 5 3 3 L n V I Z k A h i s 5 R k O A I + R H D W Z x O z B W I j 6 9 k e k Z K H c Y 8 X L k 6 Q 6 D s E m t m j 3 j l g 3 S E w T X H S I R i H O N s L T 9 8 h 0 P j V 6 s 9 O L 4 Y X F 5 0 m x b A p r I J K A F L 8 8 a G O X I C a a j A W V m 2 o 5 T S q g Z t l N + S T C v M y H 4 + f E A 9 V a J h N x o 4 u E 7 c o 1 R d C J T t x n e V + B 8 j Z u + s o r 5 q T o z 1 e o t E g C W x 6 q w l V s X j f A k N z N c H V M R i 7 q + 2 B 8 n z N v R Z b d c 6 q e y 0 2 d c 6 4 1 + K x c 1 a H 4 f D 4 O 8 2 E Y S u m p N s 8 T s w N p / S / m l w 8 A X z w Q o + G i O y H a d B V b Y Z 3 v C h + L 7 7 8 N W x F B w H V w + P X n e S 7 d x a X o C O b C p + 4 j K l C 9 B 9 q 6 f R n K K h M s F w P m E 5 L 0 v w B L + 6 H Q n P 7 + S + K z O u W b 1 2 + L Q + n 6 Y P R t M / n V 5 9 n G x N R 2 w 6 + S 3 j z s w i j C A 9 n F U H K r u G 7 e O L h b p r T W q Q G p q m h o w J r W x f V j g d I B 9 S V l I T A S R A P z a H t D N v X l F I W W b x e j k L D q 7 N Y Y 7 p a r x / p k d o x n O W g A J 8 m k 6 x B K y O f o 0 J O R c 8 k S A D 3 + Y G L R f t Z 1 h s e 4 L v c W k r 5 M F 2 c J D j + z / c 9 A S E B g Y x C h B D 3 b 5 V C f R 8 t L a E j E K c h L s m J V t V Q / w C s 5 / + D O f + X g C / H / 3 H w B f j X f L k p T F r K / 7 I y 1 0 I c I B A K H k w L M D X O K E H 1 A H C J C J l e C k F S L G m 5 o c m u t C e t 3 P A A 5 0 x Z S D l l / 3 r v Y D D f r 8 R M y P F i 8 x 3 6 A L 3 T M l / o Y + P f m / s k Y D 7 5 V x 3 T J J k E K J B S 3 / s 8 + e k O 0 y H s + 0 D s e o / H 8 q h d o x v J B 7 O w B 3 8 w D H s s O H x 7 N S u M M + m / y r f + O 2 / W f M J w F m P n e c Z A T x m s E t j m y k W 8 0 A 8 S R i I r u s n W l J b 2 Z M r 9 D n A w u + t 0 o 3 l 0 9 q t z 5 / L w u O u z 9 t 1 5 0 e H x u + 8 M t t D P Q 4 k S Z l 9 F o q 6 u 4 T y Y Q A P L 6 K v D F e P c a i 7 h B 5 7 R z 3 + d Y d v x O + d C H B x e z B d / S o b m 8 9 V X A 7 Y 6 t X p N I f A B U + S w v m K G 2 9 u R d 0 7 r R K i y + L g W x K g o 9 Z c W L b d 9 w K Y H O L i a x Z T T 6 6 R Z p b 4 1 8 r R F l R 5 C 1 A x o 9 H + m a w i x 4 s Z w c 2 y 1 h H 0 B I Y 4 z g D W E G B x O 7 2 6 v c B A 2 E p r s J l k Y W S H r z T O u W 7 K n h p r r Y 3 3 A s x s D d W F D 1 5 v O 1 O x 3 g N O 7 v Z Z y e J 2 c a j m f f z a x 0 0 6 t J E j I h H O U n l E g A T 5 u z e h o g Y F 2 w V r z u T p 2 k c k S m x 0 g k p 1 l 1 C A 6 K T + i h b U 0 f a 7 v T q 2 C w + O 7 9 W p t G q m / s D I V A r H 2 h S 5 p h r e Q H 0 l v k 1 K y I p v A 0 + f U V 1 1 R r W W u N t 0 u N z z A 5 6 I s p H w w F + 7 Z C o m R e o 3 K f q w x Z + j / n N K J E w G L K 6 R a + 5 w K + 9 x o j 0 X s g y X p k / z g 6 V V g 9 I Q P D V T c O w w N 4 c M w g i 0 J H + M I d p v V 6 B P Y p 7 0 + f y m + 0 U j a 3 1 O b M w E M L T K i / E H F m R K n 7 S T 5 a c b d W v c I d T W s 9 v 6 s d j z A B a q u p N y g p y 4 + u f q C x I a r 5 d c F C X 9 8 i K s l C 5 K R q 9 U e 3 W m x v r 0 p F g s T p G C T w k a k s D F 5 K o 7 K M f K 9 T A X X y B D y e m D z u G K n O U Y m z N N o s C H t u a q 3 P M D B 2 l p K O V k u t s J O 3 n 4 n h s d c E z L o U Z B y 1 V X 2 M T K D 9 D 2 Y d R E I b h h R h w Q M d m o i p U X x G G Y i 5 b 1 G 4 X Y L G f j p + P p 6 P b u 9 / W U + W 1 z f H v 1 U / m K f J M 2 o Y u S k q Z f e Z t d G j 7 e R Y j L o 8 U o p p l G P t 7 3 1 X i 9 X / z X c e H Y E V V h d D A h 6 c c 4 s o B A O b T g p 4 Y Q x M 9 z z f H S v I Q H 0 F z c T 2 x 3 g t u s s o 9 x 0 D t J T D 0 + + V z 4 Q / C R G Y 8 7 D r w M P 3 l a O A G 2 C C b A 3 g 3 / 4 G d J L 1 g 6 w 6 2 + 6 Y j H / u F o v / 6 L B z Z N j B z s W + o E / G 8 i 5 G f g z Q M 5 y 4 G + E n N u 7 7 s 3 s y 8 3 c c N m d W s F O E W Z 0 I Y a 6 Q m R c e j l W 6 Z 3 v o / E I J y 9 P o O U l w t R a k z R o 0 z u 5 3 w F u u + 4 6 y n V 3 6 i L o d L b 6 7 9 3 v R h E s O w F B 6 L B i n g K 6 D G K B X c F r 8 M O c K U J G 1 X b w N q r 2 O 0 A s 1 Z W U a D r p h 6 P H r m x S w Q a 7 M q S C E r s a U 8 H 6 e j w 8 e f 9 9 1 V L k T + A G C r 8 v a W v b 4 u 0 p b P 8 w Q w T 8 Y e M o f Q a x W i 5 n V 5 v 5 1 d 3 m r y m X X O S b w e r e p h t X A + z f F 7 e w A o l q B o M O Z g / p W o c j v l u f E b g n k i Y 2 n S M b Z w K K z q Y 2 f D E x s c 7 7 E 2 d I E U l R 6 D q T 8 C A X 8 S o B P e R A E z u Y A r H t g 3 L T A z x B m s W U V + h s 6 m K S r p 3 w 0 3 B P e n d Q a r p m n f H p T p i c 8 B u n o 9 s T p k f D r f q J N R p u 6 i c K e s 7 Y T 2 z D 8 P P i y 2 p t 6 j H Z C q 0 J 2 z M G Q C J S 6 a z B h Z I J E r P 4 F Q C 6 l h 4 h f U u l c r s D X G 7 K Q s r F 5 u B M Y H D 4 G C / H x o I d 0 Q 6 m R Z D n I M s j A 0 x a w W D M X j A u Y J 4 z D y S 5 W Q e V a 6 v e D m V m b 2 j 5 U W c Z J Y y n b x x 8 n 8 S Q H H I m J p e n t 6 9 s 0 g 7 R 9 / W R y s m l E W G b x y N N C j i I x 4 g f 5 m Q f O 6 Q d 9 Z Y H O J d b S y k h f f v K w Z B e f J 3 f 3 h j F Z u 3 k S V F u Y 5 y a 2 F U K f X X H k a N K a R Z l K Q P X N P r l u G + / w Y N q x w M E V F 1 J i a e T 8 q Q / L x a 3 X 1 f r j W n I 6 / W F z R n N J g n v J o P z e Y q P V j v l m w u d a S S F G f I N Y a b v I G b V 7 H m A m G 6 v p U T 1 t Z P u F l q G m w 1 6 3 6 i 1 G 9 B 7 q d Y + o v d t R q p H C T W y S b 3 r s w Y l N K g m S p R w V E 1 s w w A R x O x C b 6 e P H k C S Q S + b h g k A y D 3 / 1 k y o k C K x z V S O l 5 O h 9 C 0 M y u 0 O c L c p C y k X m 5 P q 6 C + K P + f X j 8 i j 2 z C e c K H 3 G R z H 1 A z a o N C U 5 b q T P J p M 2 N O j J p v j i l A r B / f L P + o t D x D Q r a W U k D q p S v F h 9 m m Y u e Q I n w I K 9 z x N E b n P 6 w K e u e Q w T O l z 7 k x l E x v f + 2 D y v U W 6 w d y d b T X U Z H I P s q 9 l / e 4 h a p 9 w H E u B n 7 p E y F D j Z P L c y 6 j i H x L d 1 J b v K g N 3 f x W 8 u l I 3 p E d O F v H 6 N o 5 N q 7 N p 4 x h a n b K N M 7 Y 6 2 y R G D z L b T E s 0 l G v D t I S k X I / d t D Y M 0 2 J z M / t q 8 q H + c G x T L a c T K G 3 Y Q G Y B v J w Q K m K V f 6 T I Z y A / B z M n R m 6 Y P 1 + d n c e t q K s d D 5 B + q C s p t 9 u H v w / P z a Z 3 0 / D c D L 0 b y X M b e z f t s d J X y j b C 9 k 2 l b B C 2 l 5 X y K G x / L w x a y o Y N Y N G 8 9 Q b A Q r 7 1 I 2 D R h m F a 3 C 2 L 3 1 f w P q d 3 y / n V / I / 5 S r 4 p x f W X e f 1 X H Z 6 / 2 3 5 n L C a c p / P N 1 c 3 M O E t k h w P n j M N D N k V I J o q B Q 4 Q q W z 3 j D D 6 C l G p O q 0 b I 0 F T i w j 1 e t m r L Q z x t 6 l L K 2 + Y m C h x q 5 p w 9 G 3 p I W M 0 5 V 3 x g H T s k Z M x 5 J I f U p z Q 4 / P n 2 d m Y a V z n 7 b f s Y 9 4 a D o w j W b 4 o l S O 5 1 N X 9 S F A W w D Y f d z Z h E Z Y 3 U D 6 6 S + x 3 g R H X X U Y 7 T 2 W 8 O t j 4 B c b d v 4 U r c u 8 N n t L i F v U R z Z K 0 4 k 0 l 1 Z E 2 c y Y Q z O 3 I m l + 2 h f X u 3 K T 4 V X + Y m N t H l q d 3 B j X y U P Q K 6 n y U L p c a Z M 5 x j I h S A k D W t f 9 D v 4 D Z 7 H u D w b q + l H O D L U x c P c K I x M U t t k C z R 1 B F J j B g T F F H S P Y g J J m b p i G S 1 h + v V b L k 2 U Y L s u n H h B G 6 I B 4 k r D d N W u 5 l e n M 9 0 d J L g O x I x r y 6 M H / s d K 7 n b A Y 5 U d x 3 l O D n Z i 9 O P C N o g k g 1 0 Y k A k J X Q y I p L t c d J D J z b + I g 1 0 U h 0 S 3 a 0 m o Z P R X 6 Q N Q w 9 P Q K s J C x L 6 K A 4 S u p c l / F u l d c + E w A M F N V d b A p W 1 7 F j 3 u 9 l U p 7 7 9 t b 3 U l Z T b z c n Z i l / W s + v Z G g L r 7 e 9 3 6 0 9 A M V f z z b f t / N 8 O 7 Y c C l + e x H 6 W p V F d p H D C w I 5 Z U R 8 b T Q l g H 0 t m 2 X 1 C 7 2 z 4 4 Y d N 7 n E g 7 0 i 6 n h N d N 3 F + L d N o A z g 3 S a Q C c J d I 5 A s 7 t r S l E Z t B d E I N p r 2 b z T z c b 0 V n b x 0 m T x n O o X K u 8 Y k 5 a i E g 9 O a G 0 n d s h M a y 3 f l B t f O 9 n 7 Y E F / x a n T Q t r 2 J y 2 B t Y w n D Y J a 4 y n r T 1 t L + a L x X z 5 6 a b 4 w i k 7 m S 1 v 7 8 R x O 1 7 P i u 2 H 7 f i 1 B b w R 5 6 A Y c c 7 c R c q R 8 x n S q O A N J q 4 n i Z d k M R y s n G F R M W / Y 7 2 F r 9 3 5 Q 7 v x A 7 H u f b 9 t D K y o H 7 t h F 6 6 5 3 8 6 u b L 6 v l t Y j z 6 m 6 p y 1 z O L C 2 q 0 V v 0 g j Q I Y G J h h l S T s N K c P D W F g Z X E a S q Y k r 2 H q O o t D 1 B r b y 2 l h N R B k 2 p U a 7 X D v j a 9 2 W b Y 1 9 C b l c O + Y 2 + 2 v U P 1 q I c N i F h f j o E B R J S o x w g i t m G 4 n C 9 v N y u T A Y 7 d t C 9 4 I R x h m m r 0 q j G Z b L r V G f k i y G K A L y E 2 O C g j V V D V 4 9 3 q a s c D X G / q S s r t 5 u T E 7 7 S 4 f s T S z w 4 W J p 5 B y n / E J A b i + w L / L X n 9 I V N o h D I S j p N y P q 1 v Q l L t e I B 4 q i s p 8 X Q S H D 5 Z I Y h z Z 5 o q t D u f O G V I F 8 Y I J / G Q P K Q S T H j G n A Y Z J z 5 j D N 4 g + t w 7 + 6 j 2 O 0 A 0 1 Z W U a D p 5 O v U Y s 8 0 8 Y Y M x G + Y J J c Y 8 z h O 2 j 5 6 e i m 8 D 9 T e g l Q H q l 6 D V C P X f D 4 O m j 1 y Z k H S I I L 1 5 P I K c I Z 6 j q C q H d R 2 X k D 5 y l O + x 4 N 1 9 o m i X v + P p / S M u i 9 s b 0 A x z F m i r L 8 E z g v 4 5 8 + m S j l / D G B n P D 5 O A C I V I c 8 T q 8 P T I A Z s t D / D Q t L + f Z j H l r X F S Y U I / 6 G K D F T a D L g a s U A 6 6 j F h h e 8 n 1 m O K z G X S J g g n m 2 k J / M W 0 I i i U d 2 J 8 A G q H C U 5 s V 9 h 5 0 U Y f r 9 t f P V F d S j p W T V m d v N 7 e z T 4 J S / h A e O L X i s 8 X M X o q Y o Z i O E H e r y i 2 G 4 D G R R Z c 2 x Z J 7 F z y w 3 H B z d e 0 v m s p C S j C n L j L Z f r 1 b z o o 7 Q z D t y I m o P y O t 7 m F I h u A 9 L r 9 U U e X Z x L A b R S V G b x m R x w 2 k v w h + u e E B g q k s p A T T T V p i x e / t T H d E V j T 9 O p 0 0 8 f R F O j k S 9 d s H 7 3 m x B l I s f l + Y S L 9 T q z c P C a s k Z j x d W C 1 L 8 L A 6 V 6 k H D w R 1 K 2 Z g E L / q D 1 q 0 W x 7 g Z G k W U 0 7 X 1 M U B z 2 m x x L O V q / J J R q m O f n o 5 W 7 2 b 3 a 4 W d x s 0 Z Q 4 W k H 6 x v I 9 Q s q K 1 m a I u E d d z T Q h L R E i / 8 C M P c R h I q b 2 R 4 n L L e 6 z 0 j u o V u g H c p Z y r / s 7 z u 9 l 6 s z q g o Y Z P U P 1 P e / p S D + r D 3 Z f f Z b f 6 o f T F r p 2 J r X 1 C p a e w h l O a 1 a L + Y 4 p G Z D c 7 N D P r D Q 9 w L r e W q s N Q / d H J Z i b N l W 3 K g a 9 p Z t r M 0 m g p X j a g Z Y O W G U B L i Z a N o G X 7 r m L U 0 y / U v d G y W r F V u G c J 8 o g O L Q s Y a f L H v n U b h h Y N M p Q N b 2 1 I P 2 h n p U w 0 I Q R f z y 7 V Z U M 8 y X k D u U o x 0 J J 1 Q 9 8 e W 7 v p A S 5 S z W L K V f r W R a p P p e 9 f b G a m 6 v 7 E J n E N o S P H c U R k Y y 8 J 4 S P X q i R + g P i d T 1 u V k t 9 n s l u 0 y f v R u a T i v t j z A I H d X k u J q 5 M O X M e L B Q J j J o a D H W I T A M z w D D O T n 0 m L p w b b R h D N z 7 3 Q S 3 F T 2 2 V S q t r w A A F V V 1 L C 6 S R k c 7 L 6 8 9 F m h W 1 L n L s X T b S o 1 V E o K Q 4 U I j E n N Q 6 y M q a 9 D 2 m z 5 w F i u r 2 W E l U 3 G + P a m X A N G 8 w m j 9 U S / 2 z m 7 B r i X 1 W S 6 h I o S f w b 5 + z a B E p P / L P p S z X E P 0 N f S h L / x r 5 U G 4 b n d 5 u F U X / e 9 h L F Q Z T 5 + y T A I E J g 3 1 U O C 6 8 o y Q A B a P k i z Q Z Y U J W A j / d 8 y w 0 P c I M q C / 0 d r s / z 1 V e z 5 N D 0 v c U U Q o S Z L x y w j v m U f B H p 6 O N v K f L V J A x C I L r e P c Z y w w M E U 1 l I C e b U S b + 3 Q O P 3 F t h I 6 T U k s Y r G p 3 u n J E l s l N K 7 d 0 E W i 0 W x N k 1 + 2 D l k p x P U K c U o M h q U 6 F G 2 D t n C g j 4 P q P R R W f C y / v d j u d 8 B z t R z Z S X l U D n o k s 3 U h x Y 9 s w E x G / T M A G J K 9 G w E M e 8 d q t n i 8 7 L 4 w w C d n d k Y G U X h J P a z O M 7 w N P f z l G H + u j M o e M 4 g L D g x 7 0 i f e F 7 u e I h j p a y k H K s z F 2 2 M 9 F p e T 9 t / e P N t a U J v 7 H y S s H t O k y x E P E q a I T X K A c I n C Z g O Q 7 q A T y b f o e s o t j v A 1 9 J Z R v l U n H R I 8 j I N 2 z c o 2 1 c k J B + K x d 3 s 4 O b q 8 I f e / Q s x M y T y 0 M D A 9 s 2 g Z w Q j 2 7 e 9 g f m w t 9 t I w d M i L S / X U A V W G 8 M t b w e 5 M m u U o + I N 5 7 E Z f i 4 R u o i h a F w k k z i q 5 O D 6 w u j V j g c 4 t + p K y t F 1 E n N 9 X y z m x c f Z e m 3 q j N j N l f F w J 8 D n c c Q 9 n C P d 3 q D o 8 F s Z g / a Z c O c 5 L 1 0 m + 3 V G 2 k 0 P E F X N Y k p g n Z w u 0 8 9 C 2 2 T F D S R q y I o l J D p m x e 2 d / E Y Y 9 5 w X / z N c m M f / s Q B w Q k S v g t z P I Q 4 3 w 7 Y V g A N F F f o p 0 h K Z p F Y x / t f v d L 0 p D t j w A C d L W U g 5 V c f / a e l S 5 Y 8 e J F 8 d / W s 5 3 8 y u D y 4 2 t E t v 2 7 / t q V l W h x / e f 1 8 6 g w i x B 2 j q M X P p l 9 G o i 5 d g g i Y Z E S r t d O X Q 7 V a U f B 2 o 8 2 G 2 R r 1 i s 0 c K 3 M O / 7 g 8 u Y m t w 6 r e z n 1 g z + W f T Z 6 r 4 V x 0 e c r X u 9 3 0 Z g q A j z m s t 6 a 4 L t Z 9 C 1 B k T 3 f p S P f x w 2 v l d 6 + O p o 6 E + g 3 + T J W I q G g M Z q R J Y 5 S L 8 T z r 6 c I u j I M N C B g k s z W W p P 4 b z q 8 1 q P d + n y o 7 h H J 6 e t J f d Y 3 f k 8 R 1 / h c j 2 2 r / l q e 9 H s D g t o d A G 4 G 4 I h Q a A W x I K R 4 C 7 P S D H n Q P S u + q G x A Q L I s 2 S L G F y E 6 Z v L Q E h W L 5 o U Z G n A 1 5 z T P q f j v W n O e J 1 f 8 0 r 5 S L X 3 t O 9 U q E N V C J e D v G C 1 F H R v i A 5 6 v X j C 1 I f E N E z 0 D X i b M L Q N O I M i J V s x I 1 h a M P w 9 v O X u 8 W n m W m c y I 5 v G 0 / o C S S + R y v O E y Y f d d M g h 2 9 L I g A Z d 1 c 4 q d 7 y A P X R 1 l J K h e Q k 1 / Z 4 W d x e P Z k v k y 6 L Y 5 g o y D J P U E 1 k 9 K p S K k n R L 4 K 9 F / N 6 e W G M s K L m l d K a m 5 Z b 3 u M b d V S v 0 A 3 g g 4 n d g z 8 Y y p / 2 5 A Z E 0 G R A c P a z B W b B Y D t M a Q a / M s + P / Z B 5 6 C q E o j P j 0 + R j G j p M c 4 Y A d W m 4 N o T l h g c 4 k 8 p C 3 Y A e n f 3 c J t f l j x 4 O 5 U C Y R X D o 6 4 Z n / a d t C / h h 2 R j s F M b V n + v k o v p i 7 e D H o 5 9 + l G 0 i / n h 6 9 N P p w e f D H / 4 p / m H 3 H G c u N h O B o t 0 U 6 8 X M 5 C 4 6 f W v x b Y Y Z J u b I n Y U 0 G 7 w 8 r q r z Z 7 k 3 S V L I / S 2 c 1 v d y Y d c H 1 Z 4 H + D x 1 q y n f 6 P S t g 9 / o r 2 i h m W J 6 8 c I i p l A H U F d A h i b 3 Y e W k X i 0 l h D E A Y a W n h E k 2 0 Y 6 k R O s W + q a 9 b + R + B 4 h n d x 0 l k h c v H I z k S b E p v v 4 u U O / 9 j K G S 0 Q G Y o q g r x s H h J t a q u u g N C V Q H e 0 S P g M I G 0 R W p 2 l h W O x 4 g m u p K S j y d H E P 9 G T 1 s 0 8 m 0 4 2 g w G x V l E I Y j E A f A h T Y / Z 1 C O n g Y m R Z E H X r f D y Z T 7 H S C W 3 X W U S L r J 0 t A q z G s I P b 3 x o k Z h 3 j B l K h X m x y n T t u b V s z Q 0 Q x I W q d L L 1 e 3 N z M S s u v z N 5 j 0 N J m g V I W D O G K s U F q 0 n A H w P G D 0 W 0 3 L Y a i J p L 6 z Z + 7 2 n 5 Y Y H O L b K Q s q 5 v f z N w R d V j 6 n b Y F U N p m 7 A q i S m P m J V 7 b m l X J V n p l v i a P q L v a / P O n c R l s H i m O i Q 2 y A D u R 2 V R e + F Q T v q p 7 k + e 4 e h 4 b U Y Z s w k r 2 W c M b s X B u 1 U p + Z S s n j F L o v 1 2 v i K v T + z e M V C K o k 0 S 8 M w C 4 A M w z i v X 7 E s x h g 6 g 2 U Y l 3 y 1 v m 9 Y u d 0 B 3 j B l I e U N e 3 / m 4 h s W a K i p s Q 0 b L a h a 9 z X M q 7 0 8 Y Q j H I x u t P b V 6 T a G y F f Z U M J 1 + H E e z R u 8 L u h n H q S h s 2 l A L M Z t w j x j + g 0 D u k / x g D 0 w M b b V n c + K a a s / E / x Q 2 6 e O J a 0 + c f j T C R r m y G Y 0 w K F f K 0 Y h R u b I N w 0 m x X u H r J m D J J x E 5 7 N W w e D d f z E x N t N c X N u l L z q Q E m s E x d t 0 A 2 J 7 f t L a B z k I x e y o b 3 r v Q 6 u V + B 8 h f u u s o 6 c v r C w f T l 5 f r + a d P J h T 0 z K o / I b S j U M / 3 0 f N m + A W V 0 6 o f m t P p D i F e R Q j T M D a 8 A w p a b n i A W C o L K c E 8 c 7 F D 4 W l J v D Z X c k P i N V z J k s Q 7 X s n 1 l X z 4 r + + k 0 o f 5 B E G K N K Q 7 y + h Q q R l b D T z 4 o q D j Z 5 h q w l H U g o 9 a D u + / N s X N X 5 E 5 H v 3 L S R 5 9 q B G j j D V a S h a V P d S d b S x N x 9 X v X y P U 5 a A J S x P l 4 I i l t U d w + m Q 1 n 5 b V a n W l 1 q x W 0 5 U q W K 3 j l V r H 8 y F W q 0 0 Y G l a r I Q y S 1 T q G o Q 2 D v s O n K b 1 t b t B U Q 2 B O N a S u 3 j d o 7 Q 8 o 2 H g P d S P S 8 B 8 H 6 e i x 2 o Z 6 u l q v c Q w 3 s V 2 s m J L Y I a B U E Y N R J 0 I f u O F J h h P P R 7 Q r 9 + C q h b 4 A y P r 1 W a v 9 D l A Y q C u p l Y G L T M k p A 5 W f V l 9 m R u q r H e H F m 4 S e F 3 i M 1 3 i p H 8 B I q 0 u 9 e E L S 6 s V + u p t d W r v l Q W J a / 3 6 a x Z S w O k l 8 O V l 9 / G i c M b D V Q 4 y Y L w j y L G Y 6 C k f k m s 1 M H w k O s 8 8 J F X 0 m n 0 j 3 O 6 P l d p v f 8 P 5 c n Z S F l F A 6 K S Z 7 N o P Z Y p K q s M P U m H 9 D u C 3 j R g 3 T N K + v W 4 Z F 8 J y h J R i j J p Q n v Q N Z b n a A Q C o L K Y F 0 E l E 7 K 9 b F 8 v + d b w a Y F A l 9 e L 5 R E s J K q o 8 m x j N A a g k R h f Q r p h z 7 n c x m 0 3 t E C 4 7 u L d I N 5 O 6 N p q H G R f R a I z b J a M P J M C S j k p M x J q N t M n q + 2 s C 9 L j a r L / N 9 T t S J 9 8 y n r x X X x F w J v + W 4 i k f C 3 C l G L l / I 4 v f m X 9 / f 9 g C X p X a 5 7 k k 7 c n K y T i 9 w 8 b T A n H 5 W S N O 8 t y l d t Z 1 p D X W o d + n a d K Y N f E b J Q x 7 5 j O 1 t c b I u 5 p 8 M h a v d 4 C 1 N S C 4 B h m u x V G B W s 7 F 8 I 5 d C 6 o Z S J 2 W U q o L v + z 2 + c r 8 D 3 A / d d f 4 O F 8 P l 7 H Z z d c N / G U X f z 6 w o 3 w x m x j 4 z G l C 8 K X H 8 D D x Q X v s p + l N x y I 0 f + f S g d + k 2 3 9 v 1 A F H V r a b E 9 s x F 8 v d J w S 5 N B Y 8 d H I H 1 c I A k N V V N h C B q I s y J y m a a F 2 D 3 d 2 / K q n f R U 2 5 4 g I g q C y n B d B K I 0 P t j 2 L x 8 t Z i i S S d V + m O M L 1 / 7 8 u m 7 j z Y i R Q 0 Z 1 S B S F I j u 4 y h S 1 I b h 9 f z 6 2 v x i W Z F q q E c y K F C o e U V 5 6 j W D 3 D n z 3 R 3 s v G / x X 2 5 3 g I t N W U i 5 2 B y k 1 B y + 6 w q y 9 c 7 b I 6 T b M 6 B R U s H S D 7 H m s K X 8 I G a E T C q + P w T R a L k c 7 2 5 W 1 7 O D 0 9 t F s b z e I 0 r z I B Z z 9 O 7 U Q f 7 a 8 + K z 8 a T Z C f z 6 M H J I H Y B H 6 U m V U / Q y i c i i S c R / U G Q h 2 / f K u f t + u b 7 c 7 w B H r b u O c t I c l P U 9 v P y t Q 9 n o f 9 J w 8 8 m R s 2 j U c e q T x s E D 8 8 a T 1 A 8 9 X 6 r h a + 5 D 7 U m 7 / A b O t P z 0 l x w y J + c 0 f Z 3 2 o a 4 l b 4 G d 6 K k F T 4 s B 6 e d N b V g k z b y p g U U i 5 0 1 H F k m b H j 2 f L T c r 0 w z 3 2 3 c W 9 H E E T z H B z H A c j m h s i c K 9 r v y C E D 8 V Y V K E Z S 1 m m V o p V K 2 O R r n h I W 5 t + Z t p F l K u 7 b f v H H y A P S 3 m a X O m G s z T c K Y k 5 j m e q f Z M 6 T 1 t N G G w u K L P 1 / P l l e i / r D 7 y X 5 c F Y l X P X n 2 r K p 3 Z 8 v Z O z B E c r 2 f F N g P 2 2 M Z b P I 4 n A K 0 5 u V Z K w n X f g R q N e C z 8 A r S P o l j 4 N V Z F 6 n E p r / X n / H a + W m p P d P m v c r D 6 e H D v X + P g R P 5 L H I h / h T 0 + / k c 9 F l d O / r F 7 3 u O H l x + + L 2 F D h w x 9 S t w y h B S Z J A V V 9 3 O G Z B W a e T i k R C F D y z s o x g s I 9 O D D / C 9 U 5 L 3 8 4 O L V r O W i a 1 p e v Z P t B g 0 y z a s K N G i c V 6 2 v 5 s P L 7 4 U Q 8 A W K / F S Y e q P 5 J b k c Z e 0 J z o O y Z I T 9 I l S 7 B 6 T d 9 H X N H P 3 S 5 e 1 8 u c f L 7 W H 4 4 N J F + O B 4 y f N 1 a 0 x G 7 a Q Y E i H 7 G e V 5 K v z 9 y j u t R h B 8 e H V Y m J S 6 f f 2 J r v W W m y x x f z S 6 r a W U Z 8 l B Q Y b D y + 9 U i I 8 Y V e R E c d I A d r L S F r h s G A U e O A L K f P D k 5 F m s J M E 6 S Y b + v B W 3 N + A I 1 D p / z Y F z U S X + 1 W p l c q e 1 6 / k F o r 6 D m Z q h i 4 3 2 X u P f n a e T L A z w T K R B v w v N U W x 2 g G P W W U Y 9 Y v 9 2 M L E 4 W a 9 u T T P D x z b 1 O + o 1 c K 0 Y F Y 4 Y A 7 i f H 6 J U S + H O S A D 8 1 V r s t B / o K v c 7 Q C C 7 6 y i R P H a v e j 9 8 / + / v z O H p Y i Q B b x o z G k H U 6 U G F Y Q j b P / U 8 l I c q O Y 3 H b 8 r 3 s / 8 W u F v t 7 S V 7 O C t x s p s + n S 2 v V 1 f z p Y k d c X J s g Z E x a s z x 4 p F L E 2 S i 7 t 2 U p J S T M G d 8 g 3 O W i s H 8 3 l z H Z s 8 D n L P t t Z S z d u L i 0 / d u d T v 7 / c 7 0 + k 3 f W 8 Q 0 g v k t 0 h c i m n o J 7 a q 6 M Y x L M B W D h 3 B l V A 5 V V c V b 5 1 h q U Z J q x w N E V F 1 J i e f U x X F y n q d t o E v X F e l d X s f w 9 U X O a R p U j N E h G g c V G / H 8 w / d n 3 / m E A S p G Y m I t 9 H M J N 9 W 8 v y x B u b k W y X 9 o B F G b 7 7 + f L d F 6 v 5 3 N / p q X z E V 1 v L P V e n N z 9 + X 3 2 V r Q F g y c 3 H O b 5 y z y J p T S l N N 5 6 I c Q / p r E P + X m 8 3 J K N 5 T V Y 0 x y a k m 9 x 6 + + 7 s Y H u A E f W F C 5 C M 9 d f N j 0 r V u N / L Z F 7 + G s u L 0 t 7 g w f k B 0 J m N I i Z v Z D T F L 5 L d Q G B T j O + a I C 6 h A a E D v 0 F 8 r t D v H Z y N 9 L s 5 D y u T h J / H 1 Z L B Z Y r Z s a w K 9 t G N 3 C 6 E T o n g Y + n S E v a E W n Y O 1 w R c D X 8 Q W v W 1 z t G k a I N h G q t 9 z 8 n v d W q R x t L a W E 9 L W L X G 6 9 9 5 9 N p 6 H x / j N 0 G n y h k j J 2 G u p O Q 3 B 4 f r c o b j / P D b e k n Y M Q M F r A u K l H h V F 3 H i R E m k O p x w W a k f A 8 h p m a C i H H f s h M t e M B z p W 6 k n K s n P Q O e o U G h 0 l m 8 e L E o l 6 k d 8 6 4 C w 7 r O M q F 8 G W a Q S Y s U R m Y Y N r R J w 1 O k t 4 9 d b n b A S L Z X U e J 4 8 U O v s G D + Z Q 9 X x f X H 1 d r U / 7 7 y x u L U A Y 5 E 6 r E j J G 0 E G p x o 6 a S B R M a T G m a w l Q t 5 V T 6 n s t 6 x w O E c 2 s p J a K / v H E Q A d e 7 w j 0 t W / H d / O r m y 8 p Y N d k m v b S 1 E O e k Q y k t T W q i X B p N y I R j Q P a S V d O f K F d v e Y D P Z m s p 5 b N x M v X 9 p Q z n t S h k 3 h R X h o f 6 8 t T i P s A W j t H F G G S + z H 9 F A M u u c y b G E n i 7 i a + g S P a 9 D s S + D 1 7 c H b D n A U K r W 0 2 J r p N k A l 7 S b U B Q p / 1 o U Q f r J 7 w 0 F 0 9 v 0 L H h 9 F R J G 3 D a V n U j J 7 z 8 v w L W e r B z s 8 s P 9 q B B H 5 W / 8 g K m Y Z 1 / H 1 Y 2 O t + H R z b z j g b W q 5 x 3 H F m v 9 S 8 8 O H w z M 1 N 3 / m 1 x i Y b Y L p J S J U k G h A A E l N a X q H D Y Z i S o 8 m g W o + F 9 r 1 G x 3 Q H u z 8 4 y y s X p Z L / z / f w P 8 0 D A q Y 0 d D u g w Q k l h 3 I o K 1 q 9 h M k G W L o N k F 6 J / t Q u 8 V 2 5 4 g F A q C y n B P H U R 8 n 8 z u 1 0 Y V X r s w L 1 0 A m + Y u X 7 4 w 2 D 6 d S T p W t O y 5 j 9 R D B Y V C x / c f g B E u d s B I q k s p E T S S V R P L 5 n z t L i + 3 k X E J p 9 p X E Q M + Y x 0 E R n z m f Y h R d P 0 U 2 F C 5 O 2 E J B n J o p x M U F N r m P 1 l P Z K A y C O j E 1 B u B n H Y n 2 w i t z v A q S 1 / L 8 1 C y q l 1 U k j y 5 b r 4 a H 5 N z 1 5 Z p E X C c j z y 8 P Q A a o J o K d X Q Z C y Z b B e C o I 0 i Y X + Z t G r H z W 9 5 q / z 4 6 f j 6 e k 1 n / Z f 5 b H F 9 e / R T G Y Z d K o A q c O p K S j z P X j k I N e k r P h t b y K b i M 9 h C y o p v t I V s b 0 i 4 8 O v Z V w N i Y 9 d a A c G F j i I E O 8 u O C q 1 K W p d 4 5 y Q C m + 9 d Y Z S 7 H O A k K Q s p B 8 n J b s p r h m s N 8 X t h I 2 c O o R K Z i P S + V l h 5 K Q r x 6 w g c r s Z S e 3 d T x G 4 H i G N n G S W K L 5 x U M i + u 5 / s c 2 M E 7 1 R P T p g S N m 7 e l E m U Z M w Q c 0 X u l R 7 8 K Y 1 p u e I B Y q i s p 4 X R w W i c 4 P I Y L 8 g U N F 5 O s 6 6 k V N 4 w R Y W z G K B f 9 n P l h y M 3 1 F Y u 4 C / g 4 n L F s R w 2 X Z s 8 D x H R 7 L S W q p y 4 y w t 7 M v s 5 N A y J 2 E E A 2 o c B n S C t k j l h 6 C t x D A Y g o s 3 Y h m M 4 u p n J y v w N E s 7 u O E k k n M Y D n J D 2 P y G 9 a z W z R u s 5 8 X C N 8 z A F L 3 4 g q m L 7 H w e V P M 6 S A X F Y C 2 t M X 0 q m 3 P E A 8 t 5 Z S Q u o k 2 v o G F Y f V w l T s 2 + q v i L l l i s O 8 E k 6 t I 8 p s S Q Y d I c h Q c k h 2 A u n K H Q 8 Q 0 O p 3 0 6 y k x N N N B R a t R Z k N h N a Q 7 w w Q m i T f j R B a W y C i y L j d / a 1 C 8 3 0 t w U q y t g Z S d I 1 Z G J D + K I D a B o H z u 8 + L T W g 6 R k E W k H r A j q s z S X j G Z C Q M 1 N W d i e r Y P D 5 l I L b b 3 D X 7 g 7 0 6 y w x / p b 2 c r d 7 N b l e L u w 1 y P A e L z e E P a H R B I / V Q K 0 1 o 2 8 B a o y y W 9 b K Y P 6 T 4 g s s W k p z j d N p 7 V q 3 z 7 / j / 2 V / l j 5 3 f J V D o j x + K x d 2 M P 5 4 e / X R 6 8 P n w h 3 8 K S k I z H h U c v l 9 d m 3 i H d p k 4 8 D 1 9 1 Q B f j G 6 L P E s n J O A 4 d 9 N 3 Z Z a 0 v 7 i F 2 O 0 A B 6 K z j H I g n E z D 9 W 0 y G x + a p k 1 m 8 K G R b b L R h 6 Z 9 X p 4 X T P i t D S D i m Q 2 I i G g w j E u Q J y R L 5 S B S z T g R t Z D w J 2 C q J S q t o X v X Q n L D A 5 y o 8 j f T L K S c q T M X k c R j M Z q 4 1 2 B i a 4 9 q T J C j 1 8 Q 1 W D 9 x H m 7 e Y M U w s 1 G y Y H a u d 2 F b b r j 5 H e / v k V M W + j s E 8 / l q f m v E E K 0 U 1 + l 5 i m o 2 w N Z F 6 F o 0 o x L k L m K 0 P h D C 6 0 x R S B u 2 f q i w 3 O 8 A o e y u o 0 T y 9 I V z / c 7 D i x f f V y w J 2 V f E A 6 O c O V / c P a R y R Z l S e h 4 i k Z 4 I H H + S h p r u v G n n u S 9 W d 5 u b g x f F 5 9 W m + C u 4 r 0 c X 7 s U H K + 6 o J 8 u 5 N w M 5 q r q e Q v 5 A n B 5 d o R s h e z A 6 3 N / L 6 1 + s r j + Z L j z b A Q J c j x g N C U D T e a i q p 4 s e G F o / M X Z t n i 8 d J n s T d u R u B 7 j u u u s o 1 5 2 D Q w O H F y f f d 9 2 J 6 T 0 P 1 h S c A Y Q g G V p v Y o Q W A j q D v F K l Z Y H W A 9 R w 3 Z 0 U 6 9 V i v v y L L j w X p / f 0 w J 5 G W r n 3 h V c D e 8 T s o f t O A H s j 0 7 + t v M 5 X i 8 + G u s u O f J M i P C y Y / t h c B + 1 t l y M X 7 3 l x A q U N L w m K s t 6 3 n d j s A J d d Z x n l r n O S g a O X C b B B M Z p O h Q H F k J 2 K E c V o z 5 I e T N L w u n t f a A 2 Y V G m j 6 j I 4 C S a l f 0 U e v T t R V P N 3 P P 0 M m V 4 2 R / O u f P e 4 4 O H 5 Z S e 7 s P g H v X u a f 5 D A o 2 H 8 G I e a T 6 x U 8 G A h x 1 D u Y I h k i Y e 0 A d V e y c Q L J i G e I O S v Y c 4 8 f O 8 W T b X f A a 5 z d S X l R j 9 x U Q P v + L r 4 Y i L 6 2 A 5 u 4 b O b x H 4 Q U X P c z 3 G j S R 4 m d J C C K E f A b Q c n F 7 n f A W L Z X U e J p J N j W 2 / x 2 D X q j b 6 1 G B o I U 6 o V I T a K 0 k B H o K 1 E t h M i S B N J i v r 2 R b b l f g e I Z H c d J Z I n b 5 0 D 0 B 4 C a G x M Q B u A p m I v 6 5 5 3 C d C M J q B t l v X 2 z 9 n a P I d j 6 y w A 5 S B P M 6 T M 0 D 6 U I 4 / y o c v Q z 0 a J K Z J Y 5 y 6 2 1 d W G h z h T 5 a + m W U k 5 V U 4 S l Z 8 j e T 6 X v b / z Y j 2 / v d n m + r y x o S m H w Q R / A Z h x c g 7 u 3 m g r V W j i x S H O 8 j T Z B R + 9 9 w R B t e O D c r 9 7 T L y P 1 J W U e L 5 x k a K M v v V 2 C L 0 S 2 n 6 q X J f 2 0 N 7 X e M 1 3 S Z v C g I 1 Y 0 + e R i x E q B 8 2 0 d R 4 h 9 8 Z b T h 0 Z Y 7 h A l 7 P v o 1 1 t t j n 4 + 2 t h q i s p n 6 S D r P n D 8 + 9 1 L h G I L 1 k y I B U 3 C B d F B S 8 + S 4 X t B W q m Q a P / p Y m T F g o + R 8 n 4 9 t v i z 2 I 5 / 2 u A Y C d 1 b p k e l Y X r + 3 X B A 2 Z s N 0 + t 5 J s i 2 B 7 4 B a W J H + f o j 9 T d F 2 b J o M p B G Q C n 3 K G C l d s + q D c 9 w N l 7 Y E H l C E 7 3 7 w f V I c v V x E P 4 G M I w O A q C + 6 w M s i Z g A w / r i t J z Z A d t W P F V / P / y 1 7 s 7 G V E P A N s g j w 0 A b E A e J Q A 8 I o 9 t a f J Y M 8 V K b S f F p U e M 1 D H M D F 0 a 9 m d 1 f e U J 7 R T 6 l H F O l r s T K b T T 5 9 h f y t B Z R r 2 s X F T a Q W l 3 O 7 2 s h M k 6 K W x v H L + y D B H M 9 o c a k + k / D q J x 7 K M 9 S / p m i o 0 8 Q 3 1 i A o M 8 g 2 y m j P I M b R i m q + X m 0 + r L z K i X / N K y Q m e q D b q 7 7 w m p G k r 0 O i + T 0 x + w A n c u h 9 p N D 5 C V a R Z T L r m X L t b p L + + K a 0 Y c / j B x n c 6 m 8 h 7 8 v j s v R G q D B w m X E H R t M I 6 v o g r d e s I I g + g Y Y Z z E f / e e R G l 2 P E B Q t 9 d S Y n o 2 d R C h 1 g u L P W X n M z h 8 V T D l e m X k j F h x 9 a M J 7 G 3 A D 4 z S O m 5 b S Y a s Q E 2 c 2 2 k I v d r x A F + N u p L y z U x d Z O v r s b R k + + B / d 5 M 7 O J y u 7 h a b t V G 8 8 N R G p x 2 V G E a j 6 V n S v c R e j x u l R O x x R P f z g L 5 1 F u 5 i T 1 p v d 4 A v Z m s p 5 Z M 5 d V G k / e L q Z j E z + S f Y 5 g M B h r I e I x 5 J j p N C y 8 C M 0 B t F 8 o c m j B g V 0 P v Y a 2 1 m y g 0 P E E 5 l I S W Y T u Y B r / D E X M + v P u + N b c D h R J U A n a Y 8 p u F S + q q X x z N B w w n Z n 6 w 0 P d E S a r X h b L Y 8 Q E S 3 1 1 K C 6 i T p Q I 8 H 2 R R P D R 5 k K J 4 k H j Q W T 2 3 x 9 H Y D + Y M O 0 v t i v j A 0 k q Z W u J C A f 7 K U 6 U Z h D 5 w g 7 F L j Q o x Q o b g l X I P 6 z w n L H R + I / Q 5 w t j S L K Y d r + v e B h 2 z Y t j U 8 Z C D b C n h o 5 N q 2 R w t j W 9 O L 9 d Z G i p U X C 5 U E B C K D g N R R C J n V C S U i C j F J C V 5 3 i e z Q 9 m a u i + 0 O c K I 6 y y h n 6 a 2 L I q y P 8 h w t y 4 I 8 I 1 / E v k k Q P O 6 p g P o T 0 s o I 4 W S Y P m S Y / V O P L v 9 w f 5 h 5 d x 0 l k k 4 W B S i M a E D z p 6 0 j j 9 d f + F W s l p 8 M j 6 m 1 4 S 2 s W O j N y N 1 H 9 w 1 v M X Z P + G B y a k x G z 3 f w b 2 / 2 P M D x 3 1 5 L + X K c b P / r B 1 8 1 X 0 7 v d k v D q 6 x G k h / k V S Z 7 Z G 9 p Z h 3 K a D z J D 5 5 + b A J S / / Y B r v 7 c d y L A 1 f x x a J g / D p k / D u M x D H P x b V x t Y B k H m j B Y y Z 3 V / L J 6 z k 5 3 G g L C M A q e 3 R s D 1 1 f Q G h p j 7 0 u p q a A N p 0 F W 0 O N p a N N 8 K E 8 m o N F K I j W M B X E i y B G k z k q q d 9 O i g v l H G g D V Q r Y g k t 5 p v t j u A O 9 8 Z x n l i X d S G h W 1 5 R k + K K Z Q T m 2 E Z E Q D g B w / R q c E M R k x u l S F E s / d B I k Z k O Q 0 z z O P B E 5 D 1 d S C j P W W B w j n 1 l J K S K d O y p V o S T I 2 l L M a B T E w z g Q K M h L O 2 u t R T 5 K x S Z 0 b k o w h d Z Y k m T F 1 b s O g n z g u Z W s 7 q b N F D / U E 8 R D z 2 J M t 5 i U 6 q N A x u C k F K F K T 3 T P E p b 0 s o q v q 5 b y T X n 8 L u G r H A 1 y g 6 k r K / e k k 8 n W + m i 9 v Z x u T c 8 r x u + 0 u f O 9 0 k + w m T n k K h Z i N E N l o 2 q i 5 N 0 k S s h 7 G u K U 5 Y 3 8 X 6 n r L A 0 R 0 a y k l p M f v H K T f 6 I E M G 8 H w B s g w E E f l g O j I H G 1 v Y 3 0 F r W F B 9 T 5 L T Q V d D W Q 9 W E G P y k J t G N 7 M f 2 d Q 1 5 j y W w l S 4 F a C u l A O h Q D x c G F 7 U F d v v j 9 B w A D W K F i t s C v p n f J X O x 7 g e l N X U m 6 3 q Y u S F H p E x C b X r H O M 2 o Z N d 6 w k I j L m m u 2 x u p w v P s 9 N W v y 2 b I I Q T i 5 i y S l d s T w V o p 6 S r C O m T N C + C x F k h d D L V H z V q 3 5 c i 7 / c 8 A C H S l l I P V M u U g l O b m b C B O i j 8 N 8 0 9 L Q u T m w S Q e E J Q G K P 4 E u a x x l 2 i F V I M 2 / i x 1 k C a h J w h Y r J o b 7 Y y P 1 t D x B Y 7 X J K e C 9 c V D i E 4 F J 8 L Q y B f X 1 h E 9 h 8 g g s A R u u 1 K G U F o D z L 0 d 2 j f 4 l T E K S 7 n U C v c s M D h F R Z S A n m 6 w s H s / t f F q v 1 / F p E c 3 q 3 n F / N / 5 i v t v t l 5 z Y l W 5 B N q L x j I k b s J M e 1 P q n B J E q F h m K I b p N Q b N K l N N q B 8 2 r T f 0 V / 7 e g X J 7 n L s + t P X 6 G 7 G g 7 l i Y 0 i U 0 T r g I e T N x J R E Y a a o v p Q M t 0 0 g V e Q h i m v q p C 9 7 H 3 b X l R b H u B Y b i 2 l H E w n d Z l e F e t i Y b Y u t S O k Y x K R I 9 u c x E n E H 6 V j X q M I h F h H i C Q w 2 Z L f W / q u 3 v A A A d 1 a S g m o k 5 R 0 L q 1 v p n T I L p q I r E D t 4 x Q y h Y a E R 9 M q E v p O f h R 4 i D w J r Y 8 d x g v k f g c I Z n e d v 0 M k 9 Z P U N j z 0 u k l k o K G L J t H I Q m 8 r R l 9 n o B d p 8 D C L 7 o S e / a c J t M 0 a Y Q m l C i O u + t / u U M e M s V l D q 1 6 l g X A t 1 t A T r W w 6 p 4 J g J V 6 k 0 N A 6 l U S r s X d a f z j B o X 7 w 8 W l D / R x F u 8 1 K z H 5 c z T f f t s u F D 1 a D 8 w n j j Q G T 1 U j Y d b C a L J j 4 S U y 3 D l H Q K C V t 6 Z 1 q V v s 9 O G G 3 e 6 w Z j r r r K C / Z B x f H 5 X 8 t G J F b m X C 3 Y y u q O k P x Y o a H q k + M q n p 5 A 9 L E E z F v g D 6 V n y O S I G c R + j k h V T s e I C 9 R V 1 L i e e x i H X i 6 v J 4 X S x M 2 Y 0 s k x / X A a / l I d T z T H B / O l K Y F Q m Q i + e z f f a 1 2 P E A 8 1 Z W U e D p J I r + Y r + 7 + a y j q b c U a B U W Q + x Q A V U 7 U t a g 4 B u t I M A t / i 5 1 E C e R + B 4 h l d x 0 l k g 6 q N U K A 1 h L L b J i 3 d c 1 g I N 6 K m m H k 3 b b J 0 X S + u b q Z L U x T q 2 d W T Y l k A k A d I E 6 u 2 i y J 3 I U W l G C s 9 B / L q r c 7 w I H a W k o 5 U 2 c u N i I w n 8 J 9 y h R N O 0 w l n M Q Z o g 1 J G A W I 1 M l H r U b I v D T n R + G u n Y h q x w M E V F 1 J i a e T C B m N g O 1 i I n x a w q G + p N e U q T a l s N b z s B w k 7 B A n e 1 N 1 G s Z U J S u l 4 x R I x l S 4 x / r m S S a 8 y u 9 Q 8 4 9 6 + t E v 3 C K 2 P 6 f g a d E b P e p h 4 5 7 Q o B 7 k 1 g + p K k r U Y 3 R P a B 9 2 P Y v H J g w N i 8 c Q B s n i G c P Q h u H 9 3 d V n o + H 5 5 Q d 5 I r / v E m Q c x v d p P u I y G s a e k D C o 6 h W q T 9 H E w m T U z 7 w k q S L 2 O I e n 3 O 4 A j 7 G y k P I W X 3 5 w k B f w f L 7 8 d F N 8 M d W e N q N N U U h b C h V 6 C I 2 C z o 0 3 S R V L B P I m I f S O B P c t O Z N e g b + P R 7 P a 8 Q D h V F d S 4 u m g T 3 Z w e H L 3 B e L q I 1 5 q d s B t O h H e W + T L H R 1 6 Z t U w Q o e o h f i Z N J 7 p D d u 2 W x 4 g p p r F l L A 6 C e D q Y Q U b + m o N K x g m p Q S s M J J X 2 2 d P X 1 N o p J N s a o p E k 8 z G m r 5 O 7 5 o i q a j l s W E K I w n x U R + n M N p Q X 6 5 W J g 6 H n Y 1 6 N I n i O E S k q W O j z m Q T 1 D n e S U z v J N G 1 d 3 4 j N j v A 1 d l Z R r k 0 H T R R D w 5 f r m e z p U k h 2 s q H k j T V w y v E z 9 M w Q O z T a z x F s 2 S S I w E a 4 2 n o 8 6 d 3 a G C W G x 4 g l M p C S j D d F I X U C r z Y X I x N B W 6 4 G G U F P l 6 M 7 c W I 6 Z w G b N H g a r 3 f p 3 r 0 K T D Q P 2 L e p 2 C k f 7 R h O L k p j E 5 T Z 1 Y q 5 t 4 k R j 9 E G A s G P F P t z A W T 4 g h S 0 C n E P U y o n P e 3 e J P 7 H e B i 6 6 6 j 3 G t n L i q Y v / 1 f s T b x u a c 2 f O 4 Q k g 2 k f J r 5 G R P w Q C Z c d e V A F J x 8 B O G g a 0 A A z n D t 0 3 H y t c o i c r 8 D R L K 7 j h L J q Y s O u 4 / l j J a Y W I C V n 2 D S Z F 6 I y W K N i W U + 1 X i U M y q a S A O S v k N Q n W R u f 0 q Q n W W U I D q J h 0 2 x c T U S p X 6 x I U o F O X A Y d l d p 7 v u I e 2 I r V 5 1 H S G + M u G G m i Y E 5 f 8 U O R K l y w w M c S G U h J Z h O j s v o O 0 N P W 7 C f F F + u Z y Z m n S 3 T I I z A H e A a y F m 4 R g c j T W A a C E U T k K G Q x 7 r / B V 5 u e I A P R l l I + W C c Z B p c M t A K F P 7 L b M G I X E m w 2 4 + v s 5 y z A v n O I 0 E 8 a M f / c 3 9 C u L k f c m g I k v 3 a + 0 J n 6 w f N x g e w d x a / K 8 2 C S p i d d H n W F z E 2 a G p T x B j g V F n E j H h q W 8 S 8 3 d z O P q 0 M r a e z 3 y z a i B H e 6 U I I n Y s z h 6 2 V N N Y C a Q x w Q y a F f z V u L D v l v n L D A 1 y d 5 W + m W U g 5 U 2 e / O d h I 1 D M k b M 5 U g 8 8 Y z p T E Z 8 Y z 1 Z 4 p 1 A a + Y d N t Q j 3 t s A G f D J Z U B F 8 q F M V L J Q 1 Z U Y o J Y Q y U K U L g 0 Y m x j Y r C 9 H h D t 9 5 y 8 7 n v r x z Z W k o 9 W S 4 i B O 9 w k l 4 t / r g x X J R 2 W m v J h B w T M 0 N q D 9 I O x j R q k E B I E a V x K i Z O p W d V J S D 1 e E j r L Q 8 Q 0 q 2 l l J A 6 q b V 2 K p U Y T l Z 3 S 9 1 c l R 3 b H 1 5 F B j J X 0 S o k R l d C P k j q M V E F 1 T U u + / M V o f z x a L L b A Q J 5 f x U l h n 8 j p r 8 N F 6 1 u y R u o a K I l P z L R 7 j 1 3 s + V m b X r s b O e g c g b X v B S N 7 Z K + V N 2 M a Y r E N q + g H w L h 7 M B E O 5 H b H e A w K Q s p 5 8 n J G S i o Y N u d p a r b 9 H 1 E w o b 5 Y G B T S + b D y K Z u T 9 Q r V I I W 5 q r M y l f Z n + S I k A i R X t G Y S O P a n Y p i b E L D S f h m N v J B / U Z F q x 0 P c K r U l Z R j 5 a S r 8 u M k C B t A W 5 i N Y Y y Z Z z 5 T o Z H Q Y a t z R w 9 6 J 5 K y q Q / T R e g u 9 6 Y D K t y E / R U D y k J K M N 2 0 q d K O O m h I E B Y M N C G 6 N V t e m R 5 V O / p T P M n w M 6 P c C J M o i D F 4 r H s g e G T z I U E t R d 5 5 J 0 i 7 3 v I A V 8 D W U s p n 4 y Q R S o 9 3 a j 6 b 3 U k b B u 6 M x D t H 7 k z 7 t O K v f P d t Y R y c s D I S R 7 0 N / i B N L 7 o K K H q 1 M g x C N J 1 7 O P J 9 y k J I + P 3 H 9 u s t D 3 C y t p Z S T p a T F 7 L o b 3 9 c r U 1 c U d u Q Y g F J B e J n t I T u q 7 e J T j K d I l q A Q D R h b / p G v e E B A r q 1 1 N 8 h o N P Z 9 d w o r G F l 2 k T / n 8 E m E l y S J S D U k K S o x G b E y J M n 5 m N y 5 H D w b 6 w g 7 8 e x m X K / A 0 R T W U i J p Z O + T Z 5 O O s w v q 8 z v q y g r Z N Q 3 F J Q 5 V n R j P d k + e u d 3 m 6 V x v s y K 4 M a T h 9 Y 3 4 M w 9 T + P y R G F 2 7 C e + 0 I 1 m X j D e w T q r 3 P A A J 0 p Z S D l R T l L c z m Z f R R e i u N 0 s T P X B C x v 2 K S U l R Q H e x l n O F G g p N S t D S t 8 W K X A c Y X Y U u G T T B + W W B w i q Z j E l s C 9 c 7 D H p 5 8 s 0 k g y 9 K 4 Q a z K 4 y E 5 2 S g Q C z 8 1 H I o D F P P V n d b u a L h U n W y 0 r d O U w n A S d L e A m i p h 8 w t V K l H 1 y T E 0 o G n 6 r c y 6 U G S l / W U b 3 l A U 7 W 1 l L K u X J S 3 f l k X X x 9 p D 6 Y n t q Q X L B H y E K c Z G r Q t J 6 v z v g B l S B c 0 l 1 N 4 u s t D x H S 6 r f T L K W E d H r q I t F F O w G j k R v p f V U 2 5 D G D L L A E U 0 Z d 4 D a v Z L B u u 1 3 k 2 Q i t + R U Z 2 y C 0 5 m M 0 P Q q t 3 Q u C d i j P 5 i w 0 p C / D W Z C k r / E s t G E o v Y P M A q 9 2 E m k B N p o B 3 C A 6 3 n K o t c 4 c 8 N f E 0 C M g p f B E Q r H D r G u z 5 + b y 3 1 + n Z 3 s t 5 a F x U i Z t O i + + z J + 9 K K 5 N p Z b d O A o V l U f 5 z P R Q z O g 5 w H H d i m E C E K 0 W + j R J K K y V e l O F 2 j 0 P E F b N Y k p c n Z x K 0 c N S m q m U 3 g l E D U t V P V Z d r S V g q W C s t Z p a S 8 8 2 s U k f G r a J I X + Q b J M x g W h f L q h V m i z O p j O Z V s C D o T G Z A j y M f c k 2 C J f F 7 Q 0 y Y I / 4 c 9 t 4 g 0 V w T x N P a r l J Z x q J 5 z H W N o E 5 Q l e y / l l f 1 K H d 8 A C v j G Y x 5 Z V 5 6 6 K d s 9 4 3 R T O P Y U E V 0 d d g N h T Y u g Y z U G B F D T Z S Y N v T e 3 x d f L k 1 z A a c W u n 3 R R P S Q 0 g D z E u h d H M P M v S x V K X v z I Q V n A N B 8 O p 7 e O V + B z i 3 3 X W U I + u k d t / 7 1 d e l k R 1 y Z h X K D K g w h h 8 S U K o J y k D N u 8 q h E k D H E p p F I I k i 3 + 8 b y n L D A 8 R S W U g J 5 t k L B 2 H C d 8 V 8 a T q W V j y C k H o 8 h S 4 Q R 1 H I 8 w l v o C Y S x L j 9 h V h z Y L o C s 6 5 / 4 S a 3 O 0 A k u + s o g X S T R Z B o U l Q r F k F S p 6 g G G k E i c t S R R 9 A + c / q q 2 a Z g q 6 t m Q 7 0 m q u a x X L s X B O 2 M h k 3 C 1 1 T N h o x P V s 1 j y t e G A Z U r o f K 7 t + c F m h o T T z h 3 i Q F 6 p u e F B V v J q q G r S P K A k h T 8 N Q k X 9 h v R q D c 8 w A O z t d T f 4 Y 3 R C 9 U 8 c b G m 7 V v a w I 5 N 3 9 K A O 8 q + 5 Q g 8 t m f 3 T T F d 3 R l H F u 2 y f F G W J f R o M g 8 L x b I u K 4 9 u B q Q v e H B e j I 9 3 O X b R 7 / B W O x 7 g 7 K o r K U f X y T z / 1 9 n H j 1 z F R s 0 w u y F U f w L P 2 0 d 0 E W s p Q X 2 r c 3 0 U 1 7 m i G e Z G x M + X W g x 9 6 7 Z m z w P E d H s t J a p u D q P q n H Q r 2 6 L v o w 4 L e V N x E E 0 u t w F J f z j K n L a X 5 e P D i z Y W t C g E g X g E U Y r s X o S n e l K 3 P / O I S T Q c E Z m 6 8 H a 7 K 5 W Z w v 2 1 t J W F l D P l p m C C t p C 2 S U C a Q t q Q g M h C e k x A 2 j O l d 4 5 + W k N 1 B C y 3 2 3 q B h k 5 s 0 X y Y r p a b T 6 s v s / U 3 A / j 9 / s y C X I l 6 b p T j a I K Y S h a R T N X k i B S F l Q D p M J C 2 v J J A 6 p d J t V s e 4 O H V L K b c E u / P H M R N 9 U x 0 z e f Z m x 1 R M 9 E r 9 S I d O 0 I w 0 b O R H d G w I / T N Q w 2 v z + L 8 6 p u H m p q 3 d 6 D r 5 q F B L 0 4 0 D 0 e 5 u H u P Q a C 5 q C P N a b M J t D a X t g l 0 k 0 s b I i 1 z 6 T H U b a g v 1 / N P N 0 L d d l + y Y w g 6 + C E j y h n w Q + T V D N E 8 n K T Y + O X Y B g Q R Y 1 0 i y e 7 3 W p Y b H u C l V B Z S X k k 3 c 2 n t a K u N D U f d D e G 1 F O H R v Z K i G z J W p / d O F N R c 4 6 z 4 1 C b 7 j B J s q Y H y h C B j S 5 q i N K V O 5 X g J 0 v V O F h y X c r d D H K f u Q s p x m r q Y d L 5 C i B E G 3 P U e U T w G l X 0 C F + B 2 G a E B E F V Z 6 T O k 5 D q i N / 0 9 V d p N D x B U z W J K Y J 3 E 8 S 6 L b 0 Y t 3 O m F T X 2 I G 0 4 E g z U G b I c / n + d N h Q j V J o / T O P Z K T a z + 4 l d y v w O E s 7 u O E s n p h Y N 1 4 c l q e Y X Q y l x M x + 5 H k x / p f X z 5 M j x x u r b D a P I z d 5 4 F M K b k P P o O V g v 1 n g e Q 4 2 9 + P 8 1 a S l T d V O L X A k V P X H 9 o J w V t O O Z 1 o W n g m I t C c + S Y t 7 m S H l H Q J K w W h e a b 4 v f Z Z m O a l n p t d d 2 n E 5 8 r A O o D S t l y L K p m R c S T I E f J E i w w F L V P 3 w K n 2 u 8 A 1 7 2 6 k n I 1 v H b x w k d 6 f B t D r u Z N L V t w B s a X h A 1 G y t f 9 g 6 t B i I I n v q G 1 1 a w N Q l R X s w a A S F S z I z 7 U B l o / i m V D s K x H s Q z H T Y x i j a e t D c J r v B 7 m 3 1 Y 3 c w N O Z 4 c q x G h E Y i K I M C + i I Z Q s d c 2 S 4 4 r D y 8 Y 8 M G Z i W V r F 7 H E B u m b H A z x j 2 2 s p D 5 m T 4 E L t U G E I 6 b G V B n N I + k H i A b u r Q V g l 5 S t D 1 S f O C X c Q + L A Z d r B r r b c 8 Q E y 3 l l J C e v z G w W K U c a f t 3 C S 1 o T K I + S k R N O F S 9 R D + G v r / O E h H K k N 7 W + p p s 0 9 b V F w U y 4 1 U 5 F r f / c 9 0 g v 9 j B y T F A I M R M K 8 Q b Y o b K 3 l E Q R H L T h J h / R o I z f z q 6 3 j 8 W p b b P j h h 0 w O c Y c 1 i 6 i n + j 4 O n + J c 1 F J K 5 e e L O R s k Q c c o 4 Z O o Z m 0 f K Q 8 D 8 m l + G 1 C s E M 2 5 r / E P 4 C 6 Q E e r + e W L 3 l A Y K 6 t Z Q S U i f d t P U w g + Z i t o A Z 9 I W p z R B M 0 8 8 2 D M H I w n Q c g m k v / 8 e N d 3 + 1 u Z J z F I + Y b a Y D l 2 S S 5 V W B P S k N O H G g Y d d H M E e R P O o L 9 y h + u P v j h i o L q e f 2 V w e v Y r 1 7 p I Y w 2 J s M 1 A i J V X w D X U N b C o m N C q T t m f K 0 F F 1 N Q t U 7 D A 1 F 1 8 A r k B T d k V j Q h u E c C f r F 3 p J N f D o 9 x s b z t L J 1 r O d J f N / H C D J K 0 y A M d / P F l f s d I C X p r q P c a 8 c u p p i 1 m K o h m F b 6 5 0 j 6 i j g G e N G F 1 A m N + x K R Z D x T 2 O m U / J G K + / p 4 3 V B v e I B o b i 2 l B N R J B f Q T v J F u b w o p g / 6 A f a c d m O N D l / O F B z w Y X B p i g 1 S z z n F p p f 8 c 1 I e z P 0 + k 3 v I g I S 1 / O 8 1 S S k j d B H P i M s 8 o r r / M 6 z v 4 U M e B 7 f 3 o 1 Y V e Z K C c x / Q f R s 7 5 s v 6 F B 4 e X 8 1 t T 6 / a D z a Q X k x x U 4 B w f r k n Q U J m 0 l x A p J v G B z 6 F C J T v 1 0 h 1 k j M R 2 m 8 9 8 f 7 l 8 Z x n l N H 0 4 d j C T x 2 J 7 v f o 8 M 4 X S T o o 2 Q q 2 I h w 0 B g l T 4 R U Z 1 + o L i O e 2 L g G E + / J I E p t I b K 6 u 3 P E A 4 t 5 Z S Q u q m E G 1 x s 1 p C j z Q k M W 9 f W d T a E T 7 j f o S d f B J g a I V 4 U R N S b 5 I S 0 j C N s l S y X a t a 7 v E 0 Z l p t e Y C Q b i 2 l h P T t K w d P q b 7 Q s + m 4 N 4 W e o e U u C 7 2 x 5 9 6 + e a 9 W Y i D j 4 o 8 1 p 8 u k 5 n L 5 m 8 3 x Y g L D F z O M A d Z j 9 8 X C h O V u h H N S 6 n F f i l S z 9 4 3 J v g + q X Q 9 w w n S r K Y f s 8 j c H D x k K h P O 1 4 d J 8 b R N V K j + 8 P W g g J F 4 M 1 1 h m L n X X l 1 s U k z m h D p f T y + 9 d + 8 n 9 D h D P 7 j p K J F + 7 G M m T O b m / 6 Y D a y b B n E 2 E I i N h A J d n S 1 H z B J E p S f D y h Z I Q Z A i C 9 3 7 9 y w w P E U l l I C a a T + u s / I 7 / z 2 W S y d P b B 4 r b F v g x N Y + 5 T H H k 6 V g n w b S Y B C p w h S h N 5 6 C d R b 5 n N c s M D B F N Z S A n m 2 Q c H 7 9 g 3 I p A X x c L o R 2 e l t R l g S 4 0 v V u x l v p 9 i W J 8 2 I F u O f D U I W x w m p a 1 u 1 b 1 7 P D t 9 U x z I L Q 8 Q 0 q 2 l l K A 6 K b l 5 X i x X R h s 0 u 7 E d 1 F 0 Y 6 I C y H T V m q + X L y d G N v S T i 3 U z S l D K k d 0 D L D Q 8 Q T m U h J Z h O D u 6 8 n / 2 3 M D 2 d b 1 / b 3 L b J J I 3 S P I 4 r W E c I 3 s p Y + h 7 j P D l 5 L b 4 m J U 7 Q t 0 0 r 9 z t A K L v r K J F 8 + 9 r B u 1 Z P f N C Q K 3 o D p Q 3 x o a o 8 d E 1 a S X w Y W W 9 t 0 a h n v W l 6 5 R Y c l 4 v N 7 I 8 b s H x D 9 W J 3 b g H r E C O v z X k l 3 1 i e 2 z w l F 6 Z I Z Q Y v l F B Q 7 z u 4 3 v I A R 3 d r q b / F 6 d X q f 2 o + m 9 6 n t 9 H / N F A s p P 7 n S L F o T + / z N S r / h m N 1 a W k H G q V R g p N r x Q W v p 8 w z + s Q 5 E 6 w Y z I e 4 O e y Q 2 s j 9 D n C m u u s o B + r S S S N Q r X e R D Y Z a D 8 w Y I F Q x M D M i q O 1 x 4 i r + 0 / x O X d o 0 D i O K P 6 h + I e x s 6 Y s c 1 s U f t S A P F U q 6 2 G m U r h l 9 8 8 t q x w M c K X U l 9 V A 5 2 T 4 s 1 r 8 b V T i m 7 y 3 K B X y o A t F f i m K f k R l B 6 2 z K B Y p 5 V H Z J P J L d 7 G x O 5 I Y H i K a y k B L M 6 X s X C w Y t n d A m 5 W i 6 T I a U Q 3 a Z x p S j v S N f A o 9 J 3 Y y H l L + s u r c h 6 D W n J s S G X A 4 U C p C 6 h F M C G E s J K p n 0 5 K M E S d D e j Y h y w w O c K W U h 5 U w 5 2 b k 9 n x c b o 4 q b z S g h E y s e 5 S V M 0 I C + Q w a Q X c c S 9 f j c B x u T e q e 9 h 0 P l Z g e I Y 3 c d J Y y n L k 4 Q S n c y Q x l w a p W 1 Q K g I R P S 8 B N 0 a m k f 1 k U Q 9 T M z 8 w h X N / Y B Z m f 5 H U u 5 3 g E h 2 1 1 E j 6 W L G o k f F b O R l G l T M o C 8 j U b F R Y K Z 9 5 N 7 f r L 4 Y c W Y 7 7 Z d 8 I k Q s M w w Q E 4 R r k w 7 O z I Q f L g x 0 4 4 U l T u + u X r n h A Y 6 U s p B y p t z U f t F i V R r R k d 2 x q i o J 0 S H N E q s a Z a D b M 3 W 8 v H 7 M 2 s S q t R r 6 k w z D S c 9 n I E V o W Q r V i R I F x p i e i W i O E 3 Z T A g / u P W R X b 3 m A c 7 W 1 l H K y n G y t 6 g f t b E 5 W M 2 h n O F l y 0 G 4 8 W e 3 J O p 9 9 + Z 0 h L 0 M C a O c C l U 2 g K k S I g g i 7 V 7 C q m l F E e y U W T r 4 Q U d I 8 w 8 W g 9 3 N V 7 X i A c 6 W u p B w r J 1 2 g 9 H x a m 2 P V I B 2 G Y y W R j v F Y t c f q Q y F a K 8 8 h e J l a L M f v L C D E E C v 7 D P n l + m S 1 t V U w E Q 8 V / R U Y J P E u o g 7 s + k D u e Y D D t b 2 W c r y O 3 z k I J J 6 v b m c m m 5 d T G 6 F t A C w P m i y O y Z X 8 V X 1 Z 0 j Q T z i 9 0 y w i 3 k L S v W A q P E 7 z k f g e I Z n c d J Z K n L i p t X 8 6 X 1 7 i X G h 6 + E y u A n 4 w y y H P G g j C s F / r o N f K R + t A y G Q H z a I 5 K D n x v X k G 1 4 w G i q a 6 k x P P E R Y j / 1 e q P z / s 0 O g 8 n P l g V V U K C c H o 7 3 8 w l n I R Y M 0 U Y o A t 9 / N 7 Q c r X f A a K p r q R E 0 8 3 q Q K u 5 q v H 9 6 V 1 3 N 1 i W 9 7 C u m c S y v N F + q b F f A k e S G U p n I r m S n P s + 6 d u q z y l U 5 h 5 U l 8 N 7 c g Q U 2 1 z y / 7 m b b 7 7 I f P K h t p k t C z l g I p m Z f j r R U V w T d X J v A n L P T F a E n n S e 9 C 7 P q t 0 O c K + p K y n 3 m p M c 5 N 9 m i 8 V K a D Z M Z 9 f z q 7 n Z E s I m l 4 w i Z u 2 E p a i U e 7 t n 2 x K L V F K Y j d J Y E + b L v V P J c u s H 9 c Y H C P B D K 6 q B d j G 9 P J + t j X 6 Q d k c W J 2 Z m s A T V 3 O N 4 d r q j g l 3 n l X N 4 o j f Q T 8 1 P 7 n a A i H b X U e P o o v j 7 y 2 L 9 c T 5 b X B v q B D s i U D q B z 5 X 4 6 O N 2 z T 4 o E A R T M m N u Y M c q v t 7 y A P H c W k o N q Y u V g q e z G r T S z A 2 q r M a k m R u E o 2 b u l / k 9 m Z X n s C W N B D t b 4 B n O Q Z h x T 8 q B V T F 8 X H Z 0 a K D S O k W b g 6 w G 4 k F / g f F y w w O c K m U h 5 U y 5 C T t r K c g 2 s H N N Q T a g z o K C P I L O b a G g r 9 Z s i u a 6 W j P U z F x r 4 V g y t 0 G A 6 z w z z g D b X W s p S v q J H z J q S M 4 Q 3 J s B T i e C 3 O g j o Y E o k S D H 9 c 3 9 y g 0 P c K 0 p C / 0 d r r U X x V f z G 2 W r I A V s y P h v m n u x Z I P X J M e I / N 6 D x A q f h y b O D n h / u e E B g q k s p A T T S f U o Z u S 3 w a x I o y l r M a 5 4 P r t a m W Y V 7 V g q q F B l z B O j p Y I G Q B y 1 M w M B h x + V F Z / p k B R N O X 7 Q t + 5 j u w N 8 L f L X 0 q y j f C x O A t D P i z X z c Y a q z + 7 k h 9 R 2 l O 8 w + U S 8 G h J f J h S S Y K l T E m b Q k c L + 6 E y 5 3 + Z X v D 8 d Q G U h J Z Z O H v x 3 N G 2 L O 0 M s 7 Y y M o L j Q z 0 P G O K N D R L X O y 1 t z x z i t t O i D N O J P 7 3 C L l x s e I J j K Q k o w n T Q x e j P H f n V h Y l X Y z Y P H k 9 S j c S v 8 M j p 9 2 z y Z Z O g i R U L i O E T 2 s b 8 m R 7 X j A c K p r q T E 0 0 0 t B 2 2 L q W w 7 2 b W Y q l d Q R 7 A V R U s 4 9 v m a P h 9 D i N u p U a i Z j 7 N I j c B a t t c I N O M J N m s E p U 1 g p 1 9 Z / b n v + 5 j q p 7 n G 0 n V f U 4 D F b j C a B 7 Y 1 M O / g d q g 9 j Y O j R a j P s U x a b V Z X h m f d 7 i G g g Y Z 8 o Z c F v A d J C P 2 7 f t a T C V w s / J I y j + E 0 H o r e l X a 9 5 Q F e g q 2 l / h Z P g b Z A 0 + g Y W H w 2 r 8 j r 5 + a a 3 m o I l c F F 2 u h U Z w l 5 / H 3 e V 8 Y o H K M 5 e K e V 8 t 7 1 h f I 4 h 6 / e 8 g C f z d Z S 6 m f j o o T w R T H / Q 9 I j p n d L e u p / F I v 5 5 t v 2 / T M 9 l 3 + u 8 w z o P 6 S j n 1 7 O V u 9 m t 6 v F 3 W a + W h 4 s N o c / B C E W a s A 0 Q o 8 t p 9 I u L 4 M 0 I 9 q E l X F U O n W + 7 i b w d S / G t L i + + V Y c n K + L 6 9 n t z V + R i B x N z / v T a 0 / x g i 3 a v / z H 4 + v r 9 e z 2 9 h f R G L 0 9 + u n H z q 9 L / d / i L / h Q L O 5 m / P H 0 6 K f T g 8 + H P / x T P N D 3 e k H n N / M F v 4 r F H z f G 8 f B z q 1 l U R o o 9 R L z R T o T u U m q Y y j o t x Y m W j B 6 v W W S / d 5 L e v 7 / t A U 6 n d j n l h J 6 7 O J m K 2 P y X O 6 N s + 9 l v 2 4 e z N 7 U v C u B m + h C n Y + p w 8 S D X T 3 W K K F + C p n Q D s v R D x a r t D h B R d S U l m G c u S h C / K Z Z X x e 1 m r 2 6 V a R Y h 2 I D 2 W k T + d T / v Q g y T 0 + t D c Y k E o 7 p f P J s d D x D R 7 b X U m P 7 c X q T l j w 7 + e z v / P 8 v 5 4 v A H + c U f / H j 0 U / X 3 / G s 5 3 8 y u D y 4 2 x W Z 2 2 / 5 t T 3 / / 6 j u H N o K K d e e w o p f p H k F R h I 9 y i m 3 V p C + Q N e 1 b f d Y i v p t H H 1 p G x r c z I 0 9 T 6 P e + f P 1 q V L Y 6 j b p A + 9 T H o w x O G + i X d 8 v l I z X I y V u L 9 5 A 5 I t Q B e A s z X B Z o J i Q M L c t M x / f S C U 0 F D I C h x u w 0 r V B v e Y A b d G s p 5 Q I 9 e d v e h M 5 c o G e r r 0 X p z v 2 A F 5 s d F k E e A + I M 2 M C L e N 9 i I W c 8 3 U / D L M 4 S S Q b o 3 y 8 q N z x A O J W F l G D + j S B p D X z V + 5 K s X 8 O K k K u 7 J M V r O G K I 7 S X p a a F c T b e + d x A a K N f g A C u h 3 N E B 9 l 4 Y t A m D D b G v T h g M x D 6 R M I z E v n t B 0 B p D a l o n v c 9 C Y w x Z Q V a 6 G 0 k a Q 4 6 D W G 0 Y p v P i y 9 z Q b 7 A a / g Y 4 T h P a y z F i G D E T O n W E n m X J x M M / C R w D u Y y d f N 7 l f g d 4 4 r v r K C + 8 k 8 P f e i r Y 0 5 Z a J 8 X i h m T Q 8 L 1 M r R S 2 A + w n E + w m o s h D Z R v J g C r J z 2 J w T q a + I u a / Y I l K L a N + O E m 1 4 w G + G H U l 5 Z u Z u q i y j V E O Q j m C 3 F f 1 G e a r 7 V L 6 X K P o Y V G u X x Z / i I F B w z d k L c 8 Y e h Q U U F p q o / W S u o T f F 6 2 q I B T C P P 0 7 V d V 2 B / i A 1 J W U D + j U R R T 8 5 d 1 s v T T L h 9 i 2 H q E R I w K O U F m t A C i j S e s R Y l r g M U 0 G o 3 g X Q Z h 6 y w N E d G s p J a R O a u D S 1 1 q Y 9 W B e W O A 4 Y o Y X I A d 6 a N P A K G E c X 6 h O J P S q s i x O S 1 X V f j d 8 u d 8 B o q k s p M T y 9 I W D E M 6 L 1 W J F V 9 N w 1 9 q B c g x o x H 6 C R y Y v c i Q U z x p Q D k n j e / L 9 f m / 2 d r X j A c K p r q T E 0 0 l I T t / T i C z O Y 4 3 i V I o 9 u p p J o D j R X 9 H P f 7 C J t M s P n r 6 x 9 H J R 3 N 5 e r a 4 + G 4 6 V 3 U w E O k u U T R 6 q 7 z l q 4 e G 9 Y + V P e A 0 Z 9 Z R v o d d / K K L Z 8 w A H a 3 s t 5 W g 5 O R y h 7 1 R p 2 o U W q e + j A g p W H R I u Y 4 9 J i 8 r l v Z X H y H L h I c A A H V 0 T p E + k Y H m / p 7 U r b b C / + Y v u O s r X M n W x N 3 K 8 + L 1 Y m k T z 7 E z F f R R 6 s V G h T q n G L J p 3 F S o / F Q y t r i B M I Q x U s O / j h L t y w w O c f m U h J Z h O W o m T v 2 x X v Z E G O d k d i j Q M G U s o c p w y b q F I f X f E J r l p u i O G 7 E Z 2 R 8 b 0 p g 0 D w 5 j b p y H W h M H i I f Q r 4 n x n p s H X N M I s 1 n j / b W H k c 9 m l a C D b v L U h L 2 q U Z y V x q 0 S Z 8 D + G j A k T w c s Y t 2 J + r i + j S + 5 3 g A u 6 u 4 5 y P z u Z m v 0 6 F 5 K m r 1 a f P u 0 r 4 w 7 g k D D + k O E s L 1 7 V p F V W g X Z C g 4 J n O M 1 2 c 0 x l 0 w d i y w N E d G u p v 0 N Q / V D D 2 g q e d j B C X y 5 r r p n e D 3 t d L h v a 7 a J c H r v t 7 X t y M f s d a u 3 c K P Z o K x r u 5 / c m U O p 7 G P W J P B U U e K H R L 5 T E + x U 9 z X 4 H O L n b a y l H d w D B 8 M 6 g g 5 w L E S r s D H 0 n y L F 0 T e d w u A r Q Z 6 / 0 O 3 o r 8 W 3 / W + 6 v l N x e a / j f a H d 2 p M + s i D 7 1 t S F D N K m v g Q w h U 9 + R D N F e V e f F + v P M k G N Y k S H C n J Q R K g T S C S E 6 l / f I E M g l A u V h K Y J z i N Q v 7 X t V y f 0 O c E 1 1 1 1 E O l J N k i N P r 4 s b Y Y r b q Y a E 3 i / p F 6 M N e l e S V e p w D 8 f t J R B x h u g T e T k 1 J u d 8 B I t l d R 4 2 k i y 0 s P a 3 l a X F Z 0 v 7 t k r d S a 6 c j I i f 9 D m 6 u q m E W Z Z S S + 3 3 7 C U 2 r R F E o t I u 0 Q 9 d X S c k U g z F T b K 9 f P f K g 4 S h b o A K / z j 5 + 5 I Z / U f w 5 N 7 V F 7 Z S Q 6 N / g n o D 6 u P R V S P O G x h R M O v d 8 f x a K 2 P a B 3 P Q A l 4 R m M e W m c F I S y c s 0 F a V O 8 K N 3 t Z d V c 0 C h Y R A o g 9 c b j p N A 7 S m e F u v b G z g k h j z K 1 i 0 U I b F E e A o h D C l m Y 6 v m C G p G c R D k E E 0 j V K t 2 k Y u s t z z A 2 d p a S j l Z T j q G 6 r E a D Y 5 i c T F f X N 3 c P Y L Y 2 g 5 U h 0 I Z G W 6 g X 5 s E S K S A g W r h X Q T w F 6 B l I e x n + 6 b f 9 Z Y H + G y 2 l l I + G y e n q k 8 W h a l F a k f z D C e M U c c g 7 e g f A O + 0 i C 3 K B 0 g Q f g f T U 2 x 3 g F B 2 l l H C 6 C T H U 4 + i a p D a 3 u 9 q j a J W x r O 6 5 F i g q M l I O m r U z N 6 s 7 v 4 w v K h n P 1 t w w C L s 2 1 C U x 1 a F i U y p A 1 i / q D n K z F G E K T e E f G E i 3 B t E F d s d 4 C x 1 l l H O 0 p m T o g R a q o G m m u 1 9 l u q Z m s i g S i C p B q M s Q Z u j 6 v F W m y u t w V s N d 5 r E W 8 d L 7 X 4 Y y h y y Q w O w q t g a R z x D x S Y d 8 c a K 7 V 4 Y t P C X z W l o 4 C / D a Z D w 1 3 g a 2 j B M r 6 b z p W m 2 7 r 2 N e R p N v Q j r t A w a K K p u s F 1 r r n 4 W C b 0 F X v k M a 9 e d J J 3 L D Q / w z C s L K Q / 9 e x e 9 0 v R g l M 2 M e Q N G G Y b M J R g 1 T p m 3 Z + q k W P 9 u N G S y 5 u n m p M e J s D D A f q n O x Z 5 J o 7 P Q Q w Y f V h F k t / 4 8 3 X L D A 5 w p Z S H l T D n J 0 z 3 9 f b a W W o r 0 I + e 3 N 9 s t m z c 2 W o o B N H m U a K B d 4 z o h O H 0 1 a p / 7 T D l 5 j D k h s 8 g Y I g h R X 4 C o 3 P B B u d 0 9 F r N H y k J K M N + 4 O D n q V X l e J / e L N c 2 e 3 p W Q Q O k F o h e b F G n y f x z E o y R N e 0 E + N 0 J 0 d t P 8 G H 8 E v h h X S m K i L b 0 i J O K K I 4 g Y 3 f U y u u d y n r 8 3 r M B u B 7 g a 7 6 + i H C U n p / j 1 8 L x m f s E C n n + 9 X P 3 X g D 9 N r f C n C A U 3 h t o C 8 X / 3 Z c m T n B 9 E G T w + v H 2 x u O z v T y G 2 O 8 C X 0 l l G / V S c x J + 0 h g V P 2 8 n R g y s 2 7 h c N u A J w / B C b Q o I r o / 9 F e 7 N f F m u T w 6 + d Z R 8 a 4 V z d n E z + q 3 L m k 1 c 7 D b Q J S u L Y C E R x f Z T 7 0 W 7 F d g c 4 s Z 1 l l B P r p A v p F M m d 2 d 3 a c P e + 1 e i z 9 E 6 a o n A C G T F C b 9 G P c x 9 t n S q J e g Z n e p I E F C 8 e A 6 W i x d a 7 L V r t e I B g q i s p 8 X z 7 z k F J B v 2 w o U 3 e W 1 e d k S H v l R 2 A M e 9 t b 8 f X c 9 R N D Y f K j q K S T h C r C p C r i v M 4 8 K O M + U N 5 P e b 5 J M g Y w v Z x X A i j H X y a 5 X Y H O F H d d Z T z 5 C Q 3 h a m s b S A g t A H a m h 6 C A W i T P Y Q R a G v P k 5 4 k Y C P C X Z M E D J 0 c Q R I Y G z l t E P R j t Z r u s k U h q M d t b J p F D W 5 j a B a F A r c Z m 0 X 3 Q q 0 d n 9 R M D N m E W l s s a k J t s c Z J 8 e n u e w Q I e y e 4 P q U K o i j 4 p c D t Y 8 I 3 4 y u T b 3 G C B m n s A d D n A U g U 7 m f V d f + 4 l k a 5 5 3 3 i u f U K 3 Q d 4 F 9 m j 6 u 8 8 R 5 9 v s z p 4 N 7 9 a t b n w 0 0 s i 6 b t d G l i h d 9 i a b p d h g E J 2 u 8 Y B i v Z S 0 C M v G i C w d x g a 5 M U g Z C K R l 1 H I p A 0 D p + 1 m U S x N 6 M v 0 v Q 1 f D 6 W n j K k S X K G E I V / N f / e 9 C A l F x t J o 5 o f U H s I i o x / 2 U m 9 4 g A J j a 6 n u F X c 0 f d / e U + W P H r z 1 j g a z E j p B 9 H j z i N 2 2 Z U D x Y U b G l L B 1 6 k X f 9 y b I Z w d J F G e p R M D 7 h r T e 8 g A h 3 V r q 7 x B S f b 1 i U z b W 9 Y q h a h T 1 y l g 0 t h e l v l 7 R d A o s E k x 9 v a J Z o / e b 2 N Q r h m 6 E r F f G b k Q b 6 t e z Z S F 8 B s 5 n y / n y 9 m 4 h s L f n q / X q 7 p O G x 3 H 8 2 u J 1 T D y s L y P a z S n 9 i f y + K G 0 M k S M i 4 6 f F u J v Z n t z 8 Q b P 1 g 2 r j + 6 w A H l x S u V y P X z v 4 X u r L A U 3 h 2 P v M N e W A A S O Q 5 c C I E b R n 7 v n d e j n b b A w o 9 6 W V W w M y C E n A i D O k K W H h V W P c w U R o W W B K C w S O M 1 v / I e d q v w O k L O p K y q G 6 d N G r Q d 8 4 s q m x m 8 a R o c a W j a O x x m 4 P 1 a v Z + v P 8 i 1 F Z 0 G 5 O N Z x E d G T T g A 5 S L A Z W q 2 O V R h P B g k m z B H 3 B y h C 4 X 3 V X 7 3 i A c 7 W 1 l H K w n B x T 1 c t O P C 2 U 6 g c a i d n w a d f 4 z x y l t a s b w 3 V / Y a V 6 w w c I E 8 D H c A M q X / 1 Z C s I H B D 8 f 6 m z p z d O b y 1 d t d 4 C v U l 1 J + S g v n J S 9 0 d J j N S q s v V O o p m w x i O H K s m U U w 2 1 v + x 6 G V x c W t U o I E z Y U 4 A 7 w D n V J S x R A s z 1 E P U Z 0 L f g p 3 Y k q a H 2 a E 9 K i a 4 B j 9 Z j h 1 Y W D l c n 0 i s L q f 3 O T y J s d M Q 5 o F u + y m K i h n S j U J K r n 2 / f C S Q g Z h H G Q W E x S C 7 2 C f s 9 3 v e U B I r q 1 l H J T O k m Q 0 + f F N s V m k x c b i k 2 Z F 4 / F Z n t T 6 n t P G u 5 B 7 w e r z j E C w 2 S 7 7 D 2 N k + 3 3 w q C d 5 b U J Q z P L a w i D n O U d w 9 C G 4 Y L 2 3 + r P w i S C d T a 1 S R w w S c c o L a c a r N w M K / o 1 Y k a 8 O x i H h G m a B 0 J 5 r t 8 r U 2 9 4 g F d m a y n 1 l Z k 6 m D i 8 Q N F M 8 l R O 8 D / d f J O h 6 4 y u T S 2 9 e x I m D s k M I M + L Y S l U e 0 v C K D J H A W J n R H J H 7 5 5 y w w O E U 1 l I C a a T 7 j 1 n x a 2 p T D 4 7 s T u Z e Z J C p g 8 o l a u W r Q x l m l I / k + t L y b o d U F G x 2 Q H C 2 F l G C e L Z i Y M n E s O G 7 V O Y 2 r x 0 U d X C r U c d d L p U E T 3 c d H z p 2 p d O r 5 2 r Q b Z 6 5 3 1 N w m G Q L p c J x y h d f j 8 M G o D R t + F f p 9 U k U O 2 c o D s N K b R c f 2 R g 3 w t D r g l D p K G V W D A a T l b r z S P 0 M r s O R I D 9 Q 4 y 0 K q z Z t G r g l S 8 Y j N l U p C P M d K N p s Q O G U W 9 5 g H d s a y n 1 L f v N w b d M K j s b d U r s o P t w Q k c W 8 Q o U U O M q c G V 6 m U 0 Y 1 M z R / U O 2 X o w k 9 Y Y Z q x 0 P E F B 1 J S W e T q L 3 x 4 v Z n b C 8 E R L j P + N + s z e y S 0 x T x k P y G O c B X K r Q m 6 F I l 5 H 1 E + z u U 5 i g S J d I p + 2 K r P Q 4 g N z s / U D s f A i u y 0 M r K p F 2 k u p y U t A L l i d 3 b 6 I 0 Y j a X O z d X C 0 O f E i P N K R i l a H E 1 / P l 4 f K s d D 6 B K o 6 6 k x N N J W Z o 3 x f L T o r g 2 N Q h s S T M B 7 D M Y M i H n V j y v 1 Y G l 4 0 N z F c g m Z 6 Y e l l p / 2 k y 9 5 Q H u 4 q 2 l l J A 6 S Z y Z F s v 5 Z v V 1 d W X o j N v F N J o I m + 6 Y g x j S C I c Q V c e U O W B G f e n 4 1 K e 0 L x z X 7 H m A o G 6 v 9 X e I q r 7 u t J l 1 a e p O w 6 y L r D v H W Z e 2 4 L m 4 W 3 5 c r L 4 a + V B T y x Y 5 y k B o 6 Z V m K r R N y 8 z V m 8 R Z l n C 0 G H e p D F h 7 I t 3 1 j g c 4 W s 1 v p 1 l L O V p T F 5 v k z 1 e r p f E B / G C D j 2 Y g 2 k H u Q X B L v U w 4 5 N a X J e x s b l F B K M 3 9 w K / A n 8 f z G b n b 5 v e 7 P 2 f B 7 j p K H C 8 / O F h V k k 9 s I 6 S R D U K a V t m K S W w 8 9 f 9 x E I 0 I a X t F M q O 3 H Y Z Q Q 9 y 1 w I Q e k 2 e z a U 5 F D F Q E G X R u x I M B C n L R j y / v 4 A D 0 I K t v 5 l I 7 q N 8 d 3 N F N 2 9 + R 7 S y j n F g n G 1 N 6 E o U N i t u Q K A w y G p J E M a K 4 7 Y n V X 5 x W P Y 3 6 4 q y e N S 2 Y L i 7 O s a d x L w x a Q z e b M D R j R I Y w y D G i M Q z 3 w u B p 3 i 9 f 8 3 7 1 7 / C V D 4 h v m D t J a S y N Y y f 3 g p B q G k t 2 Q a j 7 e 6 Y o i P 7 e G I Y 2 D P q J 5 a f t 7 7 2 a G 8 0 T 7 a Q j M k Q d M 5 R 0 V e I Y Q g N g W P d + 1 B e p E r s d o P r q L K O m c i 5 q R s D m 2 s 7 6 A 5 v H S + g 7 i r w 7 M D x e E W 6 k w f h 4 t Q f W 0 9 6 b m g P b / / G q 7 0 2 D 0 I P k R Y x K D / f D o I M i r N D a O q M 2 o b U i o x 7 R 2 j Y M l 8 U 3 I 7 J n S 2 L l B Y n x P I n x U x U j q j V O g I h N g o U g A k X I r p R G A P 1 w A r n f A V 6 X 7 j r q 8 / L W R W x P W x v Z H K i m N j I c K F k b j Q e q P V D g 1 9 u v v G 8 z f E Q 2 L h 5 5 3 z B 7 J G q j c f S o D Y I + K d e g Z h Y A 6 5 u V 4 P I c L 4 o v 8 v / z 0 B S A 7 V B H l u R + n q I C V k 5 9 V h e o s J O i A 8 b U I J y 7 v B w T 7 X e B s u 2 D c t M D 3 K K a x Z S r 9 M z F 0 Y 4 3 x Z f f D d S A 9 / + W J x z E 7 k O x u J s d 3 F w d / t A 7 W Q y x N k m Y 0 2 G O 1 x N 0 n b C m B v g e M i n M i C L h x 3 s Z y z Z Y z 5 C y 3 S G C e X 8 Z J Y z v / + 3 g i 6 h 3 w d F k + h a 3 g F 7 G Q Q O F W a y h L x x t u n Z N 4 W i Y 4 J O F 4 9 i 1 a x + V 4 8 V i t r w u F q Z G + I X V o F D A P B D d s x Q N J a n n U k t q Z D 4 3 A 3 Y c c k x c 6 L / 0 u x e a D Q 9 w O W y v p d w Q F y 5 O D P 0 6 + / h x t r 4 1 8 q x P b D q l Y Q 4 p J c H + x o / 9 T B C t K 6 g A P 8 h 4 E g h R A B h i U f U M 9 I t q s + c B o r q 9 l h L V E x c r o e n 8 4 8 f F 3 O S b e 2 5 j C 0 n 3 O 0 G 8 I U n o g J f S N 1 V S x j w f r j g e X X E s c u B t i m D 3 i 2 m 1 4 w E i q q 6 k x P P c R W P I i 8 1 q / c 2 Q j 5 1 a R T M Q V n M B 9 y s O y E H p a l R y G Z D d Q m 8 l y t M I o t k u V n N y v w P E s r u O E s l T F y N 5 s s C n 1 X j b 2 p 1 M H + s q F N G q g N 2 T S s u x u u b M x k h g S w 2 W K u 9 5 n E t W 7 X i A a K o r K f F 0 8 m Q i K 7 A N d l h N 3 G Y V R G i a u M 0 A c c e J 2 2 W b m e r Z K Z o i p H e V 2 t D 6 T K 1 g g a W P r e B 7 Y d B C f z Z G b j X 0 V 6 X 8 W o 4 Q 0 N 9 o 4 9 Y G 4 c N s v T S + M L Y d j S y W v u 7 t 4 5 J H E 1 L 4 K I r D N I x B c P q 7 g Z d 7 H e B t U R Z S n h Y n i Y / P Z 1 e f z T M E Z x Y o X J Q g s 8 e c a 2 0 B V A t 8 P c u R 0 c F d G J P q K A v D X W T 2 y g 0 P E E x l I T W Y Z w 4 i c b 8 W V 5 / N V f b x O 4 t o h j H z 6 T m j A g g m y n H m u s r O f a y e 8 D 1 J o z j Z b T 6 9 2 v E A 4 V R X U u J 5 / M 7 B e L 5 i v s d M S b I C T Z I J u L h Q P A 7 i E O y k b h r 7 E + Z 7 y O 4 T K r X + K F i 5 1 w E C q S y k x N H J S 3 Z a r G 9 v 0 L E y F N e v f 7 M 5 m I i P c Y 2 i S 0 Z d l q W + V x / M L J u E A U K n N E L 8 U D q w 9 Q R K q g 0 P E M 7 6 d 9 M s p Q T 0 t Y u y E a 9 n X 4 u 7 5 c w E U d s O t u K Q F z D 3 k f t J n g d C C k a i J V l K P 5 I w 7 3 7 T 1 l t u f s 9 7 n P 6 o f j v N U k p I n R x W 1 n e x n r a X r e 8 w 2 R S Q T Y f J U E D K D t N Y Q L a 1 y / l s t Z 6 b P K h P 3 1 h c x u D W K e 0 l c Q + j I c 1 o e q 1 E j N A A W o L N r P o O b 2 u 5 4 e Y 4 7 e / k K g s p 5 / b 0 j Y M 5 0 p v i 6 3 q 2 v D J d x W 9 f W Y Q z z E h 6 s x j h i N A L x d N a E w k y 1 J p Q k w j w w U Z E P O v d h K g 3 P E A 4 t 5 Z S A v r 2 l Y M B 1 Y / i a e g E v V G 2 Z h T P Q B y W o 3 g j c b i 9 J P F 4 N O I 7 L 2 2 6 Q b B z R N m P E k u S B 2 G G k m 6 d 3 6 D L n 3 u I J + V Y X i B 0 1 r / + k P s d 4 E x 1 1 1 E O 1 E s X u 0 G / r I v l Z 3 O j 9 t I m m I A 8 1 I + 8 d j E X J W z j u F L z f O Z j A Y 2 F Q u Z D n c t T I Z L V t 1 F b b 3 m A e G 4 t p Y T 0 0 s W Q N s J d V J S X M y l z d j L D 3 U 9 S J d e z Q r 5 3 x f W X e X 2 e D 6 2 c / W K e O i o O 0 I L K R K E u R / w 0 I N l B W D f 1 G 0 S o X 4 X Z / B s c i P 0 f l L s / O G b v + z T 3 M 6 2 q x N 1 J 0 T M v 1 c w 2 e T a z T b X N F R e w C J y 2 9 c F o 0 z j Z V J + k 4 F D f B r S i n l f P X 2 T i n o s 2 4 E g + b 8 P w 6 E i N l c V i M A m y C F t o H B Z p X n D P t Q k K p t B h D s F h R / m j 7 q j L / m q 4 7 j r K r T Z 1 0 m B R O y p o d a C q B 8 o 4 z C F G r M c D 1 R 4 o P T p l M 9 n U o F O G y S a J T o 2 T T f f C E G v k 9 a s / 9 3 2 z E H V C L v 7 4 0 C M f I 6 8 f j 7 7 Z b R j e r a 4 + k 1 2 f 3 j 6 i + G 2 H F f q Q H 6 m M c g S e Z L + t a c K h s i e 8 f G m S x 4 h H 7 2 B D J / Z 9 U O 5 6 g O p J t 5 r y 5 D i J G i L b v F 0 j 6 V Q 9 L O Z J z p C L v / l a V m f H 6 6 v N X O i g 7 s l 6 P Z 1 4 0 G U S h p 3 I T a j A a z w F O x Q A l Q y 1 2 8 T H G F q i l / 0 K t G b 3 F G V i 7 0 P o U T + 8 p v J N D V C c v Z y t 3 s 1 u V w v k x F f L g w W 1 U V L R x J 7 5 S f W e P c 5 r f f j f a H 8 J 4 M N r D v 9 b / L H z a 7 w 9 + u l H O c v H H 0 + P f j o 9 + H z 4 w z 8 F T P E o y d K K 3 V d X V y Z 6 n 6 i u R n 5 f + / z p 5 6 v L z O T 7 s p C a Z G l I Q s R 8 9 Z i D 3 A u C t j C y C k J d G J m i I A q j M Q x t G E 6 K 2 y u z M r 2 d N J T k d H j o f N Z q 5 R X W g C 4 U l F f c v T 3 R K 2 G s r W r y P / 7 s V D s e I A F U V 1 K e m K m L C l E / X 3 8 t 1 t c C K 3 9 I T e C 1 l X B 2 C h s r x V b Q g 6 p M y h U 2 S T 3 e 0 n j 7 C G H 6 0 q C u t + l L t e M B 4 q m u p M T z t Y u y 2 R d 3 H z + u F q J a u 5 r r H C I / 2 H S 3 Q l i S n j A X w P A z D B h v q n s f a T J J O J e p + D / I A b K H 2 S + 1 r v Z 7 c M J u 9 9 n t 6 K 6 j R P K D i 3 2 t a f F p 9 f G j c a b U j i i J S z i y y R G 1 d o S e s i / M w E t e H X a f Q t 5 D M D 3 E a E F / E 5 B 6 y w O c z a 2 l l J A 6 S Z W 8 v J l v T O S c U 6 v 5 A r h W T I 5 C w 8 k w J a D + b W B 6 Y c f L H H g Y x I k w B h F 3 c L / D K f c 7 Q D C 7 6 y i R P H V x u u D N t y + F a d r b 1 i k t y y E Q x E i y l M 9 m d T L z f J I J x z v i C G i z y 3 y w 3 O 8 A k e y u o 0 T S S Z c 0 P f q l U T q x Q L 8 u 7 r 5 8 m Q v / t Y d y L C t W X s Q I c g C p P Y 4 D p H 3 a I T E k P O J Q 3 O u 4 O c s f 9 U 6 x y v 0 O 8 L k o C y n f i 5 O U P O E E a L r D r X 2 b s S U B 6 x b M 9 n L k p H y T w c B 5 q f 1 E M u B 3 o I L J 7 Q 4 Q y e 4 6 S i C d t G 5 + P l t v 9 h h J b E o T Z C j D A E Y Q Q H R 1 g 5 M o 0 y 7 n U s c S M R Y R 7 v 0 W l 9 s d I J L K Q n + H U E 7 n t 7 e r u 4 W J x m 6 L S i D Y w S W K G p J / f w S F + b 8 J p E 1 6 V l E Q C / 2 V 3 q h E v e U B A r q 1 l B J S J 3 G J 5 7 P i 2 i x 7 9 c K C y B 5 F k w h 2 p j i A P v w V i p 0 6 w 8 o m T B o h d Z h k s n X U v / Y p N z x A O J W F l G A 6 m W P p A X R N j t W b x l 4 D 6 A Y x O Q G g j 1 p y L X L 7 p r h g 7 N K U u t i 2 7 8 E S w P n i T M C 0 D Z g A 7 Z l j F k F 8 3 r V k K Q 7 k h g c 4 U m / U p Z R D N U D b v t M b l C 1 W 0 v p A p H s Z b 0 5 t r l v m g u J X G i J i 3 T g o 9 K 3 n q 0 9 g k N 9 o N 3 b D / 0 J 3 7 7 Y + X 2 0 2 8 + W s u D M U a m d W r 0 4 2 S c X 8 K m e E A Q G e m R q h 8 T 1 P z I B Q v F V C H / 2 z w n r P A 8 S 0 + f 0 0 a y l R P X v h 4 A i V H 2 g o Z D q 9 K I v 6 X m + u p 6 G i W 6 y h Z y T a E E M b R q K B a S 0 Z i S M x t H 1 F k U w z 6 g L a I L g o d 4 b o M 6 N b w L A X s 0 J B 8 4 i m + O I w c p I w B y 8 I 2 K L v 0 g / B F d t t j u v + a D a d Z Z R b w U n 8 9 v w R t + B T q 3 s + m C Q I T S S 4 Q y e e Z C x W 1 Q X O F A C 4 F B f o c M e o x I i y o 1 8 c 5 X 4 H C G R 3 H T W S L t 7 v I O T b 7 M V Y c / f 2 r i 0 a i r B h D k h S h M d B o P Z e 1 E 9 j 2 T x P 9 T S W 4 X V K m c Y a H 6 f 7 Q d C c h U C j 2 9 H 7 L D R 2 9 N W L o 5 2 J g y 4 f j M 6 t b R g e b f P a S G q g w e B l s O F J A n h d h H t D 9 b i g b + S n 9 A x 3 l 4 L u t l / 3 l y V 0 1 1 E f F x c F N d D v 3 X 5 c f A 1 w Z Z H Y + z o J T 9 0 D Z r G G / n a 2 I h J X R g E m H j G 3 8 0 g j b q + F V x D t 9 k r n Q V g A s l 0 U 0 H h q G k 5 Z T M M J Z C F D E Y 0 7 Y 4 f O Y b n d A X J O Z S H l X n C S y E N m v 3 0 v B D a 6 L M 1 D W 0 E / D z 6 0 o y 5 L e 6 J O b t b z 2 8 3 c y M S x 0 9 4 V 7 d q c 0 4 T g A 3 N D t X j O s z y c w K s Q q i w M Q I v 2 U e 9 C r t n y A A d r e y 3 l b D k p E K k 3 S 9 W 8 u f 2 T 2 J r o b + o W C a L / 2 C 6 6 d 7 b W q 6 + L m Q n r s n O p E W q c t D e w H p K a R 8 3 R I u V C R g X R I 3 w T s K D j 2 P X F S E 7 K H Q 9 x s J S V l G P l p E O N H j + O b J r o V Q o Y V J e f 7 s m S + H G 0 R 2 L 3 w X 9 v 5 / 9 n O V 9 U d n g H P x 7 9 V E b j S X 7 w 4 / H 1 9 X p 2 e / v L f L a 4 F h N 7 n T a d + r / 7 j P Q 9 h h 9 b l o Z p H P l Q G o C I w / s M 4 G w S 5 f Q Q M 8 w z d t O k 7 g C 7 + 6 s M O 8 s o p 2 m A 5 m s 3 r H 3 C q C 8 M y 6 S w M x J o U b T p m a l P u 8 b x 3 f W 6 M B Y l d v l T j h h 6 n K L / i e 4 9 m m f N L Y 9 K O r T U B K 5 j k E G R I 7 X q e 8 t X O x 7 g l l d X U r 5 L J 5 O n F / P / G p U K z 3 6 2 u f A D r p G Q h w T D Q F j F P N A 1 a 0 p M G N C e Q h N N 6 D P s o O Y q 9 z t A L L v r K J E 8 + 9 n B v v X F T f G 1 W K 4 M X A R b V W 1 0 W v 2 U k 5 c E g V f x q Z 4 B I n J O 4 9 J L b g e w o N r t A J F U V 1 J i 6 a S e 9 s u 7 x U d D I H + x e f Q D R C 0 4 c F i Q g f 2 G Q R A 0 o c T t M c L s n j / l J y m 2 z b 1 J J W K 7 A 0 S y s 4 w S x l 9 c R I N f r K 4 / m f h z U 5 v m P 5 R U Q o X A D W R J m E F V b v 0 s p 2 N M 0 x 9 Z Z S 9 O E n r H v R 9 K u d s B w t h d R 4 n j 1 M X h r b f L 2 f z a R B Y / s z G g i E L O H R c r Q + r 4 a 8 c Y + 1 S v Z B p P I H g x D A 1 d K I J + 3 D f j K b c 7 Q C S V h Z R Q n r l o P s E A 0 d J o 2 f T e 5 k w y 7 4 x 9 L p O T N X 5 e E / Y y 8 Q O U C K I 0 T c v 8 t W 8 w y w 0 P E E x l I S W Y 7 1 0 8 l y c 3 C E T N 1 h 9 F s W 1 4 L u 1 G 2 B G Y E A O y N E U 8 U h 8 8 r + v T m Q r b Z C H R X E r b 9 5 / M u b / t A Q K r X U 4 J r 5 M D 7 X o E y o a d 0 D A Y D e w E i U C N 7 I Q W 2 L 2 4 g j M s B D + e L 9 C K M J w z u 1 q R A l 9 1 L Z T Q L v B + m g Z 5 r T j Q j / 5 W 7 v l A 7 n i A I 6 Z d T j l i T h a N L 1 Z 3 n x a F S c 3 F z q o A a N 6 D Z I L a b y U N U X N P I s r G j L Q H 0 m o t D N I v s t W O B w i q u p I S T y f t C i 7 n V 6 s v / D / D K Z 3 a M F U h E z G 8 y H x 4 j c L V Z Q e 5 a o K + P Y P j F R T Q u 3 i s t z x A R L e W U k I 6 d Z G v + v J u X f w u A j q 9 W 8 6 v 5 n / M V 9 t M g v N 3 2 y i d H k g + + q n T k Z C D Q z h N 0 F n z U 3 A d g I G I W a H q l C Z w Q V I I I h F + a r s J g Z S b 3 m M b 5 6 h e o R v C 3 Z s 4 R + d 3 z H W v D t 5 x a l p U 7 + n 7 O B e b i Y h h w Q y 5 0 A E 5 x 2 T + 9 m Y 7 k m + s 5 J a 8 S R B w o f K f F B y H 8 b o q k K D n Q i g X 8 9 G S R d 4 / V 2 X b B + W m D 8 o t 7 z O m m s W 6 4 T 1 6 4 6 L w 0 j F T k i Z t F z u V H n / i 5 b h P g t P R / 2 C W v C k p Y w Q D U A Z g V h K L Y M E 2 6 V t S y v 0 O c N 1 2 1 1 E i 6 e S U h 9 6 d w o q m V e u n m m h a Q j 9 1 p G m 1 F Y d + R M O G f V p X 7 b G B f i p H N E b + a R s G P d F Y w w D R p x q C W v G o Y v F L / L W M Q k e a z K Y 3 j 0 u o N v D o k c O A o j J E 1 V D f f T 9 H 8 5 s L l R k 5 M V X V / z 2 U + x 3 g 7 u y u o 9 y d b 1 3 0 2 5 Z k / d v 5 t a n h Y S s Y k A p G Q A I s U M s M l v P t d L R 8 z E K z I E 1 Q s 5 P C h P 2 K y W b P A 0 R 0 e y 0 l q k 7 y V n 7 e r L 4 W N 4 Z y 8 t i m F 4 m V I S A f i S q C r + W E e 4 0 P o I Y E W B 5 F N J s F 5 t q f 7 l F u e I B 4 K g s p w T x 2 s R 8 p x O 2 N b A 8 7 6 V 4 s e i E 2 M 6 o a 5 k A E t B 7 r 6 o P z y Z E l o E B B u 9 h S l v s d I J b K Q k o s 3 d T t v Z k t f j e x b W 1 5 W A J 2 R Y I Z O l Y m + F Z 1 L I O J B + G D 6 Z A k g N m z A 0 n g Q m 5 4 g G A q C y n B d J K F 9 X w x u / p s J k / b 4 b A Q s a j 9 q R X x 1 g 6 E W U 5 9 z 4 a w q u l I x o y d l z y C v k V k v e U B A r q 1 l B J S J 5 H Y 8 0 V x Z W w 0 n 1 g h P e S v S D H D / E B B W 7 R G 6 o D 6 A a q + P n 8 a I L a i h f R L h c r 9 D h B N Z S E l l i c u A j w n d 4 v Z 7 2 t B A N k n B g s J G 3 w n Q q U p 5 W a t W V l g s A F D e n E q 2 y Q 7 M O y q T e 8 T r 2 u W 6 A b R X R B 2 O l u b D + W 5 z a F E g C v k e k V o C z a P 8 O V u o D p w W W E A D C 8 r 2 Y 1 O X 2 5 4 g F O p L N Q N 6 N G 5 i 6 d S D 0 9 o U C I L e O K i + F R c F z c r 4 T 7 2 k B b z 1 I o i j R 5 o T D 6 F X Q m 0 9 9 L m W x a 1 C d L d z G Y k E X p U Z e + 0 7 8 v c 7 H m A z 2 Z 7 L e X L m b p I l T 5 B z G d j 4 v P Z J V v k V L G Q W s D Y o q Q G 1 c m W a H q L 1 g x + F 4 m / i + l F u e E B 4 q k s p A T T y U T r 1 Z 0 R Q H z / 7 + 3 W a G 8 A M W R s F 3 S C 5 g r Z V k f 2 F X y C 4 w m A m E l z o a Q i F D 3 u L i S 2 O 0 A g O 8 s o Y X z / 7 7 b R W f 7 o w R f 7 6 F 9 L H C i u D y 4 2 x W Z 2 2 / 5 t T 9 8 f 9 Y J 0 u x v q a W 7 z 3 s G r i e 0 G y D 9 A 8 3 V E / F v E / + L u 9 n b 2 X 8 N b 9 8 L m r Y M 8 A v p D Z x p j E W T r 8 B 6 o L k b I I 9 y V Y U T z u g Z 2 + x U t 5 X 4 H O E 7 K Q s q B e u H i I 6 e f B t T 0 M i 3 S o + f r 2 Z + I l B g + G L t R F Y g p O V T q m C y I c R X q 3 P o l p c i l T h J u F a U X U e / r t 9 r x A J + M u p L y z T g 5 s K K f U i 0 v 5 q e a U m W s e P u i 1 + m r 9 r 7 o / Y q E J g y M x L 2 h m y v 3 0 R Z K R 7 m G 9 q q H 1 I N 2 8 c Z o L 2 U 3 M M i l H g f Y S M E 7 K r X x 6 8 O L I B m m c P A / w x 2 H y 5 s 9 D 3 B 8 t 9 d S D r C T g 4 N 6 y r z m 0 u 9 9 u B r K v I H A I i n z I 4 G l e 7 i M j T b b r q m P u w h l Z I r 8 r 9 A F r 0 + W N M 8 M 8 O c L o V 3 v I v s r v n a c u k u I Y 5 + Q o b K Q c q a c 7 J r q t f B s z l S t V G o 4 U k K p d D x R 7 Y m i q b d m B t N E s 7 R t X o s O d Z r 4 u C f w / 2 m G M I X U P n U + N G g E N C H R x p W 8 7 O O V f r 3 l A U 7 V 1 l L K u X K y g / 3 C K I x u Z 4 g o C k r h / U w T G 6 4 X 5 K D q h s z T y T 2 V 7 V 1 0 J w a R R e d X 0 n w t S g i d 9 O l 5 X q z X x n f O N o O M 7 n t l C Z B N Y u N S D C Y D L 2 j a n H 2 x 8 X L D z e 9 4 f w J F y k J K M N 3 M H b X C 6 B q 6 Z + / c s W H d G g S / J O t 2 F P x q X 7 q X 6 7 v l t Y n Y c 2 r V o 4 Q J Q v E F / s b 5 i X j P G p J W g N c M p C 3 + H C 0 n n w u z H w R X b n e A E 6 U s p J y o U x c 7 l K / m V 5 9 X a 1 M s 7 U h a 6 S S H A p L T g 6 g 0 l M r b U X B 6 G A h h V G R H O L X a 7 w D B V F d S o u k k S e s C 7 q S J 3 H x s Q 1 U P Y 9 q 9 E N W h D l C / o c l c Q 5 3 o u W C p n o k R I H E 8 d z B X l / s d I J b d d Z R I H r t I V Z 8 W 1 / N b Y 9 5 i W 5 / T 5 / W B u B g s u N 8 1 R A U E W h Y 6 / G m W J D v c s d V + B 4 i l u p I a T R d Z z e V k 5 a + r 2 9 k f J q L 6 9 N S i E Q y 1 h 9 M X 0 W 7 I / B h T 1 y Y V R S 4 d q 2 z m 2 2 G j l L Z 7 f R 9 O M e x Y b n q A u G o W U 0 I 7 P W 2 7 u + W P H G g K o 0 m D v s s e 2 0 s p + U 4 U h R z T D C Q N P K Y c K I H k n H k 5 f h l i N m G H K r H c 7 x D x l L + Y Z i E l l o 7 2 l k r l l u L 6 y 7 z O d g 9 1 f R + L f i Q z z 9 u 9 p c i K R F D N w g s Y / K H e U o C f T T T S C O q g B o c n x Z / F Y m 4 8 u N a + m J D l Y t i w g o T T z k T n 6 B a j r k / 6 l J R + m V X U H g f r 6 i 0 3 R 2 p / 0 M D W U s r p d d Q V U 0 P P C T V a T F a n V 7 O G Z w N A 1 B Q g A / 4 g K E A j / N C e X T 1 t 5 G k D P Z 3 N P 5 k 0 h + w 0 + M j I / I A 5 F x 8 1 U / F 8 N 6 9 6 N M l Q w A i Z i y j Z l x V d 4 P H L Q e 5 3 g J u h u 4 5 y L T i p w A c 9 0 F h H 2 U U y Y f Q h x f E B y x Q k w e 8 5 l 4 W 4 H 8 M j y 3 P k i F G n 6 S 9 9 I f c 7 Q C S 7 6 / w d I s n 0 1 3 b q 5 G v O f W / 0 t 5 p g q b 1 n d a w c 7 l 5 / l N p r L 1 9 h a 2 C e 0 L U F f x n Q J X N K I 0 z / Y A / U B E w a K m K Y D B I m E t / o J P R v c l Y 7 H u B I q S s p h 8 p J A P j 4 z 5 k R / j 0 7 s c A k E J s V o 7 h J J l 0 d 7 3 k l Z I A V I j v m Y k S s r b 9 u s N z t A J H s r q P E 8 e z E Q R x C T 0 6 3 8 Q y u M 9 O q z 6 K 7 H E V m O j o G t 5 f j q 9 X i y 8 y U N r 5 9 Z X G a I m + C s g h c g T h G A E 9 Y H d R g k D h N O S c p 5 t K U 9 P S + C F + 5 4 Q E O l L K Q c q L e v n L x R I U a p C a 2 Q W r C C q k x S T y F I D X x i N S 0 Z + r d 3 a 0 J M 7 e j V G V A 4 6 G f B B j 3 1 L o f Z Y M y Z 0 5 W E B c Z U d 9 N / F V s d 4 D z 1 F l G O U 1 O U q m m x a Z Y 3 t 1 + L p 4 x q D L f L M V s 4 / P V G n F f j c T k 8 W u L a z I J i B 0 l F y V 0 x n C q t J e Q Q f W j f A I V N Y 5 L f Y k d Q P O t z R 9 U W 9 8 v D 1 X 5 j b W L K g E / f u 3 i 9 R l 7 2 9 W a Z + N 5 G X v l e 2 e Y o Y g 9 f N v 3 G J Q H G 0 5 P 8 o O n H 1 m c z p a I L S 9 n J l K A L Q H O g 8 t N Q U Z 7 C g v 3 V r Y F 1 y X Q D w q 5 3 K P 9 K I V e + 9 F 1 m j 0 P c I 1 u r 6 U c L S d p c L / d / W 4 a D b e V b R E y v D y I G P Y g t B z U 2 C S M K 6 Z l 8 J e I E D u T 6 G T f J F N s d 4 B Y d p Z R w u i k Z o s e z 7 J i 7 Z c X p G 9 i 7 V O x j a z 9 N r 1 8 t R L a n h d / M G r 2 y d D F t 2 N O R R O h n B O D a U k V 5 P t O W F j x o E l f u w x W g X s c 7 2 f b B + W m B z h Z m s W U 8 + U k h 0 r f a t e M i v b G i 4 O 6 1 Q 5 w b G y 1 p 2 M O g o v 9 e n 6 1 C Q 7 1 y F R i k e H X y F Q 1 5 / I Q M p W M Q W i C c I 6 0 4 R 8 m Z M r O G Q d k i n z h n q V f h U z l + Y S 5 + C 4 p r V 8 W W G 5 4 g M t N W U i 5 2 J y 0 x D l Z z J f m H o y t S B h N a S + H W i Z S + D a n T x l N C m l Q M 8 7 Z q I f 1 i 2 a 1 4 w H C q a 6 k x N N J m b B f i 9 s / j F Q k a 3 u G I E C 2 L 8 8 5 p K X 2 d M k h T C e + j 1 Q 1 w x S V l X X f j L 7 c 8 A D R V B Z S g u m m Q U N S N l 0 6 J M J q b o m X 6 k O x u J s d 3 F w d / t A 7 6 0 g q n F / M K j 2 U d S Q Y N M T h + O A 1 D 9 7 j t m F 2 u I d w y 2 Q E F 5 4 1 O s P 3 D p U Y / B N n L c 1 x Z B T O 4 R W x 6 / G U X j X z 2 h + 9 T 1 1 J O V Z O Y h 5 v Z l / n I n 8 p l l L L Z 1 G s P x v K t e l 7 i / Q y 4 l 7 E Z y o R n p q Z C G 4 9 1 E m K M w n R C W + 1 i P t e m H L 3 B + z 9 A I 7 A + v M A N + d D K y q x n r 5 3 E D r W a / x o g B E L J u f 5 b H l t f H P t i A 8 R j a U I 0 U y h S 9 6 U + + R P g K E J h O A g y n Z S J i 9 3 O 8 B n o y y k f C 1 O M h 8 e 9 W e x a S b B Y K E x K G q b R M r i 1 r o Y z x j T b 0 i a v S n c X c u U / V 3 w 3 X W U I L 5 1 s V v 0 6 m 5 z d T N f m k f e 7 I Q y G V / E 9 Q G j 1 g Q H i K h C c p 7 5 n o C 1 O a p Q c S V 7 o r d 4 R r v l A c 6 l Z j E l r E 5 K Z v 6 C d 9 J n q l W e 6 v 3 Y C T J 6 i p V g 6 Q t Q a a w 9 I w V L 8 I X I U z m l y o x j 7 / N Z b 3 c A I 8 G t p Z R w O m k j e I 4 q 8 W J h y L t e / 2 a R d 4 V o Q 6 G 3 l j I X w y M p X A N r f h N k a i T n G 3 i p b 9 Z V b n e A 0 6 k s p I T y 9 W 8 O 5 l h v Z r 8 X S y M x 3 g 5 D 8 q S 8 D U 1 h L l v a i V U k U 8 o m Z O b x M / N D 1 I n z / q 5 m 1 X 4 H C K a 6 k h J N J x E k q C 3 b Z I s n n n 2 6 v J n N F s a U + a 2 N v A B O e D z N o F G C 4 y 2 c C e r r X P i F 0 E M A u 4 r z J C E b 6 6 2 k W u 1 4 g G 9 G X U n 5 Z t x 1 w x M P M / w Q w 5 V + 9 s H m S g f / B / 2 n x Z l 4 H p O Q z Z X u + x G 1 E P S s P I J j x 1 P d O + 2 S J n U H Y t O D x B V t 8 e 5 i S m j P P j h 4 u e s 7 n 1 Z k 8 L r z a W K D i y H j k Q 7 e c g u m q + V 6 Z T p b d q M y 2 C 4 H O a e H 3 K h D v U K P J U O O B Y S B X E p 4 h / a G I M s N D 3 C u l I W U M + X k o I w e l N J M n 1 m A U k C L 2 8 9 4 b D N e 3 F D O q 2 9 A 1 y u X l P N x w L g 9 t 4 / 3 4 6 w c R T F G Q 7 K T 6 V / c l o R B Y Q 0 v Z x k 6 S m E m 8 + L + N a v S I t s f q K Q s p J 5 Z F 3 V 3 f i 2 u P p s h p U u r 7 C a j Y I X 8 y h y b 0 K l j v q 0 u W A U C I T C l s n 2 + A 9 O 8 2 v E A V 7 C 6 k h L P S y f z G m 1 v 1 S a v a X q r h r x G 9 l b H v K a 9 H 2 v s y l A 1 2 N l T w Z d M 4 z h O c q Y 4 J L Z X n 6 t w A p O B w V F M j X Y Z G 6 0 3 P M C x 2 l p K O V d O G l S 9 v 1 v O r 0 y U 8 u m F T R E Y T Z K Y F w 9 / l J J p 0 g h 6 A h K l U U l K 6 f / g l Z s d I J T K Q k o g p x d / m 8 L P i m t Z F 3 4 m s q U o / E a 2 Z X t B Q g v Z z u O D p 2 1 g A 5 5 s r 2 E 1 X + V X 5 9 I w X + U n 4 3 z V f N k G W l + w 2 S Q k T c F m S E h k w T Y m J P f C U L n w d T l 3 N m G o w O f Y E A X s L + I x C P e C k G g u P U 9 z 6 f U n P l a V s W G c K c l H E 5 L O h Z R r g h B q T o I N S p V o 7 N H 8 E r n 6 T o Z r d d x 8 E 8 O V 8 + a P D N f 2 v L 2 f f x S j a w 9 5 P t t V Y L 7 o 0 + J d 6 O O N l g d + V j d w s x B i m + C 7 + q X Z b P 8 G r t j u E E n 7 / W W U l N 3 J 2 g u 7 q Q 3 E p z / n i 4 V o F V z N N 9 + 2 8 7 o P N o Y K c N i S D B u F L a 5 y i o F 3 E l J K R 9 K i S 3 R c + 4 1 z 3 N / z w Q k 7 3 i P x / E i z m B L X D y 4 6 K 2 C X v h 1 H 7 2 l v 4 s e B a p v v B k V x o d w V B R C h 4 c x J D c N S H S W c e D E I D f d A Q 3 7 v 9 + E o G P J f B l a 7 + M G 8 + n Z t 6 h X a 8 Z F j 5 v C y m G 5 g S j e + 5 F D I U E L I o T s f 4 N k A 5 V 0 O J / e 9 A 8 R 2 B 7 j P O 8 s o 5 9 5 J O v J F s d w I K O 0 X Y z C n 8 m 7 4 v m w J I 4 7 Y E z b V D J r 4 4 n m u 2 w 5 4 l U 6 g U t x T l u 0 b T L n p g 1 + G C O j W U m p Q p w 7 i a n p + l W a U 3 C a t 1 h a x p Y j O 9 3 0 o d R G L b s 5 D c 2 O i i P X 2 + H o / i S 5 O + Y V o / l F P L 5 i j B 3 R s A N Q G 0 D E A q B L Q G Q H U t r Z 5 M / 8 T P Y 5 b 8 5 C z L d m Y 7 i x 5 T e B 1 v a n o w u P a n p D u B J V c R 9 9 L t N 3 0 A O + i Z j H l I n W S d n y 8 u F q t T R a p t p 2 m L M P l J s L V 2 x c 2 C w 2 D H K G / z A s D + M j C 3 W g H O e 5 y w w M E V F l I C a a b 3 S Y t E G Q j 8 Z b U Q J C h B 5 E I I G g U e W s v y 3 e r q 8 9 X x e 1 G 4 g c P w U G 2 l y U s F y 8 P E c s M h G 1 3 n X F m Q t l I A A h w X 3 I h F l b h 5 Y 9 P O 7 e b H u B s a R Z T z p e T l + X j P p s 2 P D T K e x w L e A M D w R G V H K V S F g K H G v T f E I t I s y D Y x U 5 a 8 b / c X 3 W v L K T E 8 t R F K p q n 7 Y 7 Y q A n X v M E K t d M x O 0 V 3 Z N Q S b m / K K Y K z f 0 o Z g a l g v M z / m K + 2 M b p z z R S L v q w 7 + u n l b P V u d r t a 3 G 0 w G T l Y b A 5 / 8 E k f / V T M O j D F I q S D 6 6 s y Y f R J T I P f 1 8 L v B 5 p V u 9 5 j l X b U L N E 9 S p q S q / w L H v z B 0 f n d b L 1 Z H b y b X 6 3 a O v 7 p 6 7 S f x R T i e X G 7 M n R A T t 7 a g C y C 2 4 l B T 5 L 4 e G Q y q M L L J q 9 H J p R o g c R C C V P k k f 1 B 8 5 8 X j J X e r g Z 4 7 t S V u k E 9 O n n b R u a x c O I S s 5 l d H 1 x s i s 3 s t v 3 b n j 6 g + p E V G / S j E e s z w B / S F 2 / E P 9 o b 8 u J u s Z j / W Z g q t D M r D w O c n 8 G b P f R V 8 j w X 5 l f 1 Z G g A t V P 6 e p N m 9 i c D 1 v s d 4 F R t L a U c q 7 O / j 4 m B T a + + w b M M v X q J Z 4 2 9 + v Z Y M f y 4 n W h Y i Y L V 2 K 4 h C g L b H Y P Q B s H 3 e y r S 6 7 O 9 g x + P f v p R y r f x x 9 O j n 0 4 P P h / + 8 E 9 B O b t P C N T y b 5 6 2 U X C G d + l 6 b c p 8 7 I R S s B Z m K I n O U l K y P + o M N i e D T Q P m e Z N d U 5 9 q x w N c 0 u p K y h 3 t p E j K 2 7 s C 7 R v Z N H w I v b G T n 4 a z g z s Q G E 0 F d t d v r h g U z S h I g G / w O S l H 7 v u V J P W W B 4 j o 1 l J K S N 2 U n t Z W + z Z t p L r a N 3 S R R L U / N p H a + 5 6 i Z f 3 Z 1 I W 3 l V W l 0 U 6 u 6 u d R R p 3 f q A R m 0 K 2 i F I c E q k T U A q F W 9 G 0 g l R s e 4 E w p C y k n y k l Z 1 Y v N a j 3 7 Z q j 2 7 X U q 0 P P M k y x L 4 c H U t b 6 P Y x D O a n i 4 M l C / i 4 t r u d 1 B Q i l + L 8 1 C S i i d V K f 4 5 W 5 h b u z a U V d D F P s 8 U U m i P C 7 f t X p 4 M E K y N f X R t c 4 8 X 3 q v 9 z 2 X 5 Y a b 3 / H + c G 1 l I S W Y T t J X R W u F V v 1 N 8 c V w N u 3 o q / R u I a f d 0 w a q I Q M g u j T O m a R H U h M J P 0 F S 7 p e + t J s e I K i a x Z T A u s l f 1 c 6 w l d M F H T r S k 1 d L G t D P Y o 2 L G Q X a y t g b t b t v v A k y Z k m l T S X F B s s 2 G l 7 u f J J e l A v 0 e K c 0 o N r x A N 9 m / c t p l l K + T C e v n P P V V X G z g m V p 8 r O w F X Y I h W M P l J F S A r o u g T O k y I R A Y e 7 l U R D u 0 u 9 u N 9 3 8 r v f 3 j m g W U w L r p L z D q 2 J 9 b b S q + 8 W m 3 x 2 k k y j n q c B c P A 6 F 3 2 e d 5 W F G T S L P l A v K s I I z 1 H + m p d z w A A F V F l K C + Y u L D e / n s + X / 5 q b q a 3 p q 0 Z 5 D L R D U Q g Q x y m J s 6 Y Q d f H n t J r h / I q 3 j o 7 5 C A 4 + G a 9 + k o N z w A M F U F l K C O T 1 t 2 2 z l j x 5 u t g 7 X n d M K r 1 i x F 6 p + q s k L W Q q v j P y F F t G A 4 L / d R v A 0 s J J F v v T 2 9 m p 1 b d Q C s T 2 3 u A d R l 5 E x C c / l R v w q w n Q h T z m 7 6 O b v 1 A I s N z z A u V U W + j u c 2 5 + v r 4 2 Y i d U Y S k A 7 w E d + k P r L F 0 J m 9 X s q G B L 8 T 8 G e y H b C v 8 R u B 4 h j Z x k l i m c u T p / o u R E 2 P N u G G 0 F i + 9 B o i O R G j D z b 9 v a 9 / L / s v V t z W z e a 9 / t V V L l 5 b 9 r M O h + m Y k / J c m I r t m R t y 7 E 7 c 8 d I j M U y L X o o K W 7 P p 9 8 / Y J 1 I E I L A h o h G q t b M r s l u u / s F m s 8 C 8 B z + h + n i 2 3 J 1 a 3 K j P 3 / h k t N A 0 h M + X S h j c 7 C K j n K N c t K E N I Y / S j A p o K l l n d F 0 G / Z w p r a W U s 7 V + Y s A s 5 p X y 7 s H K C Y n p y 7 x T F E B x P 0 w o h U p R a 6 6 t w 6 D A i o R d K 5 b f 3 r r A U G 7 Y Q / x V F d S w n l y G m A 4 P 0 5 v s B D 5 Z O 4 t / + b i D I V D A T M f c J 0 R y G l J i e 4 H B c x Y h X Q 5 V O k s i j A G s 6 0 6 h k 1 7 i K p m M S W w v 4 X o B 6 V H z 7 h U H x 1 6 p j 1 5 O u y 0 Q M + M t c f w + p 3 h 5 m s q 5 9 3 s 9 H K k B j h Y U d l K W f c Q B e E j w R w H K s K O b D y 5 X w 9 n a n M d 5 T g F a a V 3 t J h N V 3 / O Z w v p p L e 8 u 9 Y p j r i 5 f y B N H k U 8 f T X S u M J A t g t n C b e k B I U C C a + U v E v + w m 5 k M 2 z a Q 0 w 1 i y m B D d I F R F z v R r 1 5 p x l 5 F k 2 K I s 9 K 2 t / N w K 2 v 9 5 i S g y F K I / 7 P L n O O Z r s e w q k s p I Q y y B k 5 7 Z H t T k + s w R H a i 6 m 1 b 1 5 M 2 O 4 r + S S 1 c v S u H x 6 9 1 8 s l 0 D z h T P f J M N 5 2 q x K q C e V B C h U d q Z 0 2 d Z S d 7 B o g Q 5 W S U R b I x X N p C o C R 3 V 2 5 t m s P p 0 u 3 m n L E g i w X z i + u 7 r 4 v P q O 7 Z Q i t 2 z M Y T Q Q T L A U 0 i 0 + H s L / p k A v F J I E 2 y + O I I 4 5 U j r c N 7 b B p D 5 H V L K Y E N s h n M N I O K 1 x c N H q V + D Z d 0 d U L c l g x u m g M d + f H q + n t x d I E C / r o p E 4 G + g d F O + Z 8 W V F I M 7 m u F k + Y 5 4 r G C z T 1 x k r M 9 n C 1 O / Z w s t S V l G P 1 M U R 9 M r 2 g n a Y K d x g + R X m T 4 m w I + S Y a 0 T z r t C d v s 9 S k 7 c j o j m 5 e o m o 9 S v k O R 1 c / Z 3 z c U H + c 4 w x r t B N 0 Y 7 F w C e Q U o V F a o Q R T l 0 l f r U S o F 4 L Y L s F m C Q d K e 6 5 h u 2 M f 1 0 P z 2 / Q r K d d D k C w W f Z P O 5 d X t m n S G R 1 c 0 6 c Y 3 d z i 4 + r J R A x C w v j 9 7 R R 4 T 8 U Q o 8 o z M k y E M b + 7 + b 7 Y y u m q 6 1 R X x J M b Z L 4 a w g G k 5 S V B f V 6 D / y M g d r R 5 p t 9 m G 7 G E x n n a / / X 2 z P 2 S i u p J y s 4 V Z T 2 g 5 n Z p D 5 Z L 4 a A l j L o l P 9 1 E Y 8 h 5 B G B v T n u H Y 6 j P c x w 3 0 0 X S 1 X J g d d 0 9 c Q A S p I E X Q X M d r C e Z Z Y 6 w r 2 0 l l L t z V 8 4 r / k j k Q W K 4 I 2 7 K o 2 7 K H 6 2 F r K e V + O A k R R q A v W j Q s B u t H t y 9 a D N I l s m g Z p U v W T 6 / G + q L U o K Q c r u k X y 7 t P C z P v w K m n U U 5 A h d C / g q Q W 1 z H T l K 6 n I U Y s N a p s 8 E u y n X T 2 2 h 1 7 O L v q S s r R D b K n g e 7 V J 6 P Y z V s X s Z u U o C F 1 Q x 0 q + Q a S o N a A 1 E V x i o g C z S u w I r v M z J o N e 4 i m s p A S z L c h a t 3 E r b v C R v M o e 9 z n + 8 X U K N J / 4 i Q 5 B k E F C A R n n G d b T H w 6 1 h G T I L 4 h A G N x I y l n P w k S 2 / X w s W w s o 3 w q J 0 G q j V W a 8 a q T V 1 X V d i s M X l U V Z X K 1 R x W / e 3 k i j / I X j y / 5 d n Q 1 + z 6 7 N p b J r 5 1 8 R 2 s G q A 1 / L x 5 4 m d w S P L I x R w n N k 1 a g 0 W 6 s 2 u 3 X w 4 H a W k o 5 V K / P A 8 R f k r z P / 1 j e G a a p x y 6 V T Z Z M y h I 6 b Q F u N o u q 7 n K k n p m g P p y I j k i S N Y p y l v F s 9 u s j n M p K S j S P Q 6 x q G t s l U z B d s N G U q a J G x T o d A k k q P J 7 b T B f 1 F I C A E V k u y s Q l u P e W o f B w E 6 v Z s I d o K g u p w Q w R G v 1 + f j 2 X e W 6 r e z t d a G 3 G T s 6 2 4 e 7 6 a k k n f Z u A g S a b x R a q L O u 8 E 0 w F 8 p d A l 4 Y D n y V 0 J n T A 6 F g 3 l D u Z X l 5 9 n x 6 c r U h h b q 7 + E 8 / m s 5 M z + 1 v 2 + P p y P h 3 + 7 Y / / W v 4 6 v f h 8 s z Q J c 7 o h c I W S e w 2 P F g 5 0 S c n S m Q E / q S M O J G 4 K 1 C s p U 3 X 5 k N r d r + 2 O P Z x I d S X l S A a J w t V b C m k 6 v v o D a K d G q O O L 5 p q K y L 4 z 1 V z T X f N Q d 3 D F T G 4 c B g 1 9 q a P p Y v r X b G X s G h 2 5 d I 1 4 S 6 k a y 5 Q n s y H P d m h r d H Y n C O P Q T 6 q q W i g b 2 K O t u z 1 7 O L z 9 7 9 O v p R z f o x D R M H p O p k Y e x / p o 9 Z z M F u e p O 1 u S k 1 n / J x 7 D Y G t I z p Z J B + b U i e I s 1 K p p y c S A y d J 8 r S M j K M 7 A z p A T 4 U 9 J Z K N W h v f h L P X o S m y 4 / 9 T 3 N 2 l V F l L O V J A 8 5 5 e r 6 b W J k + I k 6 A 9 9 I Y a p j m h P l m G R S N e 1 6 6 1 H e G D G a P k g 2 Y i B j b 1 c o 9 y u h 0 h u r q M E M k w x / 7 J R G N / o x D q x F 0 o O m G i d m 9 g L Z c o 4 e 2 Q v D J k H L e N t E o l T l 7 N D 0 R m 6 n A l g y r H L O Q R B j 6 V 8 3 L G k f g K t W c M 6 G e k n 0 A a B C D m B H g U i 1 k K d a q Y K q Y a 0 5 V L S a S c X G m i u d a i 7 y Y W B C y 0 m F y M X e i 3 Q W m / 3 y r Z 5 Z l W 7 n 9 9 O R P N 1 M Z 2 v T E 1 Y F 0 U 8 C k e S 1 z R N U b 8 D M z i Y s V T 1 p E 4 q K G e R o O o K Z X h b r B C 7 P p B 7 9 p A X b a + l 5 E Z B G s H p p 9 Q a t J D D J Y G S 1 v b D n z z u G l H d / L + 3 k e N F L m 9 O D d p J 5 H i G J 6 e O Y G q M 5 e 9 c f O g X t 8 l T f X L x u E 1 E j v P K J P z g p u O Y g l g u K 6 R W 6 8 a I u e t d 4 S y K C h K I R e i R u 7 F f 5 X 4 9 X D + b 6 y h X T 5 g q j l o g s 6 Z n 5 X D 1 n E 0 X w p n m E I l 3 0 7 P l 0 u / M I P B U P E z 0 Z H A v S a H Q t p V 8 j S g o j x X D f X R 7 G W X Y l / J i 1 w d i z x 6 + m + 2 1 l G / n O M R + J w J f n 4 1 s r U O n T A S E E 4 l I U j N 8 K u l k C w n e B i m H 4 h K q k C U D x E g K L u n m h 4 m u V d p s 2 E M 8 l Y W U Y B 6 G q M 3 7 / r u Z e e c m n l 3 T G s U 1 I 8 L y F t P 1 t d E + k 0 Q Q r P z R o P 1 p N 0 m U + / U Q y s 1 1 l E g G K Z n 9 C y 3 T z / A J D H e t G 4 0 y h W o E G K P M u W n J N n q R z z p H w q B K E T f Y T e O z 2 7 C H a G 4 t p Q Q 0 S B r l 4 e L r 7 H p / 8 r s 5 U p K c S C R 2 C y z B h q e z I s 4 I a q d 5 3 u r v t h 2 + h w c a z Y Y 9 h F N Z S A l m k A n X m / n 1 x X J h P J x O I K p 8 A k c g q 2 v m U x t m q o C o B O 5 x G H V Y 1 + / t j j 2 E U 1 1 J i e f 7 E G F U P 3 / 5 u l z N x e m 8 0 O K n 3 H x u 8 A 2 r U X j F z y b i u s V c u s 2 B y h J c F W r Z Z L S Q r C t r 3 l a 7 2 4 M j 9 r r H m v n Z 5 j p K H I P 0 t o m q p k T e 6 F 1 k m v 6 d f R O V v F Q k r J l h M l L F / z j I x t H I W h t V S 9 h 4 5 H 6 5 t l W r 6 Z B Y h 1 p A G O U o s u m J 6 m q P m E i P x N o h 0 K J V 8 t m Q o r r h w j N E e d O a / y 0 a Z m s / 2 I + T C X 2 A t G j B G / a 0 G b l f D 2 / g 5 j r K z R k k K h w Y z H Z n O d U c J 4 c W 0 o v 5 v 4 z G M W 4 u Q H D y s C y I S H Q b / e 3 2 N D 8 R G X D O o 1 v B y + t E F e y q U 7 l f D 1 / L 5 j r K 1 x K k B 5 A e J O f y z v Y g O c M 7 K 0 F y 4 z s 7 X L / 6 k Z N m V O N w a O F S b V 8 M s Q v U u I f 8 t A m v 7 q G V k J 8 R b D y E + m x u d D x + / f v 2 j N o 6 8 U H 9 H p N N X H t o H x R w d 4 T f Z t O k 5 Z 2 t c x w N 0 K K J h Z G a t V K p 2 K 6 H m 3 N j G e X i f P 3 7 w N p o / u p e q O s z b 3 5 b z 1 e M + J Y m Y d I T p w k K F M h c K C Q K G m Q D e Z S B L N H t p k U L P D K h d V v v A B h v N + w h l u p K S j h P Q h y e 6 P F Z m k L H + i z 2 + C y D m r P E Z 4 1 4 y O F y P F l e r 4 z 6 6 G 5 z D 9 o 0 h T D q a S 7 I / n I U H I w o w y h r V 6 U H s V k P B 6 r 5 V f q F l P M U 5 N Q D 6 w B N s t E k I K Q J H 6 a L u 9 n B 1 c X T H 6 z P U 9 V K q M U t k F + X b F R C L i v d Y y f t 3 o f n U f 7 i 8 S m J e r V B D Z 7 A O g y 9 2 q C B A y N F 6 k c O z H C t 6 b u Z T p D Q r p t p w o S K b u Y I C h 3 C 8 G p + e 3 F 1 s b w w N b p O f 3 b I v w W D p U T q G r f x N M f D W J h M y b R N S F r Q s k g K h B E k Z 9 6 a j d T v u b / + 9 0 d I 2 l 5 L e W p O f w 4 w E 3 / 5 s F W O m 4 x 5 g e g P k 5 0 M w 3 H G 6 0 N R F c f k E 7 C u 8 z I v B M j J 3 p W 6 2 7 K H m G 4 t p Y Q 0 S N G v F 7 P p n z S j z 7 / M j V 6 O b r i J b I K 4 B Z N Z w E u g G 4 d h H p B q G p C 4 6 G R Z m U e N P q N l m 5 F t H 8 h N e w i s + I 2 U x Z T Q B o m e e M j v 1 k l / B n E + s D D o h i P Q h f J u P 5 + t q 0 k d I c Y L X l 4 Y E d j P Z w O w u w 1 R e U b f S n T J 7 v t W o i G 7 l 6 3 E M b s f 8 h k 9 i e B x R z 3 6 x o h L 1 7 h v j B i 6 x r I x M n a N 1 0 L d T v A 2 8 B C P L J 0 a x Z q a P X e p U k S b W e S / u a F K i a n Z R x v P 6 y H U r 6 b f P s + v T Y o J 7 5 0 g a a S z t J U R s U R y J M a 5 r B v G V 8 m k h n g P k j R L C v G K U r z Y 5 T 3 t j j 0 k P e p K a s Y T I i R N 3 w r T z P a s e z B 9 K 8 z A w 5 K t s J G I N R y r 9 7 O r 6 R c T b N d J 4 U d U / k l e 1 D j W M G c T h q p d 5 Z 8 k k y S l E 9 B Z X V l X / s 2 G P R w q Z S H l T I W p 7 a M 1 3 3 S B L f R 9 T Q N s Q f Y 1 R 9 j C c K b g i W x 3 + V v 8 0 b / X 5 W 8 f o 9 S Q M B T / O E j H r u Z a E L S c Q c 1 Z c M G O a D U N N J W G / R t G h E V q 2 C Y Z 2 m m O M C 0 a h z k 9 l f h c 6 o P + u p z + 7 5 2 R T u T 0 k A E h q V N o v R H S d I 0 z e P + Q x Z O k B I 3 A o B Q h X 7 T q b N N D 9 n 3 Q 7 t r D a 6 Z b 7 e / w p L H v W 5 G e v F v e m L I U J 2 h l K u x u 6 R o k U Q o 6 i C l F Z 7 l X l R O U C W l w J y n K s I 1 f l V 3 u L 7 d 9 I D b t J 7 a 3 0 8 3 F l N A G C b L k N x L d 7 O k f p s C 6 N b P x G w M v G 6 H I X C X r z B Q 6 n x U t 0 Q T O L h I i w i X X O q w H Y s N + g r q 5 l B L S I N v Y h 7 c L z u v 8 w g C Z P / 3 V Y Z K I M Q k T C F y g Y o n j E x a Y D f 4 L A j 3 m M 4 3 d + A 5 K v 9 1 + P c R z a y k l n q e / B j h E f B B 4 d O x E n k f / F Z f 4 L M s L 5 s O i t 9 K G E + l m V P H B Z F b c y z H a z W 3 1 8 T C p U 8 E E 7 W 8 o r C y k B D N M A R + d q l 6 i 6 V k 7 Z M Q v Z q + n i z 8 M x 9 + t S Y d N Z M l 9 X U c J T P 3 e S a E S D n G w H 7 D N l c Y Y 9 j D e F 7 M D s V 8 P x 1 9 d S f l g g m S N P l 9 9 N 3 p M v X S B 8 q b J J B J p c 6 t p K i R P 5 F V e x T R i k 6 w C j y 3 / y v Z p l p v 1 E M j N d Z Q w v g w R x I v t w 9 y o v 3 / 4 z u V J L i Y J O I 8 4 U 1 l s N X i B i q q I o y l T L 3 s t t m b D H m K p L K Q E 8 / B d g C + y H j P n g s g W A w 1 x 8 o R C h s i C t T 0 H g Z k b E d l D d + n d c n k z + 2 u 2 u D U 8 d W 4 K 3 h m l J 7 1 z E l 3 B W u k y I w S i J s j l k x N R r E r d Z 9 v 7 s d + x h 3 O 1 v Z Z y t I J U 8 d b P 9 F 1 Q w f 1 M 3 4 A K l j P 9 E R U 8 H K 1 I 2 1 T V p K k 7 N 1 U N y A o h F D s C K 4 Y g v J t f X F H K m 0 T t 3 V x 7 M C g A H w o Q H z L z u o I r p R 9 k v A y 1 k L h C 2 A e L U e s L r t 2 y j / t N X U q 5 3 o L 0 7 a F i v f 2 0 / D J b f T e 8 W c c u K X 0 G m j u l k Y r + J S J q g j X U 1 f P o / e R g v w t M v I V a r z 0 k e N i 0 h 7 B q F l M C G 6 T C 4 f k t m Y g R G X P i g o z J c j S Z C i w K M / x E i j V k T F 1 M I j R / c l o 1 E S C p P L V v o z Y 7 9 h D S 9 r f p V 1 L i e R I k M k a r / O I E O G t T f M P 4 W C i / j O P j 4 Q E 8 v 5 0 v F t + m t 0 b p 0 J P 3 D o U z 5 0 o Y 8 c C I 4 b 2 D e 9 6 z 0 j F R F 7 R 0 C M 0 c q l a H 0 n I 8 0 W + 6 / + D 3 1 w E d f q F + M f V 0 v Q + x g I 6 a Y n k D M p q 4 n K 5 2 W t i J 9 u r q Z 6 x F k v F 0 D a d L L / / 9 y O C M X B d o z R r W d U R f z h n A U L K c G 8 F Q Q 6 i b Q Y k p 5 X R J T h g I A t Y F s 9 s 5 f D Y 9 Z G Q k E 0 z n a 5 K S x h z L t o h o d t t f a P u 7 P Z W F l J v z O M S 8 R M + r 0 B T m D v M j P Y X G B R X c U 2 g M q G B J o R l R w c O h Z e q 6 j W C M M o d s p x M f b O F R u k d S p K D Z C G z r g W 3 U y t t B e O R 5 r R 6 F 7 z R O a C H e J s M 7 i c I f x w l r 5 6 3 U h F q n T m i d q 3 T Q m K 4 o 1 x 2 4 k q Z n O k J J 1 8 K g p X o 5 X X s d 1 c t 0 7 w m q 1 3 j x D W E Y + n D 7 S h v h p U R Z J I y n 8 X s o 1 0 z j E S C v a q T F S u A l R R 1 b g 3 m H L f v J H d t O b r / Y 3 y N / 1 B V k m r f G I X / U v 5 m P u 8 Z L O k O z m 6 9 G q V c 3 2 G o 0 S W M 8 0 X O 0 8 G v 8 p f J u + i s I + 4 B i U G Y A q U y b y L 6 P 3 u + 5 / 2 L 2 V 9 p s r 6 V 8 n U F C V 1 9 M v 5 n 9 u J 0 U c B I k G N D V w H O k l M 2 + n g f H P B 9 p Y k Z e 6 P e C h k q s x 1 1 y v x 6 i u b m O E s k g l W + A e 2 / n z a n L H L + N V s o / 7 0 P I 8 I a n 4 x R / e M P 1 r H k X a l T P m m / H T L q M V r L m x 4 x 2 C M O L + c V n Z o N G + J + b + U c p G b 5 J X N Z 5 k W f Q e J s O n F C w F w A m l I I k V r 8 9 O g 8 j u P s d + 7 j b u l + n X 0 u 5 3 4 I 0 A T l c w N i + v j B Z W 5 4 e O b R q U u a 6 W V q X j H t R l Q e O 0 z 1 W p Z h L g c 1 I i G q G v W X e A m o e D m q 3 5 f 5 3 3 l / 2 s b W U E t L T o 7 / N U E q T t t r X / 8 1 B F L 7 3 9 z 1 Z Y i g 1 N m G G u 1 I P r d X 0 t 6 2 D 0 E N r T c g z 0 f U c o W d D G B 7 0 X H G a F w n n c D Q n Y I o k P E + S r t s 8 W D k c 0 L L 3 Z r W + 2 T a d U P Z 3 r W 2 u o 9 x p Q Y 6 L j u a X K 8 H s P L m 7 n l / M v 8 6 X 2 0 n 5 m Y Z 4 o C / + n / 3 0 c r Z 8 N 7 t Z L u 5 u I T M c L A C q x x U s M U x y A F E U K N t V V Z d 8 F A V D Q c p j c N O w P 3 F l t W 7 j y D 3 v c Q T x r F 1 g M 3 6 7 q y Q / O 7 u b r T D 9 B a a 5 H J 6 z x x d K j r W U M c 0 4 T h + 1 g x + f / f S j F L X m n 8 f P f j o + + P z 0 h / 8 W y I s 1 Y S f 9 r M n l 2 u 1 m T Y Z b V 8 y a x k t 3 u H R f T V e X M 7 J K Q 8 P V r a U l v K 7 Q / 6 F v x W A e x m d 3 V u t 6 U m L q m Q B 3 y j M B g 7 I u F L o t e 8 g p t 5 b a P L / P g m x o 6 d s g L v i X t g 7 o u o 6 6 A l y 0 Q U b 0 y 3 C u 9 G 0 Q p 8 u t j U J X f O m i I N s g 4 / U 2 h E F v J K U 5 C w 7 v 2 D A C M l y i b n z 5 G s 0 0 G G D I z c i x Q M + X r 4 Q s A q 6 5 w h 8 O g c I O i f h w X T 7 s 2 c M t q l l M u U e D p M 1 z + X 8 1 o o B f n 7 s 0 W + i f o T c J W A 1 O n 5 C e Y Q A g C x J m P b j p M u 1 J c Y H c Q Z y 5 2 a 6 H c C o L K a F 8 f T 7 k p c 1 f 3 Z v l + n O n i k o N r E k n F 2 t d 4 Z c t s l 6 E 7 d 4 + C 7 l m O a L L h t t Y D z p y G d D 0 0 p 9 t 9 q h 7 F C X o a B z R D G E 4 X a 5 u r + 6 + / D F b P c D 0 c x 0 Q C B c I L r G Y S p 2 u M V W Z v O B K h A P w G c i q H P f S E v 8 p 6 9 H n 5 s Y 9 X H X 3 L K h c e U E O C 4 4 J 7 1 8 C s E B S c o Y Q x M 3 V d h v m j Q v p D / E 0 A A p Z T n S Z A Q k X x e 4 B i y d p V m M P 0 m A Y d h B O 7 v d 8 0 O x 4 n w 2 Z 7 b W U q L 4 J U d L j b H Z 9 u Z j d G s d 6 b p a Z 1 Q Q 9 H Q i b q B 0 y w O s A K F U 2 S W E A V q S g y O / s c m b 7 H X s 4 r t t r K T E N 0 j p T D 6 / X z I A c a p R I 5 4 I d a 9 a w T o C E J K 2 4 z k 1 w 3 1 Q o l o 6 T p u H l R a d u + x b O H r e t e n w j l P g M p a g z K R j X e u z I s z q V P P 3 u 1 k 9 5 1 X P a e J j K i H L G v p / X b N j D 9 a A s p N w N g V K C N Z C m 3 M V Z p k f T t M L r u o x Z t p F G Z 5 n h 3 F K Q b 5 / b N H I o / 3 u Y f m S o H w V M P 9 p j E n R v Z f 4 o f / H 4 U y k 9 S c y l f u x J Y o b 6 U Z L E x v p x O A 2 v p 9 e f p 5 9 n J h y S U 7 s T O Z E Y 3 W W U 5 Y A g Y R 2 Z 9 F l o O R n k Y V p N g 4 d 7 n d 1 2 P b w w W 0 s p b 0 y Q f U 5 a x 9 u X W + K C 2 O y I 8 Q b A p s A g j X j N 4 U z p M U g u L 0 y P Q T K 8 M J X A I I 0 v z B C G V 7 T F l o t L k 7 q f m 1 I S f I A S 6 1 S h O J / m K S p / X f r M n J w u d Z 6 K v 9 p h k N N t 2 M P l t r W U e r m F 2 D D R g 0 x c U o Y O Z G L I G A T I Z E w Y h l P 1 I L L P S U w c c H K a 5 s B L G t t a 0 U 5 u k H 3 Y n / J H p Z D U k S p V 1 n 3 m T c z d f w r b 9 y b E Q V q l q U d j z T z d u o / U T 3 A M 2 i p y g j O i S 4 Y D d X J x t J o K g o e h z e P W B s Y A J c c U J a s Q W Q F 0 I J C U z a G q I L R h 8 U 1 X v 6 6 g r d m 3 e f o 9 e 3 i q t t d S 3 q o g G 8 G n A P G u T J 4 o p 0 5 U R M i l F Y 0 7 2 n N g C y J m c l 3 q g Y o + b G g Y 0 S B m E e d s G h I P 1 1 X N d j 1 E U 1 l I C W W Q V E Q 9 f l a T z j v 0 9 K G P b t d t O r q j w x p H V / P b W 2 Z O x p v m g 5 M a X j Y B B l o V o L h 7 H G g z J k 4 n w J p q w P l F J n x Z O 9 z b w x / m s G k P H 6 d m M e U D / R C i G p 6 e L / + 4 k w g 9 B l J z C K y T h b 5 5 b a h p Z f N 6 r G m H Z O H F V I I A j p Z 3 1 7 f f t 2 + M Q 6 f k G 9 M O A G w Z G L Y M f k 0 u m N J N n o D I J a 7 K K d r q t O x o 4 b W 9 o I d P r 9 i u h 3 O 7 s Y x y Y g 9 D T L 1 f Q f 1 c X n w 2 Z H x u t i z M 7 0 r g + E m C O R r W H V 0 c u Y U B l A v 2 Z 4 T b h z U 9 q t 2 t h 0 C q K y m x D N K Z J c o 1 e M T M p e W a t 3 j E z N B z z U W 3 b 2 y 6 D j e j v v P t A t L v O t 8 G B p L o f I 8 Q / b U g a C U H X V o K X Y f O 0 F E Q H b q x o T A E 4 e z u 9 n r 6 x f C 2 v H 3 l M O w W / g B o B + D 7 k K e k 8 3 i / d 6 9 L x q S P f x l n a O R I X J l t 8 d l s 2 M P z o i y k v C 5 v X w X Y p D v C v 2 N h Z C 6 4 Z Q r J B A m 1 t I r x R U Y K Y j B w w 9 g N W i 7 T i 6 o o E n E I 7 c T L 2 + 1 6 i K W 6 k h L M M F O F T F P l O 1 E X s h a 5 Z 6 I u Z E B P R u r C G l n 5 1 X T 6 2 Y i 6 P X / h c k E y / Y O 1 H l F E R U i C 0 Q x p L 0 j 4 a x O K K h C 5 U L 9 E F 2 S H B F x s 2 M O h a n 6 Z f i H l T J 2 / C P C C B K Z h A q / 8 5 t L P w j A + o c 2 K W y k u R 9 C 4 h l D G 8 a S q s B O H 7 S w N L q 0 v S L H d / v f d 3 z R q Y x k l j L 8 F 2 c P S A V c y T X / J o Q F 6 f r d Y z P 8 y 8 u N P f 3 c 5 + T H z F P F m Z g D u h b Z S B w g o s 0 k p b J P w B 0 n I m H a w Q u 6 2 7 O G T 2 V p K + W x O f w / x 9 M 9 u L 6 7 m n 2 V M X 2 L 0 8 m 0 q j L G e L 1 f L u 0 8 a k s z h a 4 f w 5 v k E n D S N l a r M o t Y A S / b H S H v x z E p I n 4 T a Z 7 6 D o u f r b v s H 7 e Y P 2 q 3 v E S j 6 z L C o E v L D 1 w G G H L / X / 7 2 b M c k w V D i u t n Y M R A k m 7 m d S 6 L O v c I R 0 W l V C p 6 G v J t u j d k l x v 2 M P p 3 h 7 L S W m Q d r a 6 X t o m t v f e r r Q 9 9 A M 0 w X Z Q x u n C 0 P n Q N 9 D c 2 E o d D 0 0 A 0 F B 9 N B G f s J a E C p d P 1 k z z b M + C z 1 6 t A V N 6 W g i E j 0 6 8 t u H M J y t 5 o 0 8 5 0 e I t 3 N j P 8 2 N W g 0 I h 4 F 4 F u O 2 W Y g u T J 8 0 l k L l D j g c s x r 4 m z s I d T Z b P 2 g 3 7 u H R u W d B 5 e U J k l r 9 f r p Y T C 9 n n 0 x Q H b e p K i a 5 e H 2 n I K / o j Q 4 k X C F v B + W 6 l A O 6 X U i 4 / Y 4 9 B H Z 7 L S W m Q U 5 X 9 X g I T T b h U E u C q J O l x B Q d v O 7 S e B q 5 j J s 6 N T X D u C l P R 8 G 7 D d V B H W o q d g l C z 4 Q 2 R E E y o c e p X / f V J 0 / 1 j E o X Q n r P q D Q p H w t G 5 U h I H 8 J w c n F 2 N V u Z Z e L d U K f 0 r 0 U b K y Z Z K X i 4 0 g 5 I L D r b E f q P 6 L c i I I I c j H U 7 t N + z h 8 d s e y 3 l M Q s S f f r 2 a r 4 0 d T o + O H S 0 h I N S X c D y r x l G x A L Z 1 c 1 y I x B f F f l K B G J c y t H Z D g D F d j 3 E c m M Z J Y w f P w T Y t d L T n V 2 Q E T 3 d 2 Q C N k H T n E R s x 3 J H 6 D o c m N b Q u r r s O h 6 H P J D o c Y 5 t p C M L J 9 M I 4 f n 3 v J A 6 P b T C 8 S 4 S I u c B g D A 7 4 F B w x E I y H B F P G 8 v G y F h S X + / V w q W 2 u o 9 x q 7 0 N 0 E 4 Z G O r 2 Y i v d p r w L x u J X U k G y z U o 5 X 2 j e q g O o S R y j P S U 7 T D l y X d t P 7 H L H 0 S 2 w G c X c p j v + s R r w G x O p Q M p / f f b k 1 I p n c + i z J J K / j q B C y 5 J J z 3 V H c 4 L Z V y E / U 3 A k N 9 8 1 u a N P s 1 s O p V x b a / G K e B d l g 0 S u Q u c w J + r r b M C i Q d f c 4 K R j e U b 0 C m a b 9 4 X B o 9 b 2 0 x 7 0 Y 9 L 2 0 B i r H r E J 6 T x x c X T z 9 w T o p 6 3 p p L f 9 R N / A Q v b R 8 j 2 / A 7 n f 9 L v + J x 9 d j O p l e z s 2 9 g 8 N 3 D q W m 8 C M T b i 5 Z W h R Z D q a q K z X r d F I m W V a V g s Z a 2 T N W 2 / 1 6 u K D V l d Q b + l 2 A 5 e b L 1 c z 4 1 L 5 1 A c K k 2 a R O c z x 7 I I Q B E K 6 j b m S F D w h A O e h j Y t J R N t B H u 9 d W 7 t d D L D f X U S L 5 N k S 4 y + H d 5 d 0 f x n L J T c Q m n h Q 0 7 R L E Y B t s W k f 6 q w k y 8 a 0 R 7 U K P Y y e f w G b H H q L Z / j b 9 S k o 8 j 4 M U s d H S x V z G + z 3 U x T D e l 1 C X c b w / 5 E 7 P V 9 P L P 5 e r S 0 N r 9 c x F U R u a D G Y e n C t o 7 5 Q f g 1 c S i u l 5 n K P K j M 7 N b l 5 J 3 Z b 7 z 3 1 / 8 O G t p Z S T d R b k y d J a R r t U J e 1 d m B q K E u G V N N Y k w 7 k C w 7 I 9 F 3 e i u B T 8 + q K W N 1 F c C p L 5 k e K y R n E B U L I d h t y l p E q Z 6 Y k w 5 I a a K o W J m Y 9 F 1 X A a T m f f v m L Q w S P D / 9 8 N / 7 i Y 6 2 Q b 3 A B k y D u V O X L + 6 K 5 A P O j A y s 0 7 A 1 Y 5 l s w V + 8 K q 3 f O B 2 P H B E f v d Y 5 H 8 T L O Y 8 t Q E i R p 7 u 1 r M p t c i o P c p c b j q 6 F Q J o L + 8 b u B h b c e 7 T C Y J o k 4 1 p X K S M G i 3 n s k 2 u / W Q N 7 S / S 7 + S G s s Q m U d 6 7 L n L V d k n 5 I a r U i b k 4 1 U 5 X J V v p q u Z O F C P M k i y 8 q z F + 8 y k D e v G q 8 Z j B T d U p h G M q D B M r d v X 8 0 m V T O o i g y h U F r W k h 5 J j 2 r V I x H b 7 g 7 W / 1 H 9 j G e X 8 h k m q 1 j E H E 5 e C u h v p G + p p M d I f y + n h 9 J 5 c n E 7 n K 8 G 9 u + 9 B d B v q 5 7 i E 0 z U u G P G J v m K H D 3 x S V X Q c a S m X C a + i U J e 3 f h T b H X s 4 U e p K y q E K c r C v 9 x 1 2 O V R d L W 0 4 V K K W H g / V c K j 0 u F o X v e v u 3 A h p N / H q 6 A Z j p c D V j o r X Q x j e T O 9 W M 2 O y 7 5 Y q I M H C F Q a v F F A t c g O 9 j L x I F R I G K R l i E T j y 7 c A a b 3 f s 4 W 5 T V 1 L u t i A T B t A h 2 7 0 R X Y v K Y W z + + 2 y x W H 6 7 w d z P R F M + c R G n y H K m c C V g b J w G y C Y H o F s c V c j / Z S k 9 5 5 6 / b J d i r u 3 a w 7 e j W 0 3 5 f k 6 C L B i 1 v T U N 7 M I a r t D 3 1 k y s E 9 F b G 1 k n w 7 W s f x 1 d w t C / j o Y w y N d x D M N 6 G B o Q + w Y R z q n T 3 E F D T J 3 m s h o 7 z V / W q X A n y + v V 0 v T W u E p i I B o r P G R B B M D 2 E f r d E l 9 Z C 6 I I / g G p 0 A d m r l m 0 6 f 3 D 0 s D N h j 0 8 M 8 p C y g s T p h y G d p K p A d 1 Z v z B d 9 d W W x 7 q 8 X 1 R f o 6 D s 2 s W m f e Z d x s n 9 M 2 + Y J 8 s R 2 j h Q H s J A P / I B n M a J i 1 p f C m Q t F S V W W j d y f e 1 J e S K d 7 S v G M L s Y e D V 7 9 X C p t b 9 K v 5 J y q 5 2 E q N T H C 7 F d d + k o 8 w 5 1 F 0 / T 9 h q J C x U 5 b h U 2 E w M V O a Z l k o x U 5 O H Q 6 g k C L u 3 D n i B g 6 B 9 K g s D Y Q B z C o C c I a E 6 D w 4 l 7 M / s 2 N w 3 C j 1 1 u 5 6 y Y J G m B c A o 4 h i q l Q 9 a N 0 e K 4 m G R J I R S o S 9 T Y p N S i X Y 9 D 7 r e / N / c 3 R 9 t c R 7 m f j 0 O 8 n / W D c M 3 X Y p 1 1 9 o N w w 9 0 p B + H j 3 T k c 2 p e r 6 b V p L n 1 6 I l + 4 f 4 8 Y k + J Z m t J o B i j U I I P a W e c T 0 T R M q 4 Q K L i 1 R d w c / Z j u X l v v 1 c K A 2 1 1 E O 1 O l J g C Q M / R D N h W z e l X E G s r k o 4 0 a y + X C c E N 3 d z g j b 0 m 7 j D D m 8 g e f Y H A n D h f 2 g + 6 C s x 2 j K K g L 9 S H e I g T j C / e j 3 C 5 9 h 2 / M q N 7 t 3 Y N / 6 K s p Z D R L R p w f M Z i 5 X b Z u r 5 K 3 O g K 7 n I q v 9 b I 8 A y 1 0 4 h U 2 Y d v l P P D 4 L U V 8 j a j p f D q d V T z f V r G G f 5 7 Q Q 9 f Y M 6 i I t 6 K Z j d 2 2 4 l v W F u s v 0 p i / U D d M b W a i P 0 5 s h D B + / L x k j f D L g t t w U 8 U k 3 I 5 y F C 4 Y G G z D I k h E 1 r F + c Z + q q B g x p j 9 t q d + w h 4 V R X U p 6 x I P X w 9 T W c y 7 H q a z j D s Z I 1 3 H i s h m N 1 M j V T 6 U + O H R K L L J 3 U N e 1 q T g 6 6 s k X Z G a k + q a A W 5 n m N N Y E U 4 Y t 2 G M a J / X o 4 U v J 3 6 d d R D t T J c Y A 1 H H n s 3 I j h c V N U j C Y 5 b i F 5 n k E T z Z u q u 5 m r l p M 4 i 4 B / 4 T o D s U f G 2 K 6 / 1 W y 4 / 4 3 3 1 + B S F l K C G a S W Y l Q 0 3 a w N r I K u F r T O / I q 2 f 9 K V X 7 r U r w A s P k 5 W 1 8 m J 2 v G 2 S 6 O x 6 4 s Y + o y i L z K 2 G Y c n 6 g P G g r P V H 3 e r T 1 e G 7 O / Y S Y q v w i o S q R c y v z w m B + x U e Z 5 U 5 Q S f H B i L + E V W Q B h t W x d r e / Z w w e l W U 2 6 5 4 x B F + f T A O C e p 0 X Y G m p q k R g V s f J Q a H Q 5 Y V G o e G z d e U v v Y J I Y Z a D k y k 1 D k X 3 9 s t D A e l 2 5 P D + M x t H t k Y 2 / s 9 6 y d B i 1 L z 4 n L 0 k A Q E 9 7 + e 6 k s w D J G J s t a E L T o G B e q c 9 9 0 M 1 C d Z d N t p D o P Y Y h b Q N J G G Z J o H m i H J v e b 6 T d I S x c m R P D J u U M T A s t D x k + Q k r D 6 j n M m U A M g G B H W O q u q P I F / s k M P o t u x h 8 x u a y k l r T s 5 D 7 A T o S 9 e X a b J f f F q G C f L 4 n W c J w + H V z / U d + m w d s W r o c E q i t e x v z o E 4 X x 5 s V y t T L 4 Y b i i Z T E j F Y 2 M i P T E G N W l u N j h 3 y D b A R e 8 K W s u u X L N h D 3 d b + 9 P 0 K y l X W 5 h A G W 2 p 5 J K j l 1 2 p Z M j R Z a k 0 5 u j D q d I P j 1 x y 9 H 5 4 Z E j S 5 f B o z N L X w l B r G g f Z 4 6 a H + v G 7 C 9 y l r w Q M c B d Z C Y x w l y H U H 2 b X t 3 c r k / f k k Y s I K U L N s M O L p I D F A u x T q q P I 8 V I c 1 4 j G V Y z f U S g V u t t t Y + 9 h 2 l 6 7 4 / 5 5 2 d 9 8 S V 1 J e c i O Q p Q g 1 Q P u H / n o a o d Y L t O T v g 4 w j E 9 k H T D O T 4 a j + 2 b 6 Z b o y T E 5 c q + s k y p n 7 Q m / A A R j f k r a 8 r q C r I S u W c 5 z l H 3 c d + Y c P r t y v h 2 O 7 u Y 5 y a M M s r L X j S J e u W F f R G Z p i o q I b e 2 L D c f p t c W M 2 B 3 L D o c W T C h c g 8 T 9 Z H s X D J L L M J g m D S B p W W V 7 t Z H T Y b N j D g V I W U k 5 U k C i 0 X 6 C w f A Y 3 Y 7 g e n e X g 6 D 5 i 9 s R d i N 1 o b 0 A B A g r Q D G j C q C g q F A s 6 W M b D 1 2 O 3 Z Q 8 B 3 V p K C W m Q g n D H y 2 + m N N X d g 6 J I w b I l d Z y v i W X W C b a y e V Z j 2 y c M K J L 2 P n 0 4 m m K 3 H i K 5 s Y w S x T D N J 7 S N F p c e c t 9 o M f S Q Z a N l 7 C E P j 9 2 b 5 a e p 6 X L 8 + M F l M l N O w N V k C I B F + D S j G 9 d m I 0 + q W N j 2 p A k H K c F I s W 0 3 P 3 y Y 5 G 4 9 n K b N d Z T j F K S p 7 z u u G V M c X / / u E s d q g s 0 2 Z Q D S F H G x p r l T p V C f 4 4 h q f l e q p t y v h 0 h u r q N E 8 v X v I Q 7 X t K 4 8 m s L d G h n a t z 4 N m C n Z + h w x U 8 P F e D K 9 n t 7 c T I W e w N l 0 9 Z l / 7 I N S W Q l r n h T a Z A n 4 O p N u 9 b I r V p a 0 y 5 I Y z U 0 w 9 F L 5 x R a Y 2 O 3 7 Q O x 6 7 9 x K 3 W r K I Q u T Y 6 m F n 7 g o K v V N Z 4 O i k m w 6 j 4 p K w y E 7 u 1 t M b z 7 P D c W Z 2 7 s F d S E S d G U y + a L g o e r z j 2 y S l y U 8 B 7 i 2 X T f a b n r a 7 t j D y 6 W u p B y r I N + u j 9 P v R o a K q 4 9 Z g T m n M C N J 4 q z K R M O x u S z z C V d o g p d n J n h 8 1 t m k 3 K 2 H S G 6 u o 8 Q x S P + y d 3 M B a D h c r e Z / m E p t N 2 Q D F L G o R i g f v c Y c x l E b T A F s K E A 2 0 A f b s Q 3 G p g + a L X u I q W Y x J b B B w h v 0 H s q a 5 N I B 7 6 d H h 7 n A k v q p k A G X J K d C I z B p e F v 1 6 D C X u X o 3 S z C M 1 c U s Y Z y q D 0 F 4 + / n P u 5 v P M x P 2 1 c 3 / O E e x P w c F x m C u q B D o B 2 T U s D a L S Z o k O P v E h W h j 7 g B + 7 b b s 4 R L d W k q 5 Q o N 0 Q d a T a V y G 3 n 3 j 0 j D 0 l o 3 L c e i 9 d r J u p p 9 M x + q 1 E 6 S 8 m h R 5 k u Z 1 F A k z D H l 6 m m O V Y x F f 0 M l E s o x j V x f c i X a F w 1 u x X x 9 n a m M d 5 U C 9 D h F N / m 7 + d T E z + T W 5 M T 9 r U Q N m Z Z m V V c Q 9 m f X 4 h X w C G o m r U Q o X S B 8 n u 0 g 2 + / U Q S m U h J Z Z B E j 4 7 O o O h o n e r A S M E J 9 B R o 6 S n N c Z R J C O U B 7 O K J i n 6 Y z m F Y M 0 8 d g c V l 2 7 L H g K 6 t Z Q S 0 i B r w a P p 4 v I b H j K G k J 6 8 d R k u 1 N y 1 O S 0 a j G I K K D x d A o O 0 C I 3 P f w M X 2 G 3 Y Q 0 C 3 l l I C e v I 2 w A G D X t h M A z J y q Q G 1 H E t N n W k 9 x O h Q 9 I Y Z h u A b j y O M I U X S I 6 t d p K / 7 J r e B 9 i 2 b 3 K P 0 9 R C G 9 6 v Z 3 e 1 i Z p r O O r u 2 0 e W m 2 M O 0 T T p P d m 9 i g i M l b y S y F 7 A j 7 W 2 3 u w 1 7 u E C 3 l l I u 0 C B d 2 0 7 x U V + K c O 5 j I i h o X T F d 0 b r O C 2 G X 3 o 8 s k g m o I 0 B J u U h i m R f a F h 7 N b v c + C d x Y R o l i k C N A P f V Z Q z F y e A a P G C E b 8 q b 3 / 3 T J m 1 J 4 E 6 R M s R A 1 L B v d w q Z G x f A 5 S 6 E F F m k u T 7 4 1 o 0 J s 1 8 O h 3 1 h G + V T e / z P E j E k 7 L X 7 c T + X d 8 u L z A i E k w + f i i j u O a W n w Q T Q f i 0 A w y s 8 F 3 D G 6 m H S L y 4 i J C / j + t r 3 7 M B q r 2 7 K H T 2 Z r K e W z C R J 7 r N f 7 1 g x C H G 4 Y f T d S s 4 Z 9 o t 1 l 2 o Z h i + x G j s O W I c c 7 u v v y x 2 z 1 w P l 1 B Z o L u A I O I y l d D 0 B 4 f e c j o y V S 0 d c i y d t N n 3 H Y t I c T r F l M O c N B g s 3 j r L n m p 0 g 5 d e F + + s g C K V G t c 6 P S F M s O 9 8 T 7 + W I x / b J c C i D b 0 f L u + v a 7 T D 0 2 / m u 9 f e e Q j u A B L L y j 8 z Q v I L C k a 0 o F S T o p c W W s 2 3 G + P X S + 3 7 O H z 3 N 7 L e X r f P s u w M R E X + G 7 q B X 0 F b 5 B r U B W + K N a Q X c d J E / f z K 6 n 3 4 x D X j e V Z S h j 3 P 0 C 8 d R 4 m 6 5 d / b C L q A V L 0 E 8 7 l f j t j j 0 c L H U l 5 V g F q b T 8 Z n 7 x 2 S x F / / a V y 1 W J Y Y q Y y 9 d 5 k 3 D 3 Q L Y q m W Q Q J h g 6 1 q 3 e i 2 2 R 3 + 7 Y R z y b 3 6 Z f S Y n n 2 1 c B X p O v I E e s T J X V o c v L h 7 Q B l n C w o C F I C + n s t Q F G n W Z 1 j U J P l d c 7 d G y a 7 f a / 8 P 5 0 D Z S F l F A e h v j i H S 3 / + M O Q w r g 1 U h k 5 g c F H B z i p E 2 T Q s y 6 U l Y A L i 4 s 2 K S o u X O s C W W z W Q x g 3 l l G C G G Q D V f i n m Y 7 j b + 8 d b t e 0 Y n B I 7 w t A V B K J F m o X R e D f h B F d j D z D s o A U t U X q P 9 z o k P v 1 E M j N d Z R I / v Y + w J t V P 0 t 8 3 N L l 1 f R 6 + d f M J H D x w U m Z p p y U R U R Z n V b C 3 U D O S Z r G G B y c m o c a d Y s d X + N 2 x x 6 + G H U l 5 Z s J s v H + y / z 6 2 o j 3 c Y V u R d L N B 5 5 2 G l d g u N r 3 m L Q K w 8 k C + A h W 2 i J f b m e Y D x / / Z s M e o q k s p A Q z S P C W v s e p Q U M 6 9 C 5 + n V 5 8 N p v Y u D 3 7 2 Y Q z T o V V Y Q + A Y 8 2 Q j q f M T 4 u 0 o 5 v Y j 9 z a D X v 4 Y t S V l E 8 m y N f / Z A 6 v 8 s 4 M i n a r l x m A p S X E c 1 7 / M k 4 G q + Y q p / D K S N P x l t 2 N 9 t X v 2 U N M t 9 d S o h p k z X w y v 5 5 f L j + b 6 E J u / t v J p A J x m 2 M 2 B W u o 6 L h f y K J O S M y z i q k 5 z D C y d N u S u d u w l 4 g 2 v 0 2 / l B L Q I D 2 4 f 5 3 9 + e d s Z b 5 3 X Z X F Q D L E a Q 9 c a a 0 r n 9 T x J E p L / F h 2 x n L 2 e + 5 / 6 f 0 V z 9 t r K V E N U 2 F M O 8 p 2 k V 3 p O 8 Y G 2 R X Z M R 5 l V 4 a O 8 c n y e n 4 7 m 9 4 Z W h l u o F o I D B w s A R a i y x g P 0 0 J 0 j B A Z o 6 o p U / 6 5 y 7 S / 2 7 K H o 7 W 1 l H q y g o T V Z s 3 c Z W O k 1 m p 5 P J a 7 9 / u r u 9 V N g z 2 7 b 4 j n Z g K Y T O I c g d Z 1 z G C D K Y K s m w E S I R s u d 5 K / 6 n b s 4 a v Z W k r 5 a s L 0 A U w b 4 P X G V x N r o E X W + I 2 0 B f Y I s S V B a N H 5 A K Y 4 Z M W j 0 P V w H 7 + a w n U 3 5 z r u u n J p V K H w G F F T D j K B d T 6 h W Z n T q R S t p n I H Q l m 3 Z Q 8 n a 2 s p 5 W Q F K T B 3 f j t j 6 n N r e G H d u g Y I A p Z C W q R W 1 C g Y F t B 1 i s u s w e / u g L t u d + w h o O p K S j y D b B v o k T g a p J t D p + l 0 f n G 1 R J L G 8 N G 4 C d J U d C a E T A m a d / E 6 X Z u P B i w H w K 4 s R t 6 k c d + 1 Y y N 2 W / b w 1 W w t p X w 2 Q U r S o N q 5 j X R K X C A y R f v A J g a I T M E D m 4 w Q m e G B P Z 1 9 M + e t b i P 4 f F I j M F m Q m z Z s 3 q 4 9 V K e T J C 5 5 V o X W J O L K t s 2 h Z r s + z p T 8 X f q F l B M V 5 A j + 4 / T z H W B C w x 3 5 y x u X + W 0 0 i Q W T K a Y T X 4 t 5 f C d p w R 0 p / g C p 5 R S M T E O N s b s j 2 x 3 3 v / L + m k L q S k o 8 f 3 k T 4 g x X C 3 H V l C A O D 6 u Y b J t S M b e q F T V Z s g O O P h q K G I z U 3 R d D 3 2 P C T I f 3 N O L w g 8 G x Z s L I / X r 4 X j b X U b 6 W I A t W / c D v c b + W o + V i 9 s U o Z + v G n O K r Y A Z U I E z M d 4 N a Q P 9 a 1 B N w I X m C N n F Z 8 / H k 1 u 9 F u 2 M P X 4 y 6 k v L N B M m f i i I N w D 1 2 U d t s R w U d h E f b 4 6 D F M W p t D h n Y O Y / 2 / C / j q X J q O W c R q R Y N Q o i r a c F V X H W 3 M D k Y + B m 6 0 E z p h M G T / R y 9 2 7 K H Y 7 W 1 l H K u g l R y e D H 9 a z 4 z M k z d p H N Q J 4 Y a m N V l j b f u u v V P S e 8 D O X D S a r I 0 0 R C 2 z a v b H X s I q L q S E s 8 g 1 X P g Y G 7 X q p l G s M E h E + M o b q 8 R P + 4 a R 8 u / g M / v j y M P Y q + s a K 8 V a P s m P O W d p F N Z A / 0 k 0 6 N + 2 F H 0 r t / x 3 n n y 6 k r K d x k k Y k + v 6 K n J + a y H F L 2 i p 2 F I I R U 9 x y H F 8 I K / W C 5 N K N i P x w 5 V N / Q 9 B J i q O I H A U M L j K z s d p o q 7 n q t / k F 2 2 R r + L 7 f q 4 6 N e X U U 7 T x + M A 6 + 3 z i 6 v F j E a z E d L s V u B E E M Z w X S H d E m I i w 7 R J Y G B z L s 0 6 I s 4 t L M C u h T J s 2 k N I N Y s p g f 0 b l T m a p 9 X 6 m u z K H I P c U k q Z M 6 o t D Z f k y / k f 5 j m u M w u / F p 6 X T G / S G j n 6 L v W o Y J 1 A z A c i U e 7 U a G 6 2 6 + F M K Q u p 5 + k 0 w I s S N c f t V D X S k E u s z 1 P e H q i 2 D 6 h r G + Q c q F F E b j h P Y L F u P y 2 / z F Y m h V Z X A g 6 t g R j S V t 7 g i 6 g m J e h I a H p W J X O d L I o r p q b 2 Y r v D p j 2 c L M 1 i y u k K M q n / d X l 1 b b 4 p X X k 4 O B t R n I H i h X Q n e + 8 N l A x 8 R M L / r A v y 2 u U g 7 Y 4 9 h F R d S Y l n k E y c S I s k c 7 k t e y S Z 4 b q U S L L x v h z u y 1 f z T 1 c P 6 A C 5 3 Z Z A S H B N B K R Z b + b 2 N D / I P F D S x Q s g E X J w 1 v y 2 b s s e D t b W U s r J C v K m 1 L c / X E 5 W 3 / 4 w n C z Z / h h P 1 n C y 9 F J n L l 2 o 3 n j B 0 I W S U m d j F 2 o I A 4 C M 7 a w 8 f 1 z 5 6 P f T x R 9 L E 1 7 A F b o J D Z h 5 F B b s 3 U 3 Z J J z o P K C 8 i r w a f q Y F c 6 w W 4 f U w R b j Z s I c L V F l I u T 6 D B G 4 e m V X H j l 3 A Q p m Q R q J O R P 4 O 0 k L j y 9 2 E s s R F L I L k H c F n 2 A k s J L b r I Z A b y y h h P P 7 7 w I Q e l + m t H 4 B p 2 G k O A 7 D z 5 f X y i w m 9 d u S k J l F N c H I F W L K m + i M / S L x c J x R E K R 4 H a M l w 9 7 R v z s N 3 S 7 N h D 5 + k s p D y U R 4 d h t g i 0 q J 7 N R + M d Y u o R / c a 6 I w S 3 T v S G Y e c o C O I G D C h r k g E 9 C P j i o c Z Q S 0 h 0 t C 1 i A q B L Q H y V w / u P n b N h G 7 L H s 7 V 1 l L K y Q o S i / D 7 U p p e 7 4 d m y H y q Z H B f Y L + b r U N 8 6 3 K S o 0 N d Z U h R i / G U P b B E b N d D K D e W U c I Y J F z z c H 6 L l K H h X J 6 c u k y N 8 W q F 1 A a 6 C z 4 x O k n 9 O A T M V x Y z a c S 8 P E / y 1 P q t a 7 b r I Z D K Q k o o T 0 I c h 5 D G b h d e 6 e M S o B 7 E a b 9 w + 1 o g n T M k w 9 N + T S h R o L S B D a K 0 U 9 Q C v R 1 Z o 8 k 2 0 d P 7 Q / V v r q N 8 K 6 c v A s y L g D V v f y s 6 x K 1 D I n 0 6 / b r X N B q i R y E s 3 t a q O p F E p 3 h D A 0 L n O 9 o l i R a b 9 X C t b C y j f C h h J t C l B n K o 0 z e 3 T q D 7 p p q h t y m b a m N v c 0 i g w V 1 p z q u m x e x w X v U o f J d a q Y O n G E o l A U 8 Z K 6 U h 0 P o O x + N 2 U V 7 M F l O o 7 y Z 3 X K d q T C D 9 0 Z Z B H z d F N x O V N d K 7 p u m W w 9 D D c j o u Y A L s o n j c 7 d j D D b 2 1 l H J L B 1 m M 6 V O / x / 1 q 9 M B w D U n H 4 Q p 6 d 3 d z Y 7 Y S d Z u N C v O 0 F L Z f X g i v o z U l R 8 Q a 8 F O j S 1 w g D o p 9 s 3 V B 0 u 7 Y w 4 e p r q R 8 l 0 F O R j / O b u S U B v W U p X S I P Z s i o 3 K 1 / Z S 9 c e q p J h M J P 6 5 L Y P 9 p Q t O g v W 8 Q i k N l g 1 F 4 g S d 3 6 z l i 1 / 0 R G z 8 4 a r Z 9 0 G z 6 p x / 3 V 0 B o l 1 M C / C b E / u q 7 5 S c J U z 7 B P s a k i v H 2 t U N d m O a T g t Y 4 D S F U H I W + e h 9 f r I H B o 0 c 1 e I e c Z p C 9 d Y z c 9 4 H c t Y + j K 3 4 l Z T U l u m 9 f B 1 g l H t 3 d 3 B p R 6 G 6 K n d k k y U h s s 4 o e U S s 1 1 4 x C Y v 6 G U 8 t A X z A N 0 O 2 0 p Y 8 1 G / Y Q U W U h J Z h B 6 n X q S w g N P M L h / d a X E J o 8 x L p a 7 E o I R P r F z a 1 D 5 I o S o t z j 7 X z w r 5 v 5 f 1 3 P F 0 9 / k L s + + P H Z T 0 2 8 H + U v f j y 8 v F x B 0 v x l P l t c 3 j z 7 6 c e X s + W 7 2 c 1 y c X c 7 X 1 6 r / 1 r 8 G z 5 M F 3 c z / n n 8 7 K f j g 8 9 P f / h v o Q 1 3 v V 5 C 6 G D R G k U b l 0 A n m v 5 R 2 3 8 k R n K L B 1 c X 7 U / 2 7 K e N / 1 L 8 l 9 j 4 1 w c L I t v 5 T b a + t b p A J 4 j m 5 G O g 5 + L r u 7 h N n u p r x c d t + J 7 M p 1 / m h v G A s 9 F R L q A Z + F J L d 4 W e V M Y D k F S 8 6 Y 1 C / w 7 e O H K / H h 6 A z X W U + z 9 I k y O 9 0 J U L + 6 g f h R v o R 3 I U P v K P h t u 5 l 4 U 2 H K o T F 3 + b j J E 3 L m G g f 3 P a L 5 C f u 1 k 4 c 3 C q X I G 3 F 5 I 3 d M e t A c D 9 n j 0 c r O 2 1 l M N 1 E q L P z d F i a u K / n D u N x R I h X 1 R k 3 J E i S 5 a X o c y T a 9 o Z w I i K t K V x W m f J b N Z D J M V v 0 i + j B P E 8 x K E Y O A y Q + Y Z z 6 a Z C h W 4 Z U h h Y T m X S P E y w l Z o w o i q E 7 g n l D h P x t n 1 h 1 6 V o N t z / x v v r T y g L K c E M E t g Q t R q O G 8 L J m U s p I v Q c R c C E Y d h 9 t U g S / + M g G 4 u R 4 b n T V 4 S a H H X n i r B F A e g K B V E R j u 7 j Q x D 0 0 r i a y Z 5 L R a g 1 j t C 0 F 6 w D 3 R t H t M 1 4 X a S l c c T I v h h C H W k L c 5 f z 1 h X m h v M m C v P x v K 0 F Q Y s 6 d n l 7 + l L L 8 P b I U m t 8 e 4 Y w v F 4 u b 3 H e N r U v 3 B r Y c E h K R o a g i 5 G h j e T 4 o W 1 g g 3 u s c R K k A B N a K g K O b J f R d V v 2 k N N t L a V k d U E 2 s d 8 z H T Z O J I 7 e u g y a K i g Y o F X h n + c 0 1 6 R u X R P Q K E d 0 G M c p G l J Y m u a x N Q S x 2 b C H c C o L K c E 8 C t E R h 6 r i 8 i E d V x f 0 M X N D f D O E O C F N x s E S T k i x Q I 1 G i 3 J X l 7 9 u w x 7 C u b W U E t D 3 I S K Q 9 c m + h v p p n Q N 2 4 x / D V E A k + + N U Y H j 1 T i 7 e z K 6 v j X 0 M N / G w e I J t G K 0 o T h V 8 t W h Q R y 4 5 b j H + N d B m y 6 y w 5 s Z 2 G / Z w q r a W U k / V P w O c w k N z 2 Q b M O E F w + 8 r K A M G V l d U I w R 3 O l b i R T T 3 e j x 9 c M o 9 6 g j J Y F s N i K 0 o 0 j X r I Z E l K g l g H d K i i E t A X 2 0 R S 7 t b D i d p c R z l O H z 8 E e J x e M d B c m L 1 G 3 I S N S t I L 3 E Z g H S I h U I N c a v u 8 0 m 2 A P 8 Z a u M 4 j I s 3 j Z l c V d F v 2 E s / m 1 + m X U k I a p L S R R H P t D 3 5 W T F C o g r W N U I C U / S f 5 b x r 3 4 N I i 5 j E l r x 2 8 J Y k 7 t A t o s + H + N 9 5 f 4 1 5 Z S A l m k K C z 8 / m X r 2 b d M V d X Y e r y G C 1 b D i l F e t J j D h C H 5 l B G N Z d t g x a 1 P Z 7 t j j 2 E U 1 1 J i W e Q j s J n V 7 P F V 9 P h d H I V S E u o w i W g 7 Y J j C K J b m A c 0 h x M T D 4 E L r S G e V h U o Q m t I d 7 N h D 9 F U F l K D G W T J P r + c L j 4 t D T N S p 9 o i 4 a r F p W t A 8 z a h r C b I q W L R k y X R b q z v V 8 1 2 P c R S X U k J Z p B 6 x E d I T C 8 / z 0 w 8 I K d o p o j v w N n l e E Z 5 F G V A u L u z K b p p N N G 4 a B H g 2 c X N s N u y h 4 h u L f V 3 C K m e 1 6 u Z P D h M + s 6 n n + b X 0 2 + G O + D E S W k + F R 6 Y z L G o g 4 A w y V 6 r v A a E B y Y k j p L P h j c a g L g 1 f q n d s Y e P R l 1 J + W Z O Q t S b j 3 X C o D o s r 8 M 3 0 7 H q D B + N m 3 9 y M s l K 2 N 8 x 0 g H y 0 1 h L A 6 A Q g H i L s C h A O s C e I t J t 2 c N X s 7 W U 8 t k E 6 Z + s B 9 i 4 N H t 7 g I 2 h 2 y s B N m O 7 d 2 h L / X 5 n F C s 7 / B + X r h T E O q a b o t 0 L O G 3 d O D F O J 8 j q V W n U t I B L a 4 a O 2 K 6 H E 7 W x j H K a D v 8 n w K 6 U n l 3 7 y A T / W k c M 0 W B D H C 7 6 V 8 u v s 2 8 N h f d i f v t 9 u 3 H t R u B l x E C R T r m H L N S 6 k 2 c p / q I q s q a v F t v f 8 t 1 + 9 + 7 r p C y k f J N B s n f 1 W K L M 4 U L p s E R t G 1 u H 6 B J Y o m w k + f Q k n + f T 6 8 + m 7 o m b 0 i 2 W y Q i p 0 d f E B F u 0 T 7 p e d Y U + F w 5 B c H A w V 8 i Q v L X u n s j 9 e r j h N 9 d R j l O Q O r f 6 K / 5 x a 7 O 3 N x e z p d F 7 2 7 U 2 q 6 u a q S 8 e e h t j q g p l j w Q l N y Q U B G z G / v 5 t N + z h g 1 F X U j 6 Z I E s z p m u 3 i 5 l p 6 u j W o M l p 0 N S I q v W K G P 2 o K m G 0 k Z Q 1 x O w k 3 2 1 U J X f s I Z 7 t b 9 O v p M Q z y I 4 b g 4 f t j E h H S n D I w P Q 8 P x c g d g 8 + N Q C x J f h 0 B G I P d R m d o L s p J n 6 G j o c r V j E C a 9 O C b d b 8 c 2 i U C / U E q Z u 6 S 7 + j 2 3 B / o P Y 3 l d x a S j m 7 Q a I V f 3 7 A 4 + o 3 F 9 J m K j C J R Y k z d p 0 0 Y j X d T R x H w m Q 5 j h K 0 j V v X b L s Z s 9 y v h 2 B u r q N E 8 r c Q y Z r n T C T / M D 2 q r 3 9 3 q H E I Z S L c z M E P 1 8 k 6 l I c c K a 6 z E t 2 z K B Y G g T v 4 n M s N e 4 h l 8 8 v 0 C y n B f P 1 7 g I 0 T b r 7 t J / W R u 9 f 6 Q l i j q G G N a + 0 K 4 R Y k e V 8 h H I + F c F 8 I 6 / v N m u 6 V f R A 6 Q q e J 2 i Q I n S O 3 a c h r 9 F x C z V l w S G G P l q v l / 0 0 X p E 4 n d 9 f z i / n X + X L 7 j J + 9 2 7 6 k H d b U T 0 4 f u Q G r 5 Y W 5 f M J 9 a m 7 4 h G V q P n 7 C w y f 8 Z j b 9 b M r L 3 f B l z E x I 4 2 C F 5 Q x I 8 s H X s s J / L 8 G p t B X C 3 0 H T R u 6 3 f 5 T 3 l 5 Z v r q M 8 / k F i y / S 6 p 4 9 L b D 4 X 5 r Z / m V V J 3 b o w C W J H C c I P S H k I L / Y u N 3 i C 2 w X Q 0 k Q 0 a O L d 8 K X 9 n j 1 8 N d t r K V 9 O k J 2 Y k + n 3 m a m t 7 i Z Y C Y w N J g y O N F l c C J e S D m N a w 0 h L s S 9 J 8 j r a T e p D 7 t d D N D f X U S I Z J F 6 Y W 8 v Q Y z k 9 2 c 4 S r B P E l L s c M W C g S M D 1 Q X p 3 N X k k 3 E s S T m Y l b C p 2 w H 2 z V w 8 x X F 9 F i e D p S Y A l n D 7 1 0 n Q s H d I 7 o r e d Q r b + 8 V R f / 4 Z g Y f c 5 d D Q O X Q 2 X Q U 7 M 0 7 G I 6 4 u 4 k + X S q D v v 9 p C K c U Y J 2 o v e S p K L 5 K s / s M I G k m G m o C s K 5 + M W Y P S w t 5 7 c r 4 c j u 7 m O c m i D f E B h M 2 0 f q F I j J + h w a P W S t Y + 8 h t Y 1 6 X H r 2 f P P 0 0 / f p E B c W 8 9 O F 1 p s z K G L S n Z O f c E 3 H 1 N 7 g O g k b + y S D v 4 V i F o h j Y 5 8 g R z P W h N b m n 0 f P K c e v / t 0 t c d 7 7 F n 7 E w 1 L K W f g M E R 9 7 L f / 7 / l q P j M p x r m B W t M J 8 1 f Y E M x h E w a x 7 W 1 G E l l A R o N j j c 3 R T j Y a 7 X 4 9 3 G f q S k o 0 g w S 0 9 s q T h n T S j a v E Z A A z F P g t e V a k c J L 6 i E b 4 S p d Q l H o 3 K 7 s R T 7 9 j D x H d X k u J 6 U m I f C X h z P Y X 3 g S m d s / p k U u J I E o 9 9 F Q z I i u M D I U 5 n W Q r Q N w u 8 g Q 4 O i j Z T r X T L q r 9 n j 1 E d X s t J a q n R w E W D C 8 X y 7 s L H D q M S k C u Q F M p c A E 5 C d 5 Z m t e d i G 5 Z T H h i a 7 S A w K F S G 9 p 7 E w y b 9 h H X / h f q F 1 M C G y T i V A + R e 9 x K 8 A R M l d H x 9 B c X w / m k n G B b I S w t 4 K E A 0 O j V U a p o k k E 7 T q q C E k W a 0 d h m Y c 2 G + z j u r / + r L K R 8 M L 8 E a T q v 9 c V r S v 2 N s t 6 h C t G r G m k + S v u + U v N G d J R k X e d A q B q N c K q 1 m c 3 y k 1 H S 6 F A z D b S P B 2 1 Z t J f p w I P X o N P e J d r p p I w L O v O 0 4 C s U m u 3 v + j d i t x 5 O 7 O Y 6 y o E 9 f B f g 0 / 3 q 7 p r b 9 5 N Z f 8 X V f b A i 7 0 K S I 4 k Y n U T 9 0 w 3 + B g 5 y n N d S l c U e f T N s 2 U N E N Y s p Y Q 3 T g F A L b H 3 c T s 3 z u 5 U 0 k 1 v y C X 3 f 7 j 2 5 i b P T I M R B L G e g y G h m u A H I 7 h E j q J L W i M r + o x G b 9 f C 5 b C y j f C h h y r J r I R A a m I X 1 5 d 1 D I A x i Z h I C M Y q Z D c + p H k y l 6 X p a h 6 E n 7 5 o g b Q J M N W L a h j C c w Z Y 0 d Z t c 1 E + z f J J T h s Q p i N M 6 E + 6 X X V r D O 5 h l O Y B i b J c K 7 j d r p U a x X Q + X 2 s Y y y q V 2 E q L u 6 c v V b H a 9 M A q p u P G w U 5 G f E r G 8 i h D C y Y U D h W w y 0 f 7 F Q 5 E B N B k P w y 3 6 T L Z F Z b d l D + H c W k o J a Z B 8 b P 2 8 2 O W C 7 O f F h g t S z o v H C 3 K 4 I P W 1 t 0 u 6 0 C k K G 7 I F U X u P y c I Q h I 9 X s 5 l Z d d 0 1 9 8 b f q k T 4 t G z E 8 r t e a 1 2 B m G R m W T Y a U f Z T + 3 b D H u 4 2 d S X l a g s y B X 8 x / f a A v q I L k y l D i U F Y N F N E N U X T A M L I A G H U h D j N C / I P 4 d J t N x B p N u w h m s p C S j C D N J 7 7 d X l 1 b Y 6 m G 5 k J e U U 6 K c A G k p q 7 e B h v V Q l Y m z h H 1 S 1 p p A O s M 4 9 2 x x 7 C q a 6 k x D N M O p P W t k z T S N m 9 M C P / F + d N 1 2 2 W q k q j S + f w 5 E V R 0 9 / f c I 9 r / 2 x j r m A d h v Y a N F C o 6 3 8 c j B 3 / I Q R 6 r v w j Y / s X 5 g L 8 1 M m 3 s 6 D O h u e J k X 1 c S B h 4 X 7 W B H 8 5 r 0 Y o G 2 c O t a v 0 S n o v 9 e r g 5 N 9 d R 7 s 3 T E L 0 7 o 0 x j k t D + 2 b 9 3 Y L N W Q l D 8 8 7 5 7 M x N i R a M a 3 X B o 3 0 + / L 5 Y r Q 0 v L N R t J y S 1 T Y B e t 5 V Z 7 o q T 8 D M D e u g K V v w u z u t m v h x O l L K Q c q S B T k V 9 n q + n d 4 t I Q T D d b Y + R c C 9 q P N Z Y X t L Q G n w T K v i J B t j t K G O L t h G 9 s d + w h n O p K S j y D t D e O d T 4 y q Y Z 9 6 o C V O L r C Q 9 k 8 3 H U T L E M N g w e V / y r A m Q v a B j y d j T h w M q F R Q M U p 5 K Z z A f K 3 r S 6 7 L X v 4 a r a W U j 6 b I G X L z m b X d 7 P F V J D l H o W N / e y n l 7 P l u 9 n N c n F 3 O 1 9 e H y y o S e K K u y B G E B w X 7 A I s Z d 0 1 u I t i U m L I l y S A n Y V Z Q w e Z e Z i 5 0 W 1 7 n 6 D 1 Y Y 3 N Q B 7 8 6 2 b + X 9 f z x d M f Z H l w 8 O O z n 5 p / w 7 1 / 8 e z s b r a 6 X R 6 8 m 1 8 s B 9 T G j 4 e X l 6 v Z z c 0 v 8 9 n i 8 u b Z T z 9 u / H L q v x b / B s l j 4 p / H z 3 4 6 P v j 8 9 I f / F g X M 9 f A + v 5 o u B K 3 + a C 8 z 9 A g r B q D N J R I B w g + l P Z m i i 8 e 4 E S 4 k F B y O r b 1 s t 9 i s h 1 O 5 s c x m I J 8 F 2 c C T 1 0 j D X o V G Y g i n M w Q W G R s k V R v x / q T T h k R r V T D b y 6 g q K G 7 s L a n a b U u l V Q 9 h 1 S 6 n h D d I E K x + N q 8 p f K 1 7 D / 1 s P r q / l J E t o G i P t + W 9 d 9 + j / M X j X 5 V y b P l t u T Q m w E 7 U g W w C 6 B A L D B K a R r R + L Z d J 8 g o B i c a E 1 n 7 w 0 e / Z w / n a X k s 5 X O c h U g e O p i t z u 9 y V g c o 0 P k u F H J + Y W r U B F c 5 v Q m c X w p Z 0 t M h b t Z a H s 5 h m u x 6 i q S y k h D J I B u r J 3 c 3 N b H G D N p o p p T l x G m b R w q v F M I t a A z e S a A 1 4 U e F U V B Z F I Z y E 0 c e 3 H n + s 7 d p D W H W r K b E N c q x 1 t J h N V 9 + m Z o a P m 3 k 7 F u 0 l Y c X S L 0 f S e J C + J p w w t w o 8 w H G b k n 9 l X U n 2 m / Y Q 2 e E X 6 h d T A h u k g b s e V 6 N p Q l g n N z 2 u x i C B J X E 1 o w T W U A f q m f W P q 0 V + s r x e L U 3 w R r d O E O R o H t Q o q S G 7 1 7 y w H f E S 6 f o 6 r u g s R k k P J 7 H D G T Q b 7 o / T H o l W 8 p f p F 1 L O b Z B d o D f T b 6 v Z 9 Y U p n G 7 c 6 H K C c H G K b T i e M s L / u A c B p Q A N M C D A X p W / I 1 d u x 9 g P 5 0 7 d l v v f e X 8 B 3 V p K C W m Q 3 O j n q z s j L 9 q t u y + 4 U x U x E z 5 / U r i 4 a w f h d F 2 h i Z V l D H F a W L L d 8 Z T 7 9 R D M z X W U S A b Z 2 c e + Y 5 s P k 2 h u c + t H t W z 7 6 g k l z H 3 D z x I 0 f 1 K O H Y N e 3 O i 3 a / r Z h n a c m x h I P M G Q A Z + W N e k 4 O f m o M y D g Q l i S 4 l K Q F O 0 5 S n K / H g 7 U 5 j r K g Q p S C k S f p b p 4 2 / V Z q g l N I N T C R j T B k K V + m K 1 w o 1 8 8 c K p c S D J p D e + P u S E T C h 4 k I b 7 Z 9 e D K C R o t l I Z l F l H d 7 6 D W O m z a w 9 H S L K a e r x A J M 2 / M A r z v n U I K Z x P / W G g y M D c l 0 L g L a U 0 z J w X K G h d l v c s 9 K X b r I Z Y b y y h R f B 9 i F P W Y K 5 e 0 o 8 d c G d I O i b k a 0 4 7 h l t R j V V 0 4 M i 1 W 1 U C R A a s 6 M m T W Q q B N w F 2 6 W n 0 C b u h q y Q R 8 7 G q t h U E r 8 u p i W N m n b W 1 / X w e e l 8 3 F 0 b J y C M P p c v X n c v G Z S m g f F r D F R M C A Q I d n R a O X 1 z 7 v K H O B F 0 T o c j e b 7 3 a z e / d / 3 V x H e d 6 D x C G 8 M R K a 3 U w S q F k Z u u R J n C V p y 1 t u Y H x g P 5 H a A f C F g o v Q 3 G n 5 E h b d v p m X H G 1 t F S W G Y R o k a D G f m h T N A f P 5 Y N v D K Z u v A Q P n O C P Q K 0 R N T e I 6 m y 8 l 4 x 5 A 4 q e X 2 L f W d N 5 s R + y v K b y 5 j v K 1 B K n i c z Z b r U x 4 s r N D B 6 X M L G J i X g m x A o i + E t n d X d y C M c q B R 0 u / m b d a z 9 L l f j 1 U Z p v r K J E 8 O x w A m 8 1 f 3 Q t o e s Y n c T u 7 P D i / Z b J 9 M / z H H h + 8 p O 8 I u 8 g X 9 A l p C 6 z W Z U I y I R 3 l C 4 Z M 6 P 3 d z c V 0 s V z e m C w q D l 3 0 J l O k Q T A a A Z 4 C 8 F a q u X T d j h L y f C 7 c Z A r g K 2 h b W W O O h k 1 7 O F q a x Z T z d R i i 7 u T Z 9 N u 1 M T 1 y 9 o 8 B 7 g 7 6 r y V d d 1 3 J G t B K D e I o Y r g t 7 N r t e / 3 N h j 0 E V F l I C W a Q D j J 6 F y l N A 8 U h S d L 3 y l w u 5 L 5 X Z r i Q Z a 9 s v J C H C / n 5 d A W M w T C j c + M n U p s W O U B P J L 9 z q T 3 Z X c b 5 h M 5 z A Q 0 Y D w a I S 7 a I s m a 7 H k 6 t s p B y a o O k J w 5 d h v v Y L C d O 6 S q E s p x O Q 4 Q q b O c Z I w u P M k a M C z h K X A q I I E h B a 0 B K 3 w K Q 7 J s 9 D s 6 f q S s p 8 T w J M W V 9 P v 2 X G e 7 p J v E r T N F L T L v 6 D l F 7 N O u E c R F O z b y 3 L S D F / n C K D X s 5 n B s L K c E M U u Z X X 3 + 4 c F j 6 + s P A Y Z H 1 x 8 h h G Z 6 7 8 x n s v 6 U R 5 e W m d l + B 8 s I i A V O T B r f X w o a e V F y S o h q J s p b d b d 3 H 6 7 b s 4 V x t L a W c r D A V 7 7 V + V R o 1 e o d k 9 f X s G 4 K W 0 2 + G P O n k 2 K U V h L E p D h o w Z e r G w q i j F l Z w R d G 5 r E s h x i y N U O 2 g g d 2 G P X w 0 W 0 s p H 8 3 J 8 d D X a f 4 q h H a Q V h 3 F Z T 7 Z V x + G + a S s P s b 5 5 H A d R 6 3 h p C B l d 3 / 6 N H W B l Q n z S Z G V p g Z Y W Q 6 s L B 1 h Z d 0 P n j x 9 c G D h 1 J A D O C b y T L w H M K I U O o d d D Y h U b w 7 O r E S g g t q w r d o f H m x t j h H + U + O K E J t w h 5 T y 0 4 u 9 P V L o 0 + D q h U Z X X o t B p d B W b i Z P Q N s x 3 + P P p b + 7 f Q + u 2 a + H N 0 p Z 6 O / w Q p 0 L M u e / D L E 8 / d U l 4 Y h R h 6 l p m C a k H Y 0 + V F P L Z / R T M f h C 5 a D M Y + H K Z F v 8 N f v 1 E E t l I S W W p 7 8 G m G 2 c 3 4 H Z / c t o 1 + M 2 S Y w R 1 i u i M s 9 a Y X s e v y a c w p w N o h C V P A F l 0 m j d m u m 2 7 C W g z a / T L 6 W E N M h 5 4 u H i 6 / z a R P 4 6 c u m 1 p a T 9 v J a U i 0 z 4 U 9 g M 3 b w j j s F n U 0 T G H c v a e j T c b L j / j f f 3 b C o L K c E 8 C r H T p h c Y 0 Z S Q 1 n S h X m D E I G 8 q B U Z G g d M h D T 2 5 O L 6 + X d 5 c G R 4 9 t y k i t s + M h L k J U U U s e z E K Y R + M 9 Q f i P Y h U 7 G Q H 3 W 3 Y w 6 n a W k o 5 V 0 H O E T G A 3 a b h R Z o 5 o v 2 5 a l 8 2 A x I 7 Q Y J 0 h G I P p 0 r f e X Y R 0 O 4 7 z 2 0 2 c S / y Z R T Q X g t D 0 Z h w b r Q 6 M p d 5 d 9 E W 0 k L y 8 T 5 K a k G r Y z S Y W t P 7 0 8 M O X O Y w f e P P M I e R j b 9 x D j O c h h f T v + Z C Q P O + S b U b M x h N V N 7 x G I 2 E D v o u q y E m m 3 S h c K 9 G P V M 6 k 1 t X Q 3 K 7 H l 7 5 z X W U J z 5 I Y v D z 1 f K b C T 7 i 5 F w K G Z U g o l 2 C B i r a R F W v u F g x v B Z 4 L 0 L Z e 6 r Y D U b k f j 1 E c n M d N Z J B k h e 1 v X g N M t 4 6 W e s 6 v a m B v C h 7 8 S N 5 c b g Z f 7 l 7 Q C 7 a F f U B 4 E p A P m j V Z l n d N x Z q / F 6 F e G l V I J y Q F q W 9 r n C z Y Q 9 H S l l I O V N B o j 7 O L 5 a 3 J o t e V 1 5 3 l s A f y M X o e K 2 H W 2 X o C 6 c Z / f l K m l n a q 2 X K 7 X q I 5 O Y 6 S i C D Z H b H U X M R b m T v j y w V f 7 x a / u / d 0 p w W u Q z i 4 J u Q F q G J 0 u M J u v k N n l Y J G p 0 J b 6 z k n l k 3 F b s t e / h m t p Z S P p v j E A d y r 6 b f T V m u m 7 R q J F S n Y Q S m J L W w B q t u r o q + O J 3 + C K w m U l M 7 X e V i u x 5 C u b G M E s Y g h V X 1 g g I u t X s r K G C o 3 B E U G H H q Q 1 q k N 7 / S t B I d U F 7 6 S 1 6 T A T u s w d z F p J 9 9 7 H j B M z V C g B 4 x O S 5 5 6 q P u g q 8 o l y i V u C X g F I o 5 o O 1 U V 2 z X w 4 2 w s Y x y I w R 5 s R 9 d L S 9 u z X j A c 4 f x P C Q 2 Z H m E u C O 1 b 8 t V a 6 A W w t 6 6 S q H 5 9 h h 8 u 7 q 3 3 b C H W K o r K e E M k h X + i y A g T O d 7 a 2 S Q e j G G p 7 a q g F Z Q Y a 2 r a i U M c / G l l 8 4 R 8 i / s A t p t 2 U N E t 5 Z S Q h o k d f t w t V p + X 9 J i f B S P H u F Y 8 6 C X z A n S b D O T 1 5 u b v i + Q H Q T Y M q Q N 0 e a m v w n Q t L k T s g l K 7 O R 6 F U y r X W S 8 m v 1 6 + I C U h Z T P J 0 h 5 X 4 y G 5 m Z f h A 9 O O v p g 6 d K o R C w / A 2 v V e D 8 3 i J 1 0 g u p e j W h L l C N t u Y N t V 7 t j D + F U V 1 L i + e F 9 g B A s / d z H Z Q r a z 3 0 M U 1 A 5 9 x m n o E M a r 0 f a a N J 4 6 y Z z j 7 Q x Q Q I Q 5 s 1 G T M A Q h g e n N i 5 l C F M b h j Z l h Y s P o G A h F t o + V D U N K N G Z B N c m B 3 C 2 R c j m L G V / y L X N d Z R b L c g y R M + f c G l M 9 D M b Q 2 t C z m z G 5 s R w n P S N A w 2 o w K F x o D c r 1 Y T a Y Y 1 X 0 + u L 5 Y X Q q b t v L v / x g 0 N V S x W U w x B P h L N l X k I V 7 z N Y / g J Z 4 Z h b g W 5 m y b D X 9 m p o d + w h 6 V F X U q 6 H j x 8 C T H r O p 1 S 1 I p q L 6 c o k u O O G V U a t K o X b G q H x g G u Q Y H / I T B Y i I 1 y C v E p x u Z T C A N Z B l d s + k J v 2 E F j d a k p w g w Q t n 1 w c L V E D N x 7 X c y c 7 P o x G h G Z H h I k 4 A N k 1 Q x k U A u I I H Q h I B 5 C 3 G D X a H t d + z x 7 i u r 2 W E t U g 7 f i i Q j N o j D T X v H W C X L S m e 4 Y H v S j H Y c O 6 K T B X 1 z Z u O X n c 9 x x v n + 0 1 M s 0 a 9 o H u 8 K A G I K L E g 4 5 A x I d S N 8 1 5 c 0 i r 9 F m 6 C 9 m 8 z 9 L b N 1 W H w J Z Z + k g 2 H 0 J 9 d D V f S P d w Q 3 7 r N p E H e I N M b 4 6 I A z g K o c 3 a p U J R N M H 8 F O f M A p g F / 8 d 6 / t b v 2 c O D u b 2 W 8 m A G O Z v / f f r X 9 O t 0 b o j p 4 f 8 4 1 C w p M a 3 J a 3 E f L q S d U D u 5 f 4 K 7 E N I c g O m 6 J o d 1 E t T u 2 E N E 1 Z W U e B 7 + T 4 A 1 i / 5 d d J G E 6 H k S B k k I + S 6 O k h B r l + X y + t v U J H 3 s B k P N p c J x X i B z v K E J A U S / R M G a u x P D 2 T S H k G d b W h z J D X s 4 V M p C 6 p l 6 F + C Z e j d d L E w 4 N D e j y p p X D x Q + z o Z I s S Z x 1 b 1 6 Q I p p 9 8 R o k r d O U u 3 5 e 1 j h Q + 7 X Q y g 3 1 1 E i G a R F 5 f n s 2 9 Q I I D r 9 2 e G x o 0 G H S 3 t a 1 m B B p e R U 1 6 C r M S N l 9 E w 3 h x x G T C e t Q 9 l s 2 E M s l Y W U Y J 7 + H O C x P J m u b q 4 4 m q b c x W k Q k 0 0 4 l D X z F i 7 S v i 8 H d 0 b k o O Q t q Q S j 2 F 6 w 3 W 4 9 x H J r K S W a Q S p g / / K A V 8 B H F 0 G I r E J E K a I F l 5 U c w 7 V L N o 6 R i u C P h Z R n n C M N Q R P A E k A k 9 u s h m P J 3 6 d d R I v k x R D m I / + 8 O s T / T e 3 n 6 u 9 s l K 1 I b A t n I 0 w t N l g 7 6 Q b M c M e T 2 H b W / Z J s N 9 7 / x / i a k y k J K M E 9 / D / C S 1 W O 3 X e q J t g I 0 V B N g t 8 d a Y q g l 9 O 1 U D f b G p c e m b a d q 1 t i 9 n W r A 9 8 i y c c T 3 D K E + n 3 7 5 a o b N n T q N p P A 4 q m O U r u Q 8 q h F E b e 7 O C m k X h s o Z U 2 Q J g 2 x 1 d x 6 u N d o d e 7 g 8 1 Z X U 2 / M o w N v z d H k 5 N f c B n G p H C g 4 G x 8 J 9 N i k y k h g x S Z T x x M O b l x A j 4 p 1 t z 9 o d e 4 i n u p I S z y D r R 7 0 Y j I v S V S 8 G 0 5 4 4 3 S h C y p C P S l f D N X k E L d g o Q u 4 6 h 4 j K E p p B j r k z j M 8 e Z 8 P Q f p I g d A W D h L 8 W 5 8 2 2 W G g 2 7 O F Q K Q s p Z y r I C c S 7 m W B 0 v Z v / J b H / Z 9 P V / O Z q e 7 T 7 x q X 8 S 5 M J X R c G S q j K Q w o S j O 7 m m o Q n B O o G 0 l f e s M C t n z 0 2 f S C 3 f N B s e J / m G 9 t r K W F 9 E 2 I V G O m c I m M N G 9 A 6 o 4 z b s M U G P Y w Y 9 b J 4 1 M M Y r k r 9 8 N w F J 9 E P z w 0 4 C T k 8 H 3 E S Q x i e c 6 v d L k W r 8 r k c C z 1 f r p Z 3 n z T 3 3 O F r h 9 5 I j n 1 G U h c 8 W q 1 A U 3 f R Y X 4 w E c z V V g 5 V D h n s 2 l z t x g / Y 9 k G 7 6 X 3 e d d r l l O v u 8 H W A m T 4 6 7 N u P V v t n 5 H Q f p o u 7 2 c H V x d M f r K + 7 p A W e i X + K W O k y w w T k W T J e d 8 M 5 0 / O U X B L 0 n q d k S N A l T 2 l M 0 I c w v J 5 / + c M 8 m X E b t M H l r J H t K f K y F E L 6 Y s w t E z q M L D E Q y t D z q F N G p 1 V t j R R q d + w h R V d X U m 6 3 I E d t e l S J S z L X o 0 o M t 5 t s D 4 6 3 2 3 C s K E u 3 H 5 m 4 A c L + e 4 9 M 2 T 4 y c T v 3 0 j 0 y p Y A 3 p 3 t 8 9 e 8 1 N H q U v 3 h 8 M 2 x 9 Q / 6 R Q a + l D k P t w v T s O 0 0 t J k g b a p i e y c j 0 X D t x t Q Z m n m r y C Y f Z y 4 u 7 1 d X 0 i w H F 4 N b z L 6 D K w y 5 C t q b t f n T z 0 g q 0 C l h a / E q k N q i 9 u U W z Y Q 9 P p b K Q + l K G 2 P E f C r 3 7 O I D v n J z u Y g B + 4 G a B Q 6 d 1 i W k J W W k z w c E g E b E b 3 B M F o 2 g H h F F X c T X b 3 e M t / 0 x d S Q n n u x C N 7 k 6 n n + 6 m f z y a D s q z n 1 7 O l u 9 m N 8 v F 3 e 1 8 e X 2 w o K 4 D g Q I y m q I d R i c g 9 0 R I h 8 q Q F j l 8 7 y x G v y j F 4 3 k X M G e 7 6 3 0 G s 1 9 i M 4 q 7 v 9 j P z u 5 m q 9 s l 3 d S L 5 V D X P / 6 j r W e G u Q A Z O m a Y A c k g m G E j l G F 4 T j / O b v 9 v Z g L s O R G k U U 4 o k H 0 p U g b Z Y L w G y F 4 0 w S c d F k J R 4 b K 9 i y h M s 1 8 P L 5 2 y 0 O a h e h Y k O / r t a n r 9 y W T h 5 K z w E + U C q o D l r 5 D p 7 G 7 F E v Z s W V T I Y o C M r u l 2 t n 2 Z h 6 E K z Y Y 9 B F N Z S A l m k P o + Z / P P p l A 6 o R Q 4 l m Q k H M e q y o G T D c p b I N x R X k b C K W / T F u t 5 q t i u h 0 B u L K O E M U h 8 A v 2 v 7 Q Z B q Y F x O Z Q r h 5 f T L y Z 0 5 9 F b h w k G 3 0 p V o t 6 V x o r G R R y B x k 7 J f V H E E X a n I v G 1 m 2 D I / X r 4 W D b X U b 6 W o 7 d D b t P 8 1 b 2 Z 0 j M M W m 8 Z L 5 / f T m 9 n N 8 N / 7 P F T o u d 3 t 7 e m S L r p 7 a U U J M i w Y R h W S x W j D p t U p W I U h U M m T p l 1 D H b J O p J y v x 4 i u b m O E s k g 5 f b 0 0 y e X 5 L a f P h m y W z l 9 G t P b I b 1 9 P V 0 A 9 x P V 4 n 3 F / y u X 4 h 9 F G E z u o 4 o 7 s E B U Z M 3 W U o x 3 M 9 h + u A t j x b f D k W p 3 v M 9 K s V 9 C O U i v Q q z 3 H 5 Z w c v W c y I X W D y D c m C w W g + C 2 1 u d S h O u H A 3 T d 6 l l a e y u p w k r 7 Y y + o K y n x D N J 4 Q k 9 f y B w y l L Y O a V N V X R M d + k K 2 x w N 1 b + L w K H / x + F n G g 3 W i m 3 w W A 1 + k Y C F w R d T + V P j 9 K D g u J 4 y I 6 a y V o K N 3 s e J W y r f 9 H S h l I e U 8 h a m a t V y u T I W i 2 + 0 I r R 2 p i A y p 7 x Q 9 u 0 H 5 U n A u 8 7 U J R p u T P F z y n 4 j t e s g Y N 9 d R A h n k x X h 4 c 3 P 3 5 a t o Q p O t 7 A V 0 m 6 B j S r I S k 5 I Q z T w W s M 0 G d R t P E G r P a 0 C 3 w m R h h 1 n F s G k P s F v N Y k p g g 8 T d n k y v 7 / 6 f U C v s 0 t L t h s D h + f b 7 p 2 8 I 6 O Y V T + K M g Q U t V t y O C B 8 3 b P s k P o m L e o K k H Z E 2 + G T E u i e z 2 f R / 4 t F 8 1 i 2 9 G d t 7 3 9 J n h 1 9 m q / n F 9 P o A P t J y u s / y X I + g d t G 9 6 h H U B t 0 r i a A e d a + 6 0 5 M 8 f T P 7 y y T k 8 o u L x A B 3 Z B o L e a S 4 b s Q h w K v J O 7 J C y E U 4 F R R I S G Y I u g j H C 7 t 2 l 9 i u h x d v Y 5 n N s / P s l x C 9 x P Q t E p f T 1 L d I D K d J t k j G 0 z S c J j 1 A 1 w X X 1 A N 0 D b g m C d A d c U 1 D G E 6 m l w / 4 c 7 i B j v J J l U O 0 S s t S j O j W R r F C o A p t K m H A 0 v C P 7 W 6 1 d r 8 e L j Z 1 J e V u O w 0 R d P R x u l r N T O 5 L r 1 0 U N 1 K a i z W K G 5 i t F D V G i e s 2 0 l i i Q R p P U F Z B 4 N h e d 7 z Z s I d o K g s p w X w d o u K G H l 2 q e a j 0 K b u V 1 d L H 5 e r 2 y t C m d p r 3 w k p H n Y W v A R y + T F 0 6 F h K s d H r W u G 7 i r r m T 0 5 L c r o + v R f w s / T r K x x L k w F c P z N d 8 L N a 0 o x 6 Y b 8 h q J D B / z G q G 5 x R m 3 K X x A n Y j p I t i g N l 3 3 N t d t V V C H M W T L I 2 L s o I H U z d M d b v 3 t N l w / 6 n v r 8 e p L K S c q S A J 6 X q W h Q Z E Y X 2 m e p a F Q Q t H s i x G L Z z h T H 2 c 3 k x v L 0 y v 1 G 9 O F n J o p z A 3 Q B M A M F l L F Z O l N 8 g T n A J x 4 0 C 4 e D e x x n b H H k 6 V u p J y r H 4 L 0 k J O S 6 X Q V H 4 O e Y 2 + Z e Z C k O p b Z g a C l G y Z j Q S p 4 e j G m Y a 8 p D N n c A m 1 l n D t E u q + n 2 M I t e z n j K E e Q n 1 y 8 W p 2 v T I 1 S E 9 f b E 8 b r F 9 O h D s Z A z I S B L w t g C 3 D e B c t n i I t / o 3 x b r t j D 7 e 0 u p J y S 5 + + G K Y H z V / d P 3 X w h g l 8 t / w D O o Z Z g 8 6 t m y A E V z E 3 p B 8 L 4 q X o x v U V j q 5 0 w U u g T b J s t G 1 3 9 / v 1 E M / t t Z S I B t l P O L 9 d T f / 8 k w L F U O + f v n I 5 o 2 C X Q H U L 3 e t a W P H 2 8 k o l g 9 6 k R k E L C l P H b L I r T / o 9 e 4 j q 9 l p K V E 9 f B X h O 9 c A m l 8 K / n e I a y n 6 A T W P R P z x 9 + j r R R R S h r x M N o g i y T h x F E Y Y w v B B C S r x Z p h z E D c m O E Q O G R L g 0 V m Q g g G w 7 I A t v F i 8 Y U i P o B M p S s Z 1 A P Y x L 6 v f s 4 X 7 b X k u 5 3 4 J E t J / N r q / n 1 5 9 u J T 7 p P j T 1 u V N q S c Y R M b 0 g C 2 l p g X 1 X L Z n A L 6 v h m m R Z C 7 O 2 e 7 a G T X u I q 2 Y x J b D n I S a Y L 5 a X l 6 v 5 p Z E 5 6 M o C B e 8 Z V x k W U 3 l W r Y 2 r 8 M 8 G O A + q I m 3 H j 7 Z J Z r 9 n D 2 H d X k u J a p B k 0 K O 7 B X W D u W x w 6 4 H T 6 S a T R L w a x c 4 0 R / + / P 6 1 Y j M U C L o o g K + 5 x w j X O 7 r T 2 e / Y Q 1 e 2 1 l K i G 2 Q n X 9 l h c 0 P N 9 j 8 W A n 5 c 9 l h F B P 2 Q 4 e g 1 P j Q i N d V u l 4 5 2 k L f d O h 8 m U G p 6 j q N 0 Q B g v M j J N 7 V D y B F l Q m O T 4 0 v F 9 g / t o b D v c o X K R h C 0 X I 2 j V Y G r s L T o W y 7 G / K p 6 6 k X G 5 B a t p B M N 6 G R j + y t F N U a B r h q Q s v s 2 g R o q m B l 1 m g 4 p W O v M z h 5 L 7 9 Z h z O H 5 8 6 d L + E u k F M L 7 O i p 9 m p 9 D Q Q 3 m I i d O K x J A I 6 1 S p Y 2 J 1 b s V 0 P O c n G M s q J P T 4 N s O e l R 0 Y 9 7 g T x 3 Z y Z 8 9 x E c X I t T u K S e X N O u t o Z r T R f i y T F M I x O 4 p 0 M A t v 9 e v h c 1 J W U L y b I s k Q P j 9 J 8 M d a Z U w + P M q C N J T x q R B s P 9 6 8 e e 6 8 R z L Q O Q 1 9 H t A K / u g R W 1 h H x f 4 J U d O 8 c b 5 e / e H w m 7 v P Z t D H Z u K + f d u Z i s g H s E y R N Q v J K 4 w y t + b T n s o C 0 w X S x q u q s y W C t K / R m w x 7 u N m U h 5 W o 7 C 9 F f 4 w M a g j d z Q f S 7 L 5 q u z C S A u o C 9 I x i a Q j W N o H U P V S w y H X Q J 6 6 o Q d i q 2 / Z Z 2 x x 7 C q a 6 k x D N I f t L R F V P a m S n x c B N W w h o C z D V n M 8 r I P l K h j N 7 A 3 a I C M X V 8 3 3 J y k p 3 0 1 N o d e 4 i n u p I S z y D F l Z h 4 e y g v N W t E L k P g b r Z l m A I L T c t x D L y W 3 N R N J 2 5 6 + W X e / e n T X F P j O 4 D d 9 J W P Z t T s s M a 7 2 d S k z O n U v Y f n y o v B 9 B T b N C y X M V z u e l v 8 B Q M 4 + C B M 0 4 W V Q 9 s X f n i E K r b r 4 e r Z W E a 5 d 4 L s 2 R 8 t v 8 6 n J t T 0 i Y b 9 b 5 1 3 p / G E 5 i S c Z f g 9 T c C 6 Q E L 6 Y d g G C 6 y A z t x k f 3 b d j m b D H k K p L K Q E 8 + Q 8 w I 6 H H s / s Q k X o 8 c w G K o L E M 4 9 U h O 4 y T 5 7 q k T 4 u A 5 g e 6 W M Y w E i k z z i A W Q u D T t 0 0 c W k j t P J r i a G L k O K I M T Y R 1 o K g n Q m 7 X E l 9 L 8 d w J c l e z n g l D W E A d X / 5 E O D i 2 E W a h H Y O Z T 6 + q B h N C F S F s A e R B W M d T f g D / p A y E o H X 9 g J 7 O G H r d + z h q d 9 e S 3 n t j 0 O U K H k + u 3 w A p + 3 a o I u i I s c G t 8 Q a n D F z N 2 A u q 0 m G R C 8 k 0 o o x M 5 L c 1 j F t d + w h o u p K S j y D b N E d I c u w X J i K K l c m B Z w Y i q l 4 G B o 1 L b p 8 g v R G j j 5 X l C a 4 i t j r M r Q 7 9 h B P d S U l n k E y K V 6 u Z s Y 5 8 k c X c d 8 s m U B w q k v U Y R N I E 3 X S 3 b e V c L V I m D C D f B O 4 E N t 2 q 9 y t h 0 h u r q P E 8 W O I I r / 6 d N 6 l b d a n 8 4 a + m U z n x 8 b Z k M L o w T G a p p Z 1 d 6 I H x x j 4 E x I c M / I n 1 s K Q a P q X O h y U d R g S 8 g f x E J n Q h Q l k o n Q s b o c w I D u w P S 9 I N H W V Q 4 v 3 4 3 x h h m i 7 i n 6 V C D F j v J T k O S L 1 v S t v W Y J s B H J P 0 7 D O e M R s X 7 B m u x 6 e M G U h 5 Q 0 L U v J L j w l 2 Q b b 0 m G A D s k V i g k d k y 3 B q f 5 5 + W u x v Z k v m l 5 R V B p o C E K F g K r U l e M z M F k n z G H 1 Q m G k k h t Y z e L l f D y d q c x 3 l Q A U 5 r 9 V n I y 5 J Y Z + N G J J C m Y 2 M S e F w o M A g b D + D q c u 9 1 m c j h n t N Z i P j v b Y W h k K H L H A J Q 4 c s M E R B I A v G I A x B O H y 4 x e v a Q I I B C y y v E r Z q V f e 6 Q G v G s a u u 4 J r k Y M C s 0 7 V u u x 6 e l 6 2 l l B c m y P b R + e 3 y 8 8 z k t + a W f R c T Q F w V p t C o m j G f 7 5 O F K k J C h 4 Z S B o M d Y X 7 p p G k 3 m W 8 2 7 C G c y k J K M I P M v / W I H M 1 I 2 K F c w w H w 7 r p h w F / M b 7 9 v v 4 s f X P C 6 a T X B m w P T 8 N a f b y j X a v w 5 o g r N e a R 9 d 9 K e 7 z Z 8 c M R 2 9 w i 8 f q Y s p H w w H 0 L E 6 3 L T b g c w c d E r 6 4 b X B r k y M b w e 1 c q G F x V q z X Y Q U g 2 C w O H U 6 s k O k V w X m s K H 6 e J u d n B 1 8 f Q H + 3 5 a y 3 V P o q Z z c i / Z I d r j m d u F u t C c x 1 3 + E 4 9 P d o g i D b 1 T Z 4 V r H Y Z W x r o k T x L v p y 4 K + T 8 O y h G l M J y 3 F 7 N r M + P E D d N e 4 / C W o O l R 5 h h f x h 1 D Q V g F M + I G a J r l a C a j S G b b c G y 2 6 y H h U R Z S 3 q 8 g + y O H 1 / t s H V N y l C k Y E w y s E 4 k D b j t d J K 9 C K Z B I p r I D Z g 9 N k P v 1 E M r N d Z R I B p m 6 9 j K G B u 6 Q m 4 9 f M c m R 3 h G A E q l K 3 g N N 8 P H D x Q / b N 3 L L W i j z W J / M f s 8 e I r q 9 l h L V I A 3 9 n i + / G W n L T v j 9 N A X d D a q b g q E W h 7 T u 8 f v C 0 i G N s z q O I M D j / W Y P H R L 7 9 R B N + b v 0 6 6 i R / G e I o G 8 t o U S j u u O Q p H 6 Y r b 7 M F 4 3 7 4 3 3 8 Q V f 4 I C R B R E w q T j q S T V X 3 x V T Y s g r W Y E S n g k / J + g b o d 9 z H c n 9 y J t t r K d 9 N k P B B / Q R D U 9 x Y Z 7 z 9 B K O N k i 7 l l R O M E S A 9 5 L y v Z 9 e 3 h p f 1 x E W z E L E R A e w D e o v a S I q H F s 1 Z C f k r i 0 n E m J A 8 O N 0 R w i m 2 6 + F I b S y j n K a T E H U K 4 a R t t w o S z T z Q 4 R b W Y z 4 0 r Q K H N c 5 n 0 9 W F S R v 1 8 J 1 D a y L N g X Z E V R E z L J B O l d w U D U o c O C N / Q N L O 7 J p / g 2 0 J 1 m z X w w e p L K R 8 k o f v Q k w M S s 1 Q L n Y Z y v W 4 R c N U T u I W x 7 H c c M F / n H 6 / N m E + T n 9 3 O F B Z O g G z H S N S S j U c Y a X c T e U A U e G d W X D S k h 3 9 7 O V + P Z y o z X W U A 3 X 6 e 4 A H 6 v x 2 9 t f s 2 j S S e + 1 E l i 1 R V h D V U Q z 2 D U S 3 K I 7 k 5 S h 8 u x A N i 8 q k h E g j z N C t r 8 d m x x 6 i 2 f 4 2 / U p K P F 8 H S Z f V z l g 0 7 6 l 1 B t z N W A y d d z F j G R v v w / V 4 M r 3 4 P L + e X p h y Y C e i B C k H J S U s p j x t 5 N K 6 X m G O o L f g N k F 4 o Z m 4 Q 3 e p 2 3 L / s e + v t N x a S j l X J 0 E S J n R S m b F m 2 G 1 9 r n o a e t s v 0 l W W k o Y + Q s S H k x V p G 0 O a A t + h X D i Z 3 Z g 0 p V z n N S B U 4 g J 0 u D i / P H z 9 e w g D E W 0 Q 9 G 8 B r g A g t 3 4 P x X Z 9 n N r 1 Z Z Q T G + S 0 R t 8 L c n k J + 1 6 Q 4 S m U v a D x L R x O r L 7 A f 9 w T + 3 I 1 / W 4 e z b m 2 / q k 3 S g T 3 C + n h 1 D u w 1 W D Q y 5 J Z T o l v V 2 v 7 Z I c r a 3 f s 4 d y q K y l H N 0 g B H 7 Q I 7 6 C B m 3 q I b k D B f C L a M k i + t V l S X 2 E y n W N i X i d Q / r E b t r 6 D u w 1 7 i O f W U k p A g 5 y 3 6 p F f G o E w 6 + y p q 0 r a E O m S J 1 G V j B L g w 0 3 8 Z v r n 9 P v s 9 t b U u H F y v a c 1 j 7 g C c 2 + 0 z B D I K r K + E 5 p O y i p H v b / t z I s L 1 O 6 e 7 P f s 4 W R t r 6 U c r Z O 3 A T Z w o M R v N + m d Q F 5 p e 7 Z M K K + U w z X C v K 6 H w w V 9 Y D s M u S b N s b 7 h 8 r Z V l h s m j z k U 4 n y c P A 5 h e F h v x A 0 w X j C 5 R z W m 6 a 3 0 L p 9 A t F A a w R g v i v H d E o m g 7 f 2 m a o D s r + u i r q T c b W E C x m v N t E d 3 t z l U + 0 d X s 5 v b 2 c r Q q n N S H O J N B N a X g P i i u G / a 3 M 2 0 O k e M m F w T l Z q E 8 a F U I r J 7 E t s N e 3 g Q 1 Z W U T y Z I w S F 9 u f m 4 M + u X q / k X I 4 v J r d q M J n m W k k e l N X r U 6 6 p j d H 0 r w A 1 Q o Y t Y 4 I e s b 5 l m w x 6 + G G U h 5 Y M J s t Z 8 A T j g j + X q 2 n A B u J r j A N 2 l P Y B / V Z p k w w R M c A z 5 E z j t q c C t 7 M B g 7 7 b s I a B b S y k h D d I k 5 9 1 y e g 3 P 0 B B R t y S g n I C 4 5 3 + A g 2 J u h F 9 Z N 3 2 J J n D G I h q 8 q Z B z L u z L n H b H H g K q r q T E 0 0 M a 8 H K 2 f D e 7 w b r h F u z l w Q I a S V q C o I 1 5 C n G 2 L H N 8 1 L u m O H k V r b W U g j J O a L L t c E T U / 5 r 7 y 6 v U l f z / o D 9 u / K I 3 z 3 7 6 U R K s + O f x s 5 + O D z 4 / / e G / h T D 7 e r G i H R J r h H a s i 5 W u H d M + S f e 1 Y 0 Z i 0 F C q n C y v V 0 v T J e V m X p J j C Y s p b F X g u 7 b B h c Z l C w 9 F a h W h T 2 T f 4 m y 2 6 + G G U h Z S z l O Q x i V 6 T q V m 1 O R Q p z y / u 1 0 Y y x S 3 1 h 2 F b V y k J b p V V U q m I m g p D Y g R U X u a e g C y G E l y N d s L a T Y b 9 v D B K A s p H 0 y Q T T v w U N v d o k w D Y 3 T 4 Y P S V k E Z b 0 G G N s 9 n X u S l z d p M D z V D 9 r M B 5 8 9 8 E w H f S p w V 1 M q H r S V q w 4 9 B N 7 t b D B 7 m 5 j v I 9 B i k H q k d 6 P / K 3 c r e Y 3 n y e G 7 J y J 7 Y N S S R C v 2 A M a + A V C L p 0 W m 5 P E I 8 l s 8 z 5 k y z d z Z b j r N m x j y 9 G W U n 5 Z s L k 2 m i T S M 0 3 s 3 M S a Z A u F T O 9 U b l 0 S C L 1 D 4 k m C A 6 X / K G w g z X D K 5 x y D 2 T 2 E e a B U I l c N 4 y 4 I u o w w j V j e i p p Z J j S c j e u b L d l D 0 d 3 a y n l 7 A a Z f + i n V S 5 K L P 2 0 i k r w X m k I M a 0 a t V i G 0 6 v 3 N t K k g d Z X a A 8 q N b B Z J K h 0 Z L M M Y X i 3 v P j 8 x 2 p + + c l U j b u 2 D C u 6 w K 1 K B y Z w 3 R V X 1 r D K 4 S z i D B e n O 5 H H h 0 1 7 u O Q 0 i y n X n I f G 4 e 5 9 L r p + N 9 9 v T U 5 w b j A y b E M Z x w j 5 w N 7 V V x b N Q m + O m N I I b t 8 t 6 0 l N u 2 M P I V V X U u I Z J I y M v i b l A 9 T 0 S 9 N J d Z q + C Z v G m q A i 3 L H p T i 8 I S 6 K h R u E J k 3 + H x h m b P p B b 9 h D U 7 b W U s A Y 5 g n s 1 X V 0 a 2 w h O E U 3 x 3 k b 3 k S s W o T 9 p E 9 O 1 t r I J z L N E h L u f z d u N 4 J s N e 4 i n s t D f I Z h M O b d b W 6 m m I r H O a c p 2 u J A a 6 s K S w j A d C 8 M h p 6 G 7 v x 2 G V l i a 6 Y y c E O 0 m w V c B t R W v m x C T v i / D r 1 B / S 0 a + 0 h A G f W N N M 2 l z q M 9 J L L d D 3 U o 3 b I T a Z Y 1 U s 0 a s O d U O a 5 z N j T N 7 V 9 P e G L x V D Q A D Y E 1 J U 6 F 7 B M R 8 Q 6 j w 8 K o 3 J n + 2 0 D 2 x X Q 9 P w M Y y y g M Q p m G v t i + o 0 W 6 y f g C 6 4 X L r + 3 X f c D k b p T / n 4 g O 5 u E 2 e n j 1 k j O l a + I j M S Z Q + G O y t T Q u x U a y Z I 1 L o 1 p I A Y H 2 W 5 H Z 9 n K b N h Z T z F G T R o x f T d W E e 9 2 6 z h p d c u s 2 O L / n w k r + Z y t d p + S c V 6 O 2 V q D 8 / L p e X J u G M k 1 P 5 L G 8 8 w d Z 3 X l Z N 8 C n l U U J F E u l 6 q e D a D O R R d q 2 y i m k o R v P 5 D r o Z 4 r / A w f L P A z Z / I L f u 4 b j d v 6 Z y 8 k 5 O 9 0 6 t 2 U B J S d w Z v 3 G p B f L V Q D M F w C + G y 7 S L v + / 9 / 3 X 3 h z + 7 f 0 3 / P / H u H b o H h Y R + d j l D y Y S x E g V + i 6 N u C 5 g n N a I 0 Q p U m i c s d e Z 6 b + j 7 7 C + r m O k o g T 3 / e + 1 n Z P Z C g 0 j V F i B P / q Z V 8 N 9 G f c M s Z 2 U / D G 3 U + v f 4 6 M / I 7 f 3 v v c J 7 g s m C f U j G i L X B Y 4 f 9 0 I D E A O p M c K D T j 2 y Q m 9 x P j D b t O W r t j D 0 + R u p J y q H 5 7 H + C h a g E o J s i M U 4 4 B F D S L K / L 4 p I C H F G X t i X u C S H V R I y O E U 8 4 O Q i T h w G X 2 n 0 z s f k H + M p 2 v / p z P F p e G a L 5 9 5 X Y 6 k a H A J x v B v E p Y 2 / e 0 B H Q o m W h g l E h Q W w a K 3 e n s 9 + z h f G 6 v p Z z Q t 6 8 C P K F 6 5 O / j 9 s U + z K 6 n 1 5 + W h u / G i a G Y x X T A Y C D V U S w a Z L D L 2 t Y Y s + k S k Y w o 4 3 7 Y T Q 6 j 3 b G H r 0 Z d S f l m g q Q o 6 s E 3 L m I Y P f j G o I Y h q e K j H M a Q L L 2 Y v Z 4 u / j C c K i c 4 K q e K w a I w g e Z C J i 3 q w c u V L D o Z R e Y F / j z 2 q s D N d j 0 c K W U h 5 U Q F C U U 9 / D J b z E 2 a b a 7 g H R y 7 E X D m F o z r N O 1 O 2 x N h 6 k 3 W C 9 1 v J y Z N s 1 s P k V Q W U i I Z J G I H q s l 2 G a l j / F s 3 0 o q 2 6 j e p m R S j a d U m Q f D o a r p a o I u w N J E 7 z o 9 c s t V k I g Q Q U w p G O j G N U q n s b 5 J 1 1 B n u 3 g k i X E k m J P f s c t V h y x 5 O l m Y x 5 X S d H w W Y r b 5 d k U i a o F N u 9 2 Q 1 I W D E s 0 g h u 6 / R e J k K R T E 8 a T j w f S / b L q j N h j 0 E V F l I C W a Y V 6 V 2 z u o y F + r m r I a x k O B f j F O h I Y n U 4 z s e l / n 5 a r k w y 4 2 4 I S N S 6 F E p V D r h m w z 3 o v f A r S H f 1 / S G d v f A b T b s 4 d Q q C y m n N k h 0 R C 8 y Z y g 8 3 O I J q l E I V O W S D I e S c F f O w 4 N D 9 J K p V o H D Y N s f s r u F + z 1 7 C O n 2 W n + H q J 5 N 7 x Z A W D 8 Z g v r S y a g 6 n X A U w S 5 l s R g K k x 2 1 P R p E Z G A N J G A E 5 K B S / o V d U L s t e 4 j p 1 l J K S F + G a F Z 9 P l 1 N b 5 e f T F W l q 8 t J D F Y 2 x e 0 T a n M z y G 8 S 4 J S Q p p j X M 6 O U 1 u N t U + e w S d H / m t + g m 5 L o Q F D d l j 2 E d G s p J a R B e p 3 o M b G a Z q 1 1 c d l j Y g 3 Q Z I m J H a H J Q 8 6 E / M h 2 j a 9 z I L c O g 4 A k i 7 P T 2 R z r D k c C + T A d h 8 V r Y d D W D x q l P O s w d P V D 6 3 S m i 4 K o H 4 o R p 9 n j N P F C M f Z Y 3 G C a O Y y l K M v o Q B d R g X t t G 6 A n F V 6 2 Z I b o u Q j k c 5 P z 2 2 U N c r 8 e 3 p f N d d T H J c T e y h G K Z l / + M H a h n Q S d o D E l W K I h c I G l L D N 7 c d f J f K F i v I t 6 W g o U M J O G 0 t Z k w 2 7 L H u K 5 t Z Q S 0 i B l n R 4 E p z k 1 Q P M J n L Q S M z t o o j n T + f Y N e y K 6 Z c A y 8 g q A d S Q V b m x b o J u o s f 8 U O i 3 E w 6 k n p b m 8 d T 0 p z f D Y S V L a + N q t p R x a U p q L 3 k G f g B v 0 D m Q C P u o d D G F 4 M / s X v Y p m u H M x v / 2 + n Y 2 7 z Q G w N w d n R H r B 5 S Y r 2 A F Q k m X g B y t Y 1 G L i Y + / 5 2 O / 4 4 I j 9 7 j F / f K a u p L x T Y U 4 C t A W V p g l t n c n 3 B Z X B 6 U o W V K P T 1 X C s c F o y 2 p 6 7 u U x n E 4 D s N e w q D B 4 l 5 6 o 9 V I j h o S B N J k F b U A z Z h M O q X S 4 v 9 + s h 9 9 t c R z l Q Q b p M t + N d Q z f X z c I e q z / C h a h m V k p V 4 6 6 b K w y O Y 1 q 5 h f C 1 3 4 X b 0 2 7 Y Q z D V l Z R w B u l j / w s H 8 / P C q D B x + M Y F y 5 A h 4 i N 8 G 7 e k B 0 v s x I Q 8 T J 1 X G a + h 7 c n s N u w h n l t L K Q E 9 f B M g j u F h 6 J 4 j L B 5 X 3 Z o D m m X Y + w F 9 7 S p t 3 H X x 7 a x j 9 J N 3 E 2 t S M H X 7 K 8 2 U h Z R g e l D r 1 7 D s M P q u 0 Q 4 e K I v d z w n L r q 6 j C g G s b g B i 9 3 C 9 m B 0 I 6 K a H 0 6 G u 5 P / 3 3 J 1 o c H 4 1 v b 4 2 N h X P X z h c d l m K n E 6 O n C r k O e A + y D a 2 4 Y y j Z J J D Q C C x 5 w 2 r k 7 q d i V j M r Z o d e 4 h n + 9 v 0 K y n x P H + x 9 8 t O c z 7 E D 6 q 4 R s j G X v O D 8 j e Q N 2 K Q + E K T 2 + 6 A v P 2 0 m C 6 m B 1 B D l 7 c + v I H 1 6 / n / c X c / L C f L 1 a e p C e T o p G y a k u g l 9 P h w e c n j r M D v a U j a q w r + d o E D l L C 1 s K + E m w 3 3 H / D + X h J l I S W Y Y a q a J h o O a u L S X u q V E g z t J a m U M L a X h j p Y T w V 2 a b b m L T H R 0 G v N o Q K P r d a 1 I M Q a h 4 H E R e E 3 b g d O C V N E 8 Q z p x r t x z H x 3 V P g d w h B r d b M 0 Y X D Q z d I b 3 b s A g X u j e w M S W B r d j 1 D g t V B r T 5 z m 9 X E J d a 0 T V 9 R c r Q 5 r v P 1 2 s 5 h 9 N / S + X v / u U D 4 I r y + m A g A P 6 k x Q q X q 4 M Z i E g s Y m k 2 y M G n Y y x G w 2 7 C E l U h Z S U q L X v + + 9 e N g 9 v 9 V z T V 3 E 2 D r 2 W 2 5 Q Y 5 N c 0 1 G O b b g b j p f f T E B S N 5 u c F L z A B m C g K z I i 5 K l z / j e q B N X K e i 4 g N u v h N G 0 s o 5 y l I E 1 y m G N c T b 8 Y L k Z X s B a 0 q R i G a V U h O 5 X W P b 4 H P D D 8 U 5 g m K c I r u 4 i r N B v 2 E E p l I S W Y Y a r q a d G P m t f a e m b a o R 8 N p a J A P 4 6 V 4 n A t H i 5 A P 5 o u x p N j h 1 Q j w z + s A i x X V E n N C U K 1 v W s 8 C 8 p T h b J N Y 8 i 7 g 8 R N s 2 E P J 0 p Z S D l R J 8 d B p h q a 7 o t O h t j 6 R H V l v 0 n V g r J / F L U Y T l S k L U I 0 e t P W Q e j L / h Z W e m / Z P 3 q 7 D m H Q 0 0 I 1 a n g O d V p U P T a N Q q S I D 9 E o q p F G s S m V 8 O L u q x l a 4 J Y V M i M V 4 B 6 m p L U g 5 w q / X j k c E t o j a R p n J I b S G 9 P e l 7 X Z s I c 3 T F l I e c O C z A p J v 2 X C I f y y u 9 P 8 N N d I M z m c 2 + e z x Z e l E S j m J A O H m 5 7 Q B c 4 Z x c q Z o R g t N T y B a E J p Q U M A E B m 6 R G 0 v / e H p b L t f D x + M u p L y x Y Q p A F d o v p j U p Y 7 o m 6 + G Q k I 2 X 8 d K o j u i y V M 9 p 9 A l 7 + k h s I a 8 R 0 J g x 7 x n C I P e c 1 o z i n C 4 P 4 + v L + d y Z P 9 u / p f R E N 2 J b p W U S K B i 8 w X X q s U n D d c o Z D r U w J B H r e X w 3 h a V 0 W z 8 Q G 7 b w 2 2 q X U 6 5 U o O k X e l p 2 p o h h 3 U N 0 7 N E D A N k y R I Z J 8 j D W f 7 t G p 0 B Q 7 f T 6 X j B Z k Q L C n N 3 h I c F V q x n v 8 F m x J 6 n N + O x B 8 b I 7 X o 4 V p v r / B 3 O 0 + H 1 5 U N u M K / P H f p s o J y S O E O D h O w S 0 s 9 Q o + D f n F C k p E P p Y g d f 6 z b s I Z p b S y k B f X 0 e Y q d N a 7 G n 6 S 5 Y X 5 A 9 m 7 G F G O q a P J L N O A o o D B c k p p 5 f 5 o v m k j y b r u Y 3 V 9 u 1 4 x s X 1 R / h R Z p C H 0 g q R S I G z o / Q j a l j b N O r 1 n / J 7 m j 1 e z 5 o d r x P K t 3 2 W s r h e h O i 7 o + + g + p y u P o O q u F w S e D U e L i G w 6 X v b r p w G v v u p o H T K L u b I 6 d x L Q y l p r 2 R a / B r 9 k 9 N O 9 c W Y i T 3 w Q h L Y I T 5 C C M c w v B y d X d 9 a c J k v X c h P K V I U Q A R q X I Y H W W U 4 + f X 1 b r 5 p E z 4 I 3 K 7 Q l B L h Z a g 3 T v T b N h D A q c s p L w w 7 0 N 0 A t H 3 q j R N Z u s z 1 f e q D J N S 2 a s a R 6 X D m X p 3 d 7 u Y X p v s W D 6 4 m C X B k 8 I 8 A 0 o o L I 8 0 L 7 O k J / m C 1 0 p b 9 f + d d O P b D X s 4 V O p K y q n 6 E K J X k j 5 v c 0 k Y + r z N k D D I v G 1 M G I Z T p c / b n D Q W u 6 m 0 S W N R T K V H j c U h D L C 3 K E g N 3 b v T X x 0 6 P s w Y c c M Q u l V A F d c T h j K b Q J r G J w P S m + S 7 t S D h h 6 e M z Y Y 9 3 G 3 K Q s r V d v p r i P 0 e r b 6 L C 4 i 7 T x g M I G 6 Z M I w g 7 u F M n a 3 m 1 x f C P e H n y 2 / T l T F x c O n 6 w J B A 6 I + W + J p d W w P 5 g E 0 K M y L P o V Z 3 B m 9 2 2 X i z 8 4 N m 3 x 7 O m H 4 9 5 a g F K a V 0 M k P G 2 4 R I d c N m x B j P g s p I S o a K 0 v W k K 7 S E W 1 R d g E l N G k G Y N p G 3 u D f l h j 3 E t P l l + o W U Y A a J z U C n Y 7 s j G 2 l a e Q 7 T a H 3 a 6 Z L v 9 G m n I d + R a e e Y 7 w x 3 s z 7 t d J o Z d 2 m n a W Y s 0 s 5 x Z j y E 4 e V s u j K 1 q d z m j D V E p w Q S T E S 3 S p q u t b d n X W B U m W C 0 x / M I 3 N 9 + Z i y 3 2 1 9 p + 9 N S 2 F x H u T o D H T H q + r 6 a q 9 O 6 R 1 V 2 f V / D F E T 2 f c c p y H C e 9 F A Y l z D 0 U B h D G C Q U Z g z D W h h 0 i U T q 8 s j 3 B Z j h k Z c F 2 P j I D 2 H 4 + e J 2 u T L 0 N N 7 / 0 6 G n k Z K C F 3 W M 7 n Z S N 7 J v 7 e s i Z Z i y p G r I l z u Q x e R 2 P b w u m + s o r 8 v 7 f 4 b Y 0 N A C W F x 6 t T 2 A x d C r l Q C W s V c 7 n C d 9 7 e K S N P e 1 i y F p l r X L m D S v h a H U e N 7 G T j P 2 l v M R m 2 b s e N 7 G 4 4 x 9 C I O e + 6 P J t R y 6 B a 9 n X 7 4 a M e t u 1 n 8 J d V C W g x e r c z H F j 7 u R I 5 7 j R R b H F Z o r 2 E q I v 7 G d 4 z c b 9 v C I K Q s p r 1 i Q V o 7 6 O b 7 L 9 d l n h Y b r U 2 a F 4 / U 5 n N s 3 o i V / f j e 7 M 6 W G J y 7 4 G I Q E w K R n / H / M u k A 0 d 2 2 H F H S M G P B n x Q 5 Z 4 Z v Z g d y s h z O 1 t Z R 6 q o J E x 2 g 9 Q l y Y X H 3 J a 2 B y y Z J 3 Z H I N p + r 5 a v n N x P 5 w r b V K E D F l h i Z 0 l H G C O o 5 q X Q l J 6 C r r f M k E 3 d l u x C X 3 6 + F M b a 6 j H K g w i 6 2 k K a w 2 O M 2 R y 4 F K K L L E R N J w n p I I q Z s 9 g s s P / n U z / 6 / r + e L p D 7 I B e f D j s 5 + a W D z K X / x 4 e H m 5 m t 3 c / D K f L S 5 v n v 2 0 q b u m / m v x b / g w X d z N + O f x s 5 + O D z 4 / / e G / x a 9 9 P R y n 8 7 v b W 2 P i d + Q 0 M q Y z T l 8 c W j c O B M L n r + 2 1 P s H d T 9 A Y O V B x h K I 9 e n u 2 5 6 n Z s I c D p S y k n K i j E C k C y F 3 P b q + W q 6 8 i 8 z h a 3 l 3 r L J R c / Z 4 h U x W I Q 2 P M T j g H E j / g Q a 7 L o t h p z j F s 2 E N A N Y s p Q Q 3 S 7 1 n f D H F B 5 f b N k P Y R 0 5 G q Z D N k R O U O F + U b 0 o 7 L m Q m 5 5 n a w Q K 4 h p p e U J T Z K 8 h y 1 y T z y o 0 l R F n W C d A b y p J K Q a p d 5 t D v 2 c L L U l f 4 O x + r 5 c j H / a 2 o s z Z y 4 p 9 R g d Y E K D m T 8 5 u n r i j M C X Q G W w r 6 F m D a 9 E L t 4 t j v 2 E E 9 1 J S W e Y T Y 9 o s d W e W u 1 3 Q 2 X 5 K j x t p F L 6 s X F N J I z D o 1 K v Y a / Z g 3 r + X 8 n 5 m d Q t R E a / q O o z f A W n l 3 N F 4 v 5 V 9 N j 6 A q o A Y g I n I b W c M U t 2 g t k 1 v U E B 7 q I Z j G 1 u O T z 2 1 2 d 3 Y Y 9 3 J 1 b S y m X Z 5 C o m s P V x Z W x C n T r q q C g j g 9 4 D l c P S 4 A c p F T 3 F t L + r 0 p U N Y o k 3 a 1 Z 2 W z Y Q z i V h Z R g B t l X + X 2 5 W B r q P 7 e C X k S s q G I q d i z f E 0 m 8 l B h w U d D j 8 1 n E U P 9 3 M d A V m / U Q x o 1 l l C A G W c q / m l 5 f L C 8 + G + J 4 7 N K Y g Q Q Y A V U s S k I Y S T 2 + 7 k i S t 6 Z Z A p Q f o P 8 O 0 4 N 2 v x 5 C q a 6 k R P M 4 x M b M a 2 y t T a + l 2 5 k s J h H j 1 T S u s P Q S 9 2 g L E H 4 S x + h 0 i I s X j W m c 8 e R f 2 L 2 X c r 8 e Y r m 5 j h L J I M / l y 9 V s d m 1 q r 7 n 5 s k G x Y R C e x S h Q V e s m J D V e f C g Z M S l n O A G Y 2 L Z b 2 m z X Q y S V h Z R Q h u n K p p W k d m G v 9 Y 0 1 A 3 t N N t Z G 9 t p Q T J z f T s Q r d z V d L W R 7 b V + K R U K U C F m 3 t G U y d e 9 d N I E E X 4 B K y d H k b 2 x / 7 O 5 I 9 n 3 Q m U 7 v X 7 N I t 5 p y y I J U L X o + W 3 0 2 v X x n T l l M h G d T Q d s U 8 e D G r r K N a p l P a j H B r S C 0 o f 3 W o l Y e J q 3 J 3 X q 4 L T f X U e J 4 F m I G c z b 7 M r + 5 W N 4 a E l K 3 l 6 9 A q w / Q C q U g e U w R l z 1 E r J 5 A K q 1 w J U X m x X 7 s 3 u 3 X Q z C 3 l l L i G e T j 9 3 p m V P p 2 8 z c R Q i I J t W A Z J w 3 b v j 2 W V Q 4 L v 0 6 Z a A G k E K r x 1 r I 9 Y r s e Q r m x j B r G I L 1 N t K A k F 8 B 6 D 0 o y A N Y l K G k E r A 8 5 D N B V D a H X B X H Z D h 8 M e M v R V 3 Z j + H B E A 3 P 5 e W Y q z c 6 P X G g 4 O c L A J W V 0 k S M v 0 h T T j X 0 B S J a 4 J q v c u S v d b d n D x b a 1 l H K 5 n R 8 F y M b R e 9 R q Z j 0 O 8 y Q 9 F V + D r n B Y 4 3 z 2 1 9 z Y X T 9 8 5 / J h p k A T U c N L 6 i h K 6 4 Z l L D / M O p s k W Z w g 1 A p 2 o E q t k + B m u x 4 + S m U h 5 Z M 8 f B f g J / l 2 N b 3 + Z L p j n M T H k 2 q S A 5 P L 4 I u n Q O M Q W u k S p 3 i S C o J 5 m q V 1 v U P 7 p 9 m u h 1 A q C y m h D F L N / / D m 6 g G Z P T d J F X A e U F 4 q P I O T v F 6 P Z T J B u Z I D i S y 5 k N + L r a G P 7 Y 4 9 h F N d S Y l n k K I q z w W S 1 V C e H r 9 w u G S Z l 5 T c p N y v t B P A O W R t f k a P H c / G E n Y u W q Q N J t K 2 N S v 3 6 y G W m + s o k T x + E e A l G 2 m 1 f T V v s j X G o 9 d 4 M I F 5 h L b v i H h c K 2 q 0 9 E 8 X f H 5 n E i f 4 f 6 L J q g O e l o L + O S L 0 h z B Y T I J d O G Q p M 8 K E E W E S R 5 s T f Z o 1 Y B Q T 1 M B A n 7 Z Q b 7 v O u D q h 3 Z 9 + j b q S e r u F y C M 7 m n 6 / + 2 R S c j v 9 3 e 2 h o r 2 G h U 2 e 0 T V d 8 x Y u C 2 R / K V F 3 9 T x p t u v h n V I W U k J 5 + n u A D 9 X 5 3 R c z e c Y N E p 7 Q R q U j L s w R o X l G d Q e b q r I J D Q d m H k U a A 4 e T Z Y L d y W w 2 7 C G Y y k J K M I P k W f w y v V u Y 8 D b n T v k j 3 S N C S O Y I B R 5 B x a j D a I B o j L M 8 y e C + p 6 i 8 W A / 2 5 W 4 9 B H J z H S W O 5 y F m j y e C 9 7 S a z h e G W u D U K Z b Y S k U x U w z u 0 1 K q Y r Z V u h D k k Q 1 C Q W y r C g o 8 2 1 q g 3 7 O H i G 6 v p U T 1 N M i o T i / n N 0 b b N 7 d n M 5 n U t A J x C y s x f g N E 1 d V 3 T J K L o s Y J D p C c x M R Z V + s n z Y 5 9 R F R Z S Y 1 n i E 8 n x b L M c j b I v 7 G L c l l f X B A 6 Y 3 E x K p c N x c W v y + s 9 c t q Y A y e 5 a I 3 U d U S H u u j b m V h Q g O 4 n Q 4 0 j 0 Q G z t 2 + R + / V w p D b X U Q 5 U k O l L F G s 0 h U u X a l 0 0 J s U g Q U A x 7 j t Q M U K z 5 V i t D w f q / O L q 7 v v C O O 1 x w s n g c E D S A a w i 4 / h I S n 2 b f G C 9 h + U B j 1 g M P 4 Z M U 8 w O L I u C d s s e j l X 3 6 / R L K S c r S K j M i + m n T 7 N b E / L p N y c / H k E I L Q V a L S 0 p 3 c v u 2 D 2 h 4 p u A S y y E D A l 9 5 y R q R d M e h r G 1 O + 5 / 5 f 0 1 Y N S V l H j + F q Q h j x a s 4 Y L 7 b Z N F A + o X s M a I + R 1 u S T 1 T 9 H H t 2 P X K 6 5 o 1 r K c I v V F j W w P o 2 t f S q L E e B W b m 4 i a 4 u E 2 e n t 3 d X k + / G G r x Y 8 f u d V E U c Q a 4 u 8 6 4 Q b t 5 e S G G r 1 E U J 7 v a V j T b 9 X B z K g s p F + d x i J 1 r J o n m z M Y V z I 3 K c V k w c Y D N V F W i e y J x L G U t a / O S 3 K Y Z p L f 5 6 M P v Y L N h D 8 F U F l K C G S S g + / x q 9 s f y + 6 e p S U v t 4 7 H b J A L E d l q l Z b W O S q p K J D / R U s M + W h C 7 d y B x 9 z v 2 E N D t t Z S Y f g w R D f x q u R T u T + / m f x k L k L c u c L M M D H d c M 2 F S 0 G Z S 0 Y t 6 H i I i 8 0 R 8 o q x P q d j 1 g d y z h 8 B q F l M i + z Z E 3 N n R Y r o y D S f c 5 B Z g H Q p + a A 1 n B h O o Q Z 6 X 4 Q R l B 6 5 e A k d I O W K P 1 5 f 7 9 R D O z X W U S A Y p t U D H a 7 v x m W i g 4 g 6 A 0 z f T L 0 Z l I 7 e x J F 0 9 T B T h o f I a x 0 X 3 S o u h Z F r n M c N n O X a 2 / 1 b k b j 1 8 K 5 v r K N 9 K k D 2 9 X 0 C b f l 7 M T U + 0 G 3 R Y 3 O V J V p Y V k 6 w c z 8 x + K p l i + w a g v Y Q 9 n t J 4 6 A A 7 D 6 d c 3 Z Y 9 x H N r K S W k Q Q K I z 2 a r m y v U A A w F 0 e k H l 6 y L / m A W p S m C 0 P k G a A A p n Y m o k L j I M U E V K Z l t f 7 D b s o e Q b i 2 l h P T 0 Q 4 A o k E h r G u L S a O h N Q w y N B m k a M j Y a h p 6 S 1 J L 4 4 8 5 o 8 + a G 4 U B t H S Q c F 2 U E s 5 j 6 t B O z r c s J D Q j + F L B 3 J 4 p j 1 3 r v 9 + z h b G 2 v p R y u I N E c F u j H N 4 7 X J a 5 9 a c w w R c o Q d x i r G k d U Z G 6 5 R t t Y 2 5 c z j X K P h 4 g + h H 5 8 E + B l + X o 2 v 7 0 y P X 4 / u 0 S T o N U I i h V J R i J K 9 6 F L T p m H A e N A V Q U A J B N p 4 K y 2 j 5 / c r 4 d Y b q 6 j n M z T n w O M p J 7 z q r G l s e 6 v t 2 M U g w E g Y 5 T R / m 9 4 8 v T S 0 C 6 Z R 6 9 g Y 8 g 8 p I L N m H k M Y T i Z X z 7 A J H O T T 5 Q G g P D / p L i X 1 M C Q f X E B N 6 Q 0 y x D X R z a j k V W 0 S z v a D X u 4 1 t S V l I s t S P 3 E n 9 E 2 N U n W u P X a M B J B / a I C t 0 3 Z n Z J V N F x d h E 3 R P I F m g c C X k N 5 r z 9 / D B b f c r Y d I b q 6 j x D H I T t v h 5 X R u 0 v d + + 9 o h 1 U h z U B u p M O a E / I d e Y t m l G r C u i 7 w q i m h n y R q 5 X w + R 3 F x H i e T b 1 y G m G l X z p k 3 x L u m u 3 a e p R g j A O t X o R / m E 7 T 5 s m x z l j 7 L P 3 Q + e P P 3 l b n U 9 N d 2 M p 0 7 J e w S R t h B 9 y C S r h Z 1 6 X 4 r J + W / K N B 8 p f Y G q t z Y J b D b s 4 U g p C y l n K s j 0 / e V 8 8 c U 4 J f z o 0 o Z M e e Y g t a T i f x v P x w 6 Z A d o t L x A x K D C D b M Q q 7 H K W Z r 8 e Y q k s p M T y Y 4 g d S L 1 Q i q Y O c J g p 6 U n Z T q i 5 t n + W m 3 B z g p Q 9 I u e G O / h s u h B g q u e z 6 Y W p j e I m Q 1 I A 0 S i F b j B H u C 6 G E R + z h U I I D b c j B N s e i t j z / 9 / e u e 2 0 D Q R h + F X y B O B D Y s d S h c R B R b Q E o S L R 6 5 Q Y G g n i K k m p + v b 9 d t f e J J t l c b T E 3 Y v c c B O J H X k 8 6 z n 8 8 / 8 9 a X E H 4 W s 5 z A j h I N l I 7 K W 8 T 4 q j S 3 l H i i N L + U O K s w q v z 8 / V v J w 9 u H h E / F j E + q z E g J C B S K y A N S z u N z M E Q G 7 A + v M E x l J 6 0 b v A o h q T O 4 i t r a O M y A q S R e y 2 W i 7 H f 8 b L 6 m X q c q t f V U / 5 n j M a A v o E X k Y 4 s K n r M 3 i 7 U 5 Y K i 5 w L V S Q 8 r S / N N b M 7 c O 3 6 U 9 L H G e 4 N s s q / r Z x b 2 3 4 q C U w N m O l F B e L l U n F G F / k s s C G T g O z y Q I o n t M d H C H P 1 8 9 3 f X s b G M Y Y b g 1 R I e B 8 m 7 j X m i 1 n Z R n + U 2 U 9 f o k 4 b R w 6 L o w Q W L j D k Y m N K q F m 2 q 0 Y M 9 P Y e H S n h 8 / q N M V 0 Z 4 o j v D r L D u Z P g Z O T T e I N v C 3 R L C n C J E F Q 4 0 7 o d n j P 9 A 8 g I E + J u U 3 h l s H 7 G + 3 O m c Z D h z J t R g K 0 3 O 1 z R Q j D s U V p e T F 9 e p q 7 9 O q / x C a S K g J G Z 4 2 d x x F t D l D f f Z l I u i D H h F t + N H 1 O Z 2 8 H r Y h x k v C 5 B z k 6 + V p P p W A C V r x b 1 S O y s m l e / n 3 7 K i N / o 3 5 7 6 t N 8 H + R F f Z M Q c 8 G B D g a N u g Q F K K c B w Y n 7 e U f N G m t 5 T h v d q s / e 4 y H W i n t X W g Y a b T 4 N s y F v Z G y w g 5 t Y N e c 3 e U M M S b b t 1 k h o u 2 6 N L P k S j X f n P 8 q 8 + X r z 9 S / n 4 C J 5 U 0 q J c j F + d U 8 u R l 5 p t D G F D M S B 1 U i g p A e 6 W 4 U b + R M l D X d M X t L S 7 9 H O 1 7 T 1 p e Q f X 6 V s n G g E X q L q t Z Q I 2 8 K H E r K H e A w c j J t w O B 0 L M 2 a o 5 d D N + q J 4 m F V K Z r i G Y V 7 K S C j J 5 Q Q U Q q Y 1 / U V g q g A B j 5 R h 5 I h T C d 1 T m W 7 O 6 g y C z n W Y E W J C J i z 3 P t f A R e e S 5 d q C 4 T 4 9 X A 8 U d P V 4 J F D / 0 e F d h P B q 7 i c R 8 B 5 + i 2 Y d Q H 2 Q e o q u g O Y 8 A a 0 H b A s l Y B m x E Y V P b 9 R q k v R 2 E 7 u Y 5 R t A G O f e M I t t X 0 W c m 2 X w V H S N J 8 V U 8 T C R X 4 R R l 6 X Z x 5 8 X k l t U 0 D r G D y S 1 L g Q I f m N x W b r i a T c p f J X / c 0 y v f f c G c y p p K I G Y 7 U K E U V X Y i 6 4 M s Y y l c N V j r + H k f v r h u d g d 3 n P U 4 4 6 o L c m / w b F r O X q f P z 2 K E t R e F z B T u 0 j 4 I 1 H h Y J F D n D F f w K / Z 9 g R j T U E n V 6 k R r + J W 2 u b d / f c z t s w y v B q m O a c 8 6 L a R 9 H l n n 9 + l s s q h c Q N h 7 L / o y R m H D K G K w k i Q I T q 9 N t C G k G 0 J 0 z F q c Z g B p l / D U F n d w H Z g n G e / M f Z D 0 Z Z m F Q M C r F Z D V i z e u X k D G 6 s 2 h G b D W D L C n P T 4 t U J 3 2 O F q g M u 0 5 t E B X a Q 9 Y N E v 2 + b E 3 6 N 2 y F B L V l w i / I + T 2 6 k K R e H F 7 p j m s C + w S J K y G R B s k 8 U C j C 6 S / K C w T 2 P 7 b j 6 m F 5 T 1 t d w c X 6 h s H G v d q k D S f 3 6 o f 5 X z p b g 3 4 9 v b o A B R I g r G k W i C A 2 2 C / C q Q 5 W P v J U k B C L B x D w N M W h q B t 7 s C 1 2 2 c Z X g 2 z r 5 d Y e M Y H l i 1 V j w z r c l 6 W s 0 W T n Z 8 L / Y G / 2 5 f S v Y / S e Q o k F 2 o m c v C M 1 h J 1 V t N W y h m E A i W M h N Y c 6 f s O W i B r V n f w 9 t h O M 9 6 f + / + s e 3 5 8 t T j 5 d H w G O c v 1 e H l d z c 6 B W J c n / w D q e q v B t U c j 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1.xml>��< ? x m l   v e r s i o n = " 1 . 0 "   e n c o d i n g = " U T F - 1 6 " ? > < G e m i n i   x m l n s = " h t t p : / / g e m i n i / p i v o t c u s t o m i z a t i o n / C l i e n t W i n d o w X M L " > < C u s t o m C o n t e n t > < ! [ C D A T A [ T a b l e 2 ] ] > < / C u s t o m C o n t e n t > < / G e m i n i > 
</file>

<file path=customXml/item22.xml><?xml version="1.0" encoding="utf-8"?>
<ct:contentTypeSchema xmlns:ct="http://schemas.microsoft.com/office/2006/metadata/contentType" xmlns:ma="http://schemas.microsoft.com/office/2006/metadata/properties/metaAttributes" ct:_="" ma:_="" ma:contentTypeName="Document" ma:contentTypeID="0x010100DFC6BC4B1EFDC4409E1522139A1FFAD1" ma:contentTypeVersion="11" ma:contentTypeDescription="Create a new document." ma:contentTypeScope="" ma:versionID="362c2b27944472ec6358498629c69080">
  <xsd:schema xmlns:xsd="http://www.w3.org/2001/XMLSchema" xmlns:xs="http://www.w3.org/2001/XMLSchema" xmlns:p="http://schemas.microsoft.com/office/2006/metadata/properties" xmlns:ns3="14ca70b7-b93c-4334-ab56-eeed2676982a" xmlns:ns4="9f75c5af-d26c-4511-82f9-262aceebea2e" targetNamespace="http://schemas.microsoft.com/office/2006/metadata/properties" ma:root="true" ma:fieldsID="a522070c361c12eef5d3d9855f27245b" ns3:_="" ns4:_="">
    <xsd:import namespace="14ca70b7-b93c-4334-ab56-eeed2676982a"/>
    <xsd:import namespace="9f75c5af-d26c-4511-82f9-262aceebea2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ca70b7-b93c-4334-ab56-eeed26769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f75c5af-d26c-4511-82f9-262aceebea2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3.xml><?xml version="1.0" encoding="utf-8"?>
<?mso-contentType ?>
<FormTemplates xmlns="http://schemas.microsoft.com/sharepoint/v3/contenttype/forms">
  <Display>DocumentLibraryForm</Display>
  <Edit>DocumentLibraryForm</Edit>
  <New>DocumentLibraryForm</New>
</FormTemplates>
</file>

<file path=customXml/item24.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G e m i n i   x m l n s = " h t t p : / / g e m i n i / p i v o t c u s t o m i z a t i o n / S h o w H i d d e n " > < C u s t o m C o n t e n t > < ! [ C D A T A [ T r u 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 2 0 1 9 - 0 6 - 2 8 T 1 2 : 0 3 : 4 8 . 5 8 3 3 2 6 7 - 0 4 : 0 0 < / L a s t P r o c e s s e d T i m e > < / D a t a M o d e l i n g S a n d b o x . S e r i a l i z e d S a n d b o x E r r o r C a c h e > ] ] > < / 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6.xml>��< ? x m l   v e r s i o n = " 1 . 0 "   e n c o d i n g = " u t f - 1 6 " ? > < D a t a M a s h u p   x m l n s = " h t t p : / / s c h e m a s . m i c r o s o f t . c o m / D a t a M a s h u p " > A A A A A B c D A A B Q S w M E F A A C A A g A f G H c T s 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f G H c 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x h 3 E 4 o i k e 4 D g A A A B E A A A A T A B w A R m 9 y b X V s Y X M v U 2 V j d G l v b j E u b S C i G A A o o B Q A A A A A A A A A A A A A A A A A A A A A A A A A A A A r T k 0 u y c z P U w i G 0 I b W A F B L A Q I t A B Q A A g A I A H x h 3 E 7 G r a w E p w A A A P g A A A A S A A A A A A A A A A A A A A A A A A A A A A B D b 2 5 m a W c v U G F j a 2 F n Z S 5 4 b W x Q S w E C L Q A U A A I A C A B 8 Y d x O D 8 r p q 6 Q A A A D p A A A A E w A A A A A A A A A A A A A A A A D z A A A A W 0 N v b n R l b n R f V H l w Z X N d L n h t b F B L A Q I t A B Q A A g A I A H x h 3 E 4 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8 P Q 0 0 Q Q 5 q T Y M w l n H R p O m m A A A A A A I A A A A A A A N m A A D A A A A A E A A A A H H n r x B O A n M c y + Q f b H + i C s E A A A A A B I A A A K A A A A A Q A A A A G H / k n C Y e 2 y T r X q w X a 5 W i T 1 A A A A B O u z X + 4 e i W U e s J a 9 L G x B H s N L p 2 G e r O r X 9 Q O H W C c z U w n q 3 o G U P W B n r m s V q h / s p 8 V 9 E f F O E S g A q 8 q 7 6 z n u O 9 u j u N N Z L x 1 k a D v N R S B + L E b E v m s B Q A A A A / d Q B Z V C / F r F 4 s 1 c Z t 9 2 x D m t Y A k w = = < / D a t a M a s h u p > 
</file>

<file path=customXml/item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 C o l u m n s \ F i p s S t a t e I d < / K e y > < / D i a g r a m O b j e c t K e y > < D i a g r a m O b j e c t K e y > < K e y > C o l u m n s \ F i p s C o u n t y I d < / K e y > < / D i a g r a m O b j e c t K e y > < D i a g r a m O b j e c t K e y > < K e y > C o l u m n s \ C e n s u s T r a c t 2 0 1 0 < / 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 C o l u m n s \ F i p s S t a t e I d < / K e y > < / a : K e y > < a : V a l u e   i : t y p e = " M e a s u r e G r i d N o d e V i e w S t a t e " > < L a y e d O u t > t r u e < / L a y e d O u t > < / a : V a l u e > < / a : K e y V a l u e O f D i a g r a m O b j e c t K e y a n y T y p e z b w N T n L X > < a : K e y V a l u e O f D i a g r a m O b j e c t K e y a n y T y p e z b w N T n L X > < a : K e y > < K e y > C o l u m n s \ F i p s C o u n t y I d < / K e y > < / a : K e y > < a : V a l u e   i : t y p e = " M e a s u r e G r i d N o d e V i e w S t a t e " > < C o l u m n > 1 < / C o l u m n > < L a y e d O u t > t r u e < / L a y e d O u t > < / a : V a l u e > < / a : K e y V a l u e O f D i a g r a m O b j e c t K e y a n y T y p e z b w N T n L X > < a : K e y V a l u e O f D i a g r a m O b j e c t K e y a n y T y p e z b w N T n L X > < a : K e y > < K e y > C o l u m n s \ C e n s u s T r a c t 2 0 1 0 < / K e y > < / a : K e y > < a : V a l u e   i : t y p e = " M e a s u r e G r i d N o d e V i e w S t a t e " > < C o l u m n > 2 < / C o l u m n > < L a y e d O u t > t r u e < / L a y e d O u t > < / a : V a l u e > < / a : K e y V a l u e O f D i a g r a m O b j e c t K e y a n y T y p e z b w N T n L X > < / V i e w S t a t e s > < / D i a g r a m M a n a g e r . S e r i a l i z a b l e D i a g r a m > < / A r r a y O f D i a g r a m M a n a g e r . S e r i a l i z a b l e D i a g r a m > ] ] > < / C u s t o m C o n t e n t > < / G e m i n i > 
</file>

<file path=customXml/item8.xml>��< ? x m l   v e r s i o n = " 1 . 0 "   e n c o d i n g = " U T F - 1 6 " ? > < G e m i n i   x m l n s = " h t t p : / / g e m i n i / p i v o t c u s t o m i z a t i o n / T a b l e O r d e r " > < C u s t o m C o n t e n t > < ! [ C D A T A [ T a b l e 2 , t b l F i p s S t a t e C o d e s , t b l F i p s S t a t e C o u n t y C o d e s , T a b l e 3 ] ] > < / C u s t o m C o n t e n t > < / G e m i n i > 
</file>

<file path=customXml/item9.xml>��< ? x m l   v e r s i o n = " 1 . 0 "   e n c o d i n g = " u t f - 1 6 " ? > < V i s u a l i z a t i o n   x m l n s : x s i = " h t t p : / / w w w . w 3 . o r g / 2 0 0 1 / X M L S c h e m a - i n s t a n c e "   x m l n s : x s d = " h t t p : / / w w w . w 3 . o r g / 2 0 0 1 / X M L S c h e m a "   x m l n s = " h t t p : / / m i c r o s o f t . d a t a . v i s u a l i z a t i o n . C l i e n t . E x c e l / 1 . 0 " > < T o u r s > < T o u r   N a m e = " T o u r   1 "   I d = " { D 5 9 3 A 2 6 5 - A D A 2 - 4 C 1 1 - B C 8 5 - 9 1 F E 9 1 9 F 7 0 3 E } "   T o u r I d = " 8 c 7 b 7 5 b c - 6 2 2 4 - 4 e f 9 - 9 c d 5 - f 3 0 1 e 9 5 9 7 9 c 9 "   X m l V e r = " 5 "   M i n X m l V e r = " 3 " > < D e s c r i p t i o n > S o m e   d e s c r i p t i o n   f o r   t h e   t o u r   g o e s   h e r e < / D e s c r i p t i o n > < I m a g e > i V B O R w 0 K G g o A A A A N S U h E U g A A A N Q A A A B 1 C A Y A A A A 2 n s 9 T A A A A A X N S R 0 I A r s 4 c 6 Q A A A A R n Q U 1 B A A C x j w v 8 Y Q U A A A A J c E h Z c w A A A u s A A A L r A b 9 3 E o U A A B I p S U R B V H h e 7 Z 3 7 c x p X l s e / N M 1 T C I H e 1 t u W 7 S T j 2 I 4 T O 4 / J w 5 l k d n Y z W 7 t V 8 9 v + k V u 1 V b N b 2 Z p M x n G c z E y c c R I n j m N H l q w n e i I B Q r x p m H O a J g I E s o S u b I H P J y X T 3 S C C m v 7 e 8 7 j n n r b 9 9 1 f b R Q i C o A T N e h Q E Q Q E i K E F Q i A h K E B Q i g h I E h Y i g B E E h I i h B U I g I S h A U I o I S B I W I o A R B I S I o Q V C I C E o Q F C K C E g S F i K A E Q S E i K E F Q i A h K E B Q i g h I E h Y i g B E E h I i h B U I g I S h A U I o I S B I W I o A R B I S I o Q V C I C E o Q F C K C E g S F i K A E Q S E i K E F Q S F u 2 Y h 4 N G D j f n 0 P B M K D Z 7 d b R a r 5 d 0 h F J 6 t a e I K i h 7 Q T 1 2 m g W q Z V H 6 B 0 e g 8 P l s I 4 2 J l 8 A I n N 2 / J C v f u 3 p 7 j w 6 X E U S n Y Z 8 a A v j / d 3 Y j i f w U O u k s 2 a z X r V L 0 F P A C y R i p 7 0 I j e z + Y k T H z O b h B M v v E U 1 r K E q 3 + Z a l 7 Q T 1 4 f m 0 t d W Y + G w O X l 8 Q 6 f w W O g a d d B a A x J w N H R O 7 p y I 2 n 0 I x p S N w n k S h l Q T E / / 5 p c x n / 2 j O E B 6 s O J P M 2 Z P P A W x N Z 8 / k n 8 X D d g R d J d E t R u 7 l d 5 r f 7 f O Z k 1 o b 1 1 C J C s V 6 8 O e I 2 x X Z z x m 0 9 K 6 g g l Y z D 4 6 W B U g F t J 6 g P 6 O K s t R + 5 R B Z G x I e 8 f R u + U 4 0 v x n T I i X w + D d 9 4 / d C S 3 / f L j R A m O / w Y 9 P j M Y 5 G U H d 1 e M n M H Y D q s 4 2 w v K b C C G T q 2 G r f j 7 d M Z 6 8 h e l u L z 6 P c O k v V z W U e q u T n t I k t r w 5 X h L L 6 j v 4 E p i 3 S W r C T / V H 7 C L r K E s Z S E z 2 W 2 o 2 F y O m z o 7 O q x j l R z l b 2 e n A 3 3 a R C t h Z 0 V H u R + e W w 3 Q f E f 9 m 6 X H Y Y t D i 3 n g e G N w R N Q M 6 L X C p X 5 e j 2 E U C Y B l 0 2 H 1 2 F H 0 O V F J J P G S i 6 N / x o 5 i 0 + X 5 5 H 1 u p H Z 3 k a H P w C H 0 4 G r u h e b 2 T R + j G + R p f R D d + g o R q N 4 t 3 8 U d v Y X j 8 A m u a h 3 S V T 8 5 X 5 w L o 3 p + z O I h z N I 5 x I Y e + 0 a t M 0 p P C h e g q 4 V 8 f 7 Z j P k 6 d j P Z 3 V y K 6 X i 4 9 v z F l f H Y J m a + + Q S T r / 1 u j 6 i G u g x 0 e w z 0 d x b w O X k G R s X I x A N Y T 0 f 1 Y N q W S Y k r t j V 0 n + u y 9 t R R T 1 B M j q y D g y 7 Q W h L 5 H D r 0 6 l E t Z 9 B r K c 6 q R 7 5 Q w J c k U K P D Y 1 7 o 2 V w G v f T e T s 2 O K G 0 H n U 5 c 7 h 6 0 X r 1 L 7 b u Z I y U 9 / n j n A V 6 6 c g 6 6 r u M v j 9 z w F 7 a A h X m c f W U Q o f w A X j 5 V 7 a o u k i v K C R 2 G P g p u T D 8 / r i W L K h k L I 0 C D m s v t t Y 7 u D w 9 I P D A x m w n N F F f b C Y r / S F v B g K a r d 2 k a C e q w c F z k d T Z 3 2 u 9 G 1 r F K D l z R I N f R 4 U A u l c I E W c W z n U F z D i Q c j y N N z / k y R Q w O D y C y u Y 1 g j 9 / 8 3 f L / 9 + E X G z j / T l 8 5 N D T h k d d e c 8 o 2 k z H c W + m F W 0 8 j b 3 g p 5 l R 1 B k 4 e R R q F W F R G L g v d 6 S J P w g W 3 5 d b X 4 / W x D P z u 0 n e Y o v P 6 1 7 m S O 9 4 2 g v r V Q A 6 n y D z z i W F / u B n 2 s x 5 M o 3 f d 2 N H Q 5 6 s 2 / f t R a Q m O m / X F M D x F H + x k 3 Y o k i F Q s g 0 h y C + e u D V m v K F G g P 7 t S Y G W y R h b R T J h i u C H 8 Z c q 9 x x q 2 O g G K f 6 P k J j N Z c t U z 6 Q R y m R Q W 7 n + B 0 5 c / g G b X z e v J 6 e 6 A T t u v j O T I E p U G n 0 L R h h u P q u P a Z y 6 o o a 4 8 l s l 3 b 5 Z X R 7 I I V i Q F o j N x B C a b y 9 j c W X D i 6 l j j j N 1 + M p 3 b s m O i + 2 A i M V 2 y p z T Y p 0 I u e I a r E x 4 F + g C h R B w d t i B 9 j i I y 9 L H z N J i M 1 I g 8 n 8 m T J b R R / E c W b 9 C F I q l u 6 l E B w x 4 N X 6 U 9 1 q t K s B j 5 Q u o l t 4 c H m J O O x 1 E 0 E w 3 1 4 E E 5 u R M j t 9 e A Q W 7 7 2 u O 7 S F K 8 2 9 U 7 A p c v A I 8 v C A d 5 B U x t z N W S F o o v x j f H s + S + 7 L U K m W U n X E M H S 2 P X 4 8 v H L r x z p n 7 G b T 8 N x N I 2 d F k u w E H g 7 N 5 k T c b v O N j a i K C 7 L 2 j t 7 f J J Z B X 5 7 Q K u 9 Q f h c + h m M u T z 8 L I 5 E c 6 j s k 6 P v + 4 I / p I k S W 6 m 4 O 3 Z F V G a z v O 2 3 8 B P q z o M G q l / Q 6 6 2 R u L 8 l K z Y S Y O 9 A Z 5 v v D C Y s 4 4 A X 5 G L x n O W t 2 k Q T T c Q V h m 2 X G P B z y i m t Z N L P Y F E p i S i 2 b s 3 c O b K h / D 5 u 8 1 9 p m V d v k b z T e l l B 9 x D u y d O J f u d 9 i y 5 U 0 7 9 c K c y T I E s j + j H y a f L C / j t 0 J i 1 1 5 g M j c a c / N j / 0 q o m s U S v d y X h 7 S u 5 P T + u O M w p g J P E a z U e T C M 4 h v y s J g k z 0 f u I B p R l c 1 u z 2 T H c e R H z k R T y W E Q i 9 S r m V 6 L 0 T J G s V K 8 Z K o w H K X Y 3 X 9 2 C 8 A h T j 6 I n Y W 0 9 X Q 4 r J q b L f b x i Y n J O O 3 b y T 7 b Y r j p i y h o p z M X + g V h m H b P R 2 + Z P J R 0 j h i m m + E L p 7 x g k i 6 U C O 3 0 Q D v j H u / N k K V P W 0 e b 4 Z s l p W k 3 + + e t s 6 Z q 5 s 1 g 6 V g n H R N c n q z 2 T b m 8 R p w N v m N u F o o H F 7 b t I Z f u w u H k N P l f p + 0 6 R K 8 g u I s f f P M / Y s o J K Z O u P p Z 6 g E 1 v T W 9 b e 0 2 V u S 0 c k p Z n Z t I P g e A q D + U e 9 w 5 j Z j u J e d O P Q 7 l g 4 9 Z g u l g K 2 U r P W k f p 0 D N s o 3 j K U W V u D r t U B n 4 F z 5 B K / N Z 4 w J 6 n Z P W O u j j a e A H 8 S H D P x O e i l 9 2 a 4 Y q U M T 9 q y l a l M S m W z p 8 3 H m f X r m N 1 4 m 1 y 9 P p z p X T e P L U R 0 O F 0 e r M 7 + A J c R w S X y i l w 0 q L Z 0 l o 9 T w G 9 N V J / g n d U U B d D V A b M q 9 p P J G r k 6 A 5 0 G d j I a j V 4 H u 7 C i l v h 8 9 H f 4 P c d r r a a i M a x t 9 e P d B v F h P W o t U q d z A L 3 e C W u v m s h 8 B s F x 1 6 F F W w + b j b O 1 d l w c z O L e q t O 0 H D z P 8 3 B d N y t C n h U 2 c u 9 c e g r p / O 4 8 V S y y D o 2 s e z k 5 0 R Z p c x 4 Z 3 q Y L h U 9 1 / D F 9 8 W d K x 2 t J Z G z k x t g O 5 F P X 4 z i / y k Z p a x W s J R P w 6 j o J o r 6 b X A u 7 N / O x O 9 b e L n 7 X E H o 8 o 9 Z e N V 8 n I t g O n b L 2 1 H G F Y q D v y G 3 j o m P + 7 k 4 a P H f F l A X V s i 5 f J Z m 8 D T d o Z O R 0 d N b I Y S V m N z M 3 y / T I 1 e I b O 3 b T 3 H P 1 O F u C J G 2 v x z V z 1 D N o x O P f e 9 Y c l 5 i Y A W 8 H b m 5 v m H / v Q e A A v B 5 B d 2 P B d N L F v l + R b 7 O w m J i T K C a G M 3 y V W b 6 2 E F Q Z T q d z b o A n e N 2 O o l m H x d a o j 3 x m n n d g O O D 1 0 j b X Z n G p i K b x R D C w u l 0 S 4 V F Y o f c 4 A d q s S 9 9 0 A Z 0 H d E X j m Q 1 r a x f O c G m 2 x v O F D o q 1 t o + W P 2 h J e N K 3 s p C g L V y + M m P B P P q 2 k g i 8 U B r V V P M k u f 2 0 p q O D 4 i F O n 5 4 k U k Y e b r u O h e k l F D a 6 k c k m y a o n z S y e f 8 i O F 1 4 + a 7 2 y O X Z y W S z O P M L k m f N w O h 1 m D S D X A j 6 P t J W g B j s N j M b T 8 J 8 / n v T Z 0 e z X s + P 2 e g h v 9 A 9 b e 9 U U K H i 7 / / k y L v 6 m / v N P 4 k 5 4 G R v 5 H D 4 a H M e N R 2 6 8 M Z Z B g c 7 U 7 f n j G d R O O m 0 l K O Z M T x 6 n t B 2 4 g + p n 7 F t V U B + H Q / h 9 b 2 P B c E n R 8 t I K h s e q 6 / s q + e P S N N x d A X P O h S c z + W H Y K O J i 9 4 D 5 P B / 9 l u K d e F o z q x K e V 9 p O U M z r v j A 6 h x p X C j d L q w r q f 9 b m 8 Y e B c W u v P n d v P c I r 7 5 2 z 9 q r J F Q y s p 1 M Y 9 u 4 9 p 7 x y O U S x o 1 C i r Z I S D J c k H Y e Y W p n r X f 3 W V m N Y T A / v P c L S X K n U p p I / k Y W r F N P j T d 2 c b + J y K x F T N W 0 l q H J 9 3 0 6 o + d n 0 d u L j l V n 8 / 9 Y y u t 0 H m + h + 8 e I 5 9 J / q x Z 0 b D 6 w j J a 7 6 d t P C 7 M 6 w o J h b j w 8 2 r / U 8 0 V Y u 3 3 u T a b O c J 0 2 + v H u k + Y r z R r S S y / e / K 3 P 4 9 8 F x a B U p 3 c N w 6 4 / f 4 b 3 / v G I K 6 F 5 k A 5 e C f Z h a 1 7 E Q V b d E / q 3 x D F y O t F k j V y a d 6 8 R a 7 G W K w 1 o z q d F W g p r o z p e W R F C Q v T 1 T h C O Y g 6 d X 3 S j a K o L 6 8 9 o i r v c N m d X j R + H b z 3 7 G + m U / / q 2 7 N K F 7 1 L I i X k S t 2 4 v m G j a e C 2 T m Y 9 / Q 1 1 V / G U v O 8 N A A m Y J H H 8 O P y 6 W 6 u p N O X U H x h V N e y c g d c r j K g K s R T j r v n 0 u b E 7 e V J J d s c P b k o X u O 7 u s f x x n g k 6 / q f Y v 0 3 6 3 1 E C 5 1 9 S D o O n o 9 4 / J O D D 6 n G 3 6 n C 1 m D r N Y h 2 5 d p G g u F G 8 C U G p r U E k m H E E 0 v W X t A K H K Z L F S A r r 0 F U 0 x c j N p q 7 B E U V x b w G p J a V B Q 9 H j f 7 9 e R L L T n g p i + 1 2 e X x T D O / W U 8 w X O C 5 u V M a r H h h 4 k D n 0 f P M X 2 y E 4 C G L d L V n b x O X Z r k 7 N Y 9 X z o 9 j K T 6 L q d W X z H r D w 3 B + 8 G / o 9 5 6 D W 6 + / g n o + 9 j 3 i a R 9 W Y x e s I 6 3 P H k E 1 q s c 6 6 Y K 6 f j Z t u h T 7 k U v m k Q l r 8 I 0 1 l 4 t p R l C 8 B q e 2 5 x 4 v x H v 5 V M 5 c K s 4 l U e W 1 N c 3 w f x t L c H k 8 e N v t h 7 e m w 9 J R 4 P m m m Z / m E T j t Q T i 9 h q X w 6 9 Y z B y f g X U S P 7 z G 5 n h 6 K 5 R w o F C 7 g w V o p N u J u Q Q Z P Z h W 5 h l u V j X 7 2 1 H X 5 u H L b U 7 F g b m r D g Y X I y U 6 P j g T y e K H / Y E v K p 7 9 f Q i 5 B 7 u B O C h 2 9 d r z 4 a o P y 9 B q a + d q 5 y e R p c j m P g 4 8 3 Q / h 9 T / 0 J W 2 4 b 9 i G 5 w M 2 y d D + C k Q u l p f O t 4 J 2 c F B o m J X j U n K Q L g d e g t E L 8 x I O A u 4 l V s w + + n c F L r 0 5 a e / t z k s 7 C 4 3 g U Z z o D 1 t 5 e 7 q 0 4 c b G m 7 9 5 h S K z m 4 B l w m l b 0 H l l U 4 W A 0 F F S r c Z C e 5 o 3 4 4 a s p X H r z v L X X m K M K 6 n Z k H V 5 6 l 1 G v D 4 E j J A 1 u r p M r p b s Q K + T w z j 4 l R c 0 Q D 1 G c C S d c 3 X l 8 v i g T 5 I e l b Q T F q 2 V / N Z h r a l 1 R J p 3 B 1 O 0 1 X L x e 3 c x k f m Y B s T k 7 i o 4 k d E 8 R 3 Y O d G B o 9 / C K 6 m + F l u G 0 a 3 u g Z N E X J H W I 5 9 i k U S 8 k I l 9 2 O C x 4 / J n w H 6 3 Z 7 M x n F + 9 7 G 1 q k e n A j h u I W / 7 H q n K L 5 g w D e q V S V t x N U 7 P G 0 j K I Z X 7 l a 2 A E v m I l h P T G H C a r T x J O 5 9 O W M G y Z q n g E J S x 8 v v j l d d Y I m d B H 7 + + y r s 7 g J 8 Q S d 6 h w I I d O 8 v g k 9 W 5 v G 7 U / v X 0 T G c B P g 0 H I J f s 5 s N U y Z 9 A X Q 6 q i c 3 + T V x + g y 3 8 z v 4 l + D h s 3 n l Z E g 9 j I w B u 2 s 3 T u a e C V M b 6 i Z x n x f a Q l A 9 X g O X h p u z T o e B 3 / 6 L x y 6 M d H F D E g O 2 c B 6 + k f 2 T N b f W l / B e / 4 i 1 d 3 D Y i n 2 7 t Y a 4 x 4 2 3 X B 0 o p H N k 0 Y q Y S m 9 j k V y 9 S 2 T R J v 1 7 + + 0 1 S + x x F l 1 n n P g u 5 M B m 4 m Q n o E 4 y b S G o c v y 0 n V m F 3 6 V u H q Y S X j 7 O p T f J n G a u f I 1 n S q n 3 N 1 0 Z + M Z L p / B 7 s n D + f i d C A Q 1 r h S y 8 b g 8 + C l R / H p 7 L 4 b s 4 8 A I 8 / q 1 f n 8 7 8 U j X Q i I x h 4 M + x N Z w q a n j N m m d i a / W P y A b m k t u m R d M 1 z S w z y t P 2 f / S V 4 i p e l m G z R p n U V h q 2 r H V L n 7 6 9 z f A 3 f s 7 j e 5 v E T E e l L Q R V n j v j E p Z 6 y 7 S / m H H R R W k z L Q x f X 5 x i 5 4 a M t R 2 A t t M a / A 1 6 5 b E Q / j 7 n q t u + V 6 e L 2 5 N c Q M Y / 9 k v v A 0 5 Z / x R e w 4 W + 0 n q h m 9 N u s j r m 5 h 7 4 n l F c N l U J 9 7 3 4 m 9 V H 7 t o o W Y 9 9 u i K x u C p d U y N X R H q j Q K 6 r A W e H j k y U x N 1 f 6 k 3 H v N S b x U q I r C x y 2 K H z l Y C G u F P i J R W 0 h a B 4 U e E c + f w 8 6 n P g f a b X I L c s b 9 5 m 5 j 7 F D V t W M / h a u O 8 b N 1 M s w y 2 9 P M 4 i d k h Y 3 A p s e t N B F 3 v O F E P l f Y G O A 9 b D B 2 f J i t B j v W Q A 3 7 + p 3 J u u D L + O e 8 y 9 U q d T 7 s 9 k T R e t Q t Y 3 x z P 4 a l 4 q w 5 8 G b Z O U u D 6 Z N l 2 p w 8 L N X N 4 h t + u n V Q e W W 2 B t D 9 9 S l J t p c h / A a 2 M Z T I c d G A / m 4 a A x w 6 U X 8 O W s W J p n S d s I S h B O A s 0 V t Q m C U B c R 1 F N m v x u 6 C a 2 P C O o p w 3 d p E N o X E Z Q g K E Q E J Q g K E U E J g k J E U I K g E B G U I C h E B C U I D Q h 4 C m Z l y u W h H X N p 0 E E Q Q Q k C w f 0 c y 6 L h 1 g 9 c c H 1 1 N I u R g A H D N m M W U t e 2 W O j 2 F j D g K 5 j 1 o 2 W k 9 E h 4 7 j n l N 3 B h s P 7 C y 1 r u L D l x Y S D 3 y w 3 8 K s k b N r F Q g t D f e f A b 5 F 0 d y d Y V U y p r w 8 0 Z l 1 g o Q W C a v T / w 7 X k X 4 p n d 6 h e x U I J w A H j B J x N N a W b z U l 6 L x j + V Y m L E Q g n P P e c H v 8 a Y / 5 J Z Z 1 k u X r 6 / 5 s B K z G 7 2 y j c O o R A R l C A o R F w + Q V C I C E o Q F C K C E g S F i K A E Q S E i K E F Q i A h K E B Q i g h I E h Y i g B E E h I i h B U I g I S h A U I o I S B I W I o A R B I S I o Q V C I C E o Q F C K C E g S F i K A E Q S E i K E F Q i A h K E B Q i g h I E h Y i g B E E h I i h B U I g I S h A U I o I S B I W I o A R B I S I o Q V C I C E o Q F C K C E g S F i K A E Q S E i K E F Q i A h K E B Q i g h I E h Y i g B E E h I i h B U I g I S h A U I o I S B G U A / w R u u P s G u + I P P A A A A A B J R U 5 E r k J g g g = = < / I m a g e > < / T o u r > < / T o u r s > < C o l o r s / > < / V i s u a l i z a t i o n > 
</file>

<file path=customXml/itemProps1.xml><?xml version="1.0" encoding="utf-8"?>
<ds:datastoreItem xmlns:ds="http://schemas.openxmlformats.org/officeDocument/2006/customXml" ds:itemID="{93C80A02-E6DB-489A-A782-75B3272A7F5D}">
  <ds:schemaRefs/>
</ds:datastoreItem>
</file>

<file path=customXml/itemProps10.xml><?xml version="1.0" encoding="utf-8"?>
<ds:datastoreItem xmlns:ds="http://schemas.openxmlformats.org/officeDocument/2006/customXml" ds:itemID="{D593A265-ADA2-4C11-BC85-91FE919F703E}">
  <ds:schemaRefs>
    <ds:schemaRef ds:uri="http://www.w3.org/2001/XMLSchema"/>
    <ds:schemaRef ds:uri="http://microsoft.data.visualization.engine.tours/1.0"/>
  </ds:schemaRefs>
</ds:datastoreItem>
</file>

<file path=customXml/itemProps11.xml><?xml version="1.0" encoding="utf-8"?>
<ds:datastoreItem xmlns:ds="http://schemas.openxmlformats.org/officeDocument/2006/customXml" ds:itemID="{7D8C068E-9D07-4F93-A167-E252F39FFEB3}">
  <ds:schemaRefs/>
</ds:datastoreItem>
</file>

<file path=customXml/itemProps12.xml><?xml version="1.0" encoding="utf-8"?>
<ds:datastoreItem xmlns:ds="http://schemas.openxmlformats.org/officeDocument/2006/customXml" ds:itemID="{C381AEE1-561F-41A2-A068-08AFF252651A}">
  <ds:schemaRefs/>
</ds:datastoreItem>
</file>

<file path=customXml/itemProps13.xml><?xml version="1.0" encoding="utf-8"?>
<ds:datastoreItem xmlns:ds="http://schemas.openxmlformats.org/officeDocument/2006/customXml" ds:itemID="{D94A90FD-1E27-451F-924A-F71961C2FA76}">
  <ds:schemaRefs/>
</ds:datastoreItem>
</file>

<file path=customXml/itemProps14.xml><?xml version="1.0" encoding="utf-8"?>
<ds:datastoreItem xmlns:ds="http://schemas.openxmlformats.org/officeDocument/2006/customXml" ds:itemID="{ABDD4B19-B8FD-44A5-A29B-912CC80A26A7}">
  <ds:schemaRefs/>
</ds:datastoreItem>
</file>

<file path=customXml/itemProps15.xml><?xml version="1.0" encoding="utf-8"?>
<ds:datastoreItem xmlns:ds="http://schemas.openxmlformats.org/officeDocument/2006/customXml" ds:itemID="{EC39AF20-96F4-4045-A997-1A57C7417DA8}">
  <ds:schemaRefs/>
</ds:datastoreItem>
</file>

<file path=customXml/itemProps16.xml><?xml version="1.0" encoding="utf-8"?>
<ds:datastoreItem xmlns:ds="http://schemas.openxmlformats.org/officeDocument/2006/customXml" ds:itemID="{1C15B870-2735-4485-A5B4-E4C808A24D74}">
  <ds:schemaRefs/>
</ds:datastoreItem>
</file>

<file path=customXml/itemProps17.xml><?xml version="1.0" encoding="utf-8"?>
<ds:datastoreItem xmlns:ds="http://schemas.openxmlformats.org/officeDocument/2006/customXml" ds:itemID="{16D0EE02-20EF-48DC-BEF5-08BD821A1485}">
  <ds:schemaRefs/>
</ds:datastoreItem>
</file>

<file path=customXml/itemProps18.xml><?xml version="1.0" encoding="utf-8"?>
<ds:datastoreItem xmlns:ds="http://schemas.openxmlformats.org/officeDocument/2006/customXml" ds:itemID="{8DAC7DF8-B6E6-481F-B6D7-1D3C4A731144}">
  <ds:schemaRefs/>
</ds:datastoreItem>
</file>

<file path=customXml/itemProps19.xml><?xml version="1.0" encoding="utf-8"?>
<ds:datastoreItem xmlns:ds="http://schemas.openxmlformats.org/officeDocument/2006/customXml" ds:itemID="{EEC867BC-779A-49DF-94CF-FC67207BF8EA}">
  <ds:schemaRefs/>
</ds:datastoreItem>
</file>

<file path=customXml/itemProps2.xml><?xml version="1.0" encoding="utf-8"?>
<ds:datastoreItem xmlns:ds="http://schemas.openxmlformats.org/officeDocument/2006/customXml" ds:itemID="{AB87CBEB-AB53-4002-BE1B-15F7C7C6702E}">
  <ds:schemaRefs/>
</ds:datastoreItem>
</file>

<file path=customXml/itemProps20.xml><?xml version="1.0" encoding="utf-8"?>
<ds:datastoreItem xmlns:ds="http://schemas.openxmlformats.org/officeDocument/2006/customXml" ds:itemID="{BF351922-3D50-45B9-BBBA-40B9330D211B}">
  <ds:schemaRefs>
    <ds:schemaRef ds:uri="http://www.w3.org/2001/XMLSchema"/>
    <ds:schemaRef ds:uri="http://microsoft.data.visualization.Client.Excel.LState/1.0"/>
  </ds:schemaRefs>
</ds:datastoreItem>
</file>

<file path=customXml/itemProps21.xml><?xml version="1.0" encoding="utf-8"?>
<ds:datastoreItem xmlns:ds="http://schemas.openxmlformats.org/officeDocument/2006/customXml" ds:itemID="{76CBEBF0-2C76-4BFD-9608-C05A60A0D22E}">
  <ds:schemaRefs/>
</ds:datastoreItem>
</file>

<file path=customXml/itemProps22.xml><?xml version="1.0" encoding="utf-8"?>
<ds:datastoreItem xmlns:ds="http://schemas.openxmlformats.org/officeDocument/2006/customXml" ds:itemID="{8EBE3B7F-CADE-48F6-958E-05836EEFD1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ca70b7-b93c-4334-ab56-eeed2676982a"/>
    <ds:schemaRef ds:uri="9f75c5af-d26c-4511-82f9-262aceebea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3.xml><?xml version="1.0" encoding="utf-8"?>
<ds:datastoreItem xmlns:ds="http://schemas.openxmlformats.org/officeDocument/2006/customXml" ds:itemID="{E5C7109D-DC51-445E-9A67-4442AB8092D1}">
  <ds:schemaRefs>
    <ds:schemaRef ds:uri="http://schemas.microsoft.com/sharepoint/v3/contenttype/forms"/>
  </ds:schemaRefs>
</ds:datastoreItem>
</file>

<file path=customXml/itemProps24.xml><?xml version="1.0" encoding="utf-8"?>
<ds:datastoreItem xmlns:ds="http://schemas.openxmlformats.org/officeDocument/2006/customXml" ds:itemID="{8CD622E6-DFCF-4158-9D6F-255A6CACF96D}">
  <ds:schemaRefs>
    <ds:schemaRef ds:uri="http://purl.org/dc/elements/1.1/"/>
    <ds:schemaRef ds:uri="http://schemas.microsoft.com/office/2006/metadata/properties"/>
    <ds:schemaRef ds:uri="9f75c5af-d26c-4511-82f9-262aceebea2e"/>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14ca70b7-b93c-4334-ab56-eeed2676982a"/>
    <ds:schemaRef ds:uri="http://www.w3.org/XML/1998/namespace"/>
  </ds:schemaRefs>
</ds:datastoreItem>
</file>

<file path=customXml/itemProps3.xml><?xml version="1.0" encoding="utf-8"?>
<ds:datastoreItem xmlns:ds="http://schemas.openxmlformats.org/officeDocument/2006/customXml" ds:itemID="{BC3B305A-4FB7-42C2-BCA3-92FCEC56364B}">
  <ds:schemaRefs/>
</ds:datastoreItem>
</file>

<file path=customXml/itemProps4.xml><?xml version="1.0" encoding="utf-8"?>
<ds:datastoreItem xmlns:ds="http://schemas.openxmlformats.org/officeDocument/2006/customXml" ds:itemID="{5CA00F0A-039B-4B81-BB4B-14A24F71F7BA}">
  <ds:schemaRefs/>
</ds:datastoreItem>
</file>

<file path=customXml/itemProps5.xml><?xml version="1.0" encoding="utf-8"?>
<ds:datastoreItem xmlns:ds="http://schemas.openxmlformats.org/officeDocument/2006/customXml" ds:itemID="{231E6A31-A281-4ED3-A294-785F931BB1F2}">
  <ds:schemaRefs/>
</ds:datastoreItem>
</file>

<file path=customXml/itemProps6.xml><?xml version="1.0" encoding="utf-8"?>
<ds:datastoreItem xmlns:ds="http://schemas.openxmlformats.org/officeDocument/2006/customXml" ds:itemID="{D3EA95D5-6462-48BD-8FF9-D0CCD8361086}">
  <ds:schemaRefs>
    <ds:schemaRef ds:uri="http://schemas.microsoft.com/DataMashup"/>
  </ds:schemaRefs>
</ds:datastoreItem>
</file>

<file path=customXml/itemProps7.xml><?xml version="1.0" encoding="utf-8"?>
<ds:datastoreItem xmlns:ds="http://schemas.openxmlformats.org/officeDocument/2006/customXml" ds:itemID="{542750D1-BC03-4DF1-8BDA-D50F388A7BFE}">
  <ds:schemaRefs/>
</ds:datastoreItem>
</file>

<file path=customXml/itemProps8.xml><?xml version="1.0" encoding="utf-8"?>
<ds:datastoreItem xmlns:ds="http://schemas.openxmlformats.org/officeDocument/2006/customXml" ds:itemID="{2E31E2B8-115E-4B4B-972C-7D378E737BCA}">
  <ds:schemaRefs/>
</ds:datastoreItem>
</file>

<file path=customXml/itemProps9.xml><?xml version="1.0" encoding="utf-8"?>
<ds:datastoreItem xmlns:ds="http://schemas.openxmlformats.org/officeDocument/2006/customXml" ds:itemID="{8E884CEA-D5F8-4CBE-A80B-B5EECC1B2758}">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VETS-700 Planned Goals</vt:lpstr>
      <vt:lpstr>VETS-701 Tech Perf Report</vt:lpstr>
      <vt:lpstr>VETS-701A Demographics Summary</vt:lpstr>
      <vt:lpstr>Goals v. Actual</vt:lpstr>
      <vt:lpstr>VETS-701B Participant Info</vt:lpstr>
      <vt:lpstr>Export1</vt:lpstr>
      <vt:lpstr>Export2</vt:lpstr>
      <vt:lpstr>Export3</vt:lpstr>
    </vt:vector>
  </TitlesOfParts>
  <Company>Department of Labor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USDOL</dc:creator>
  <cp:lastModifiedBy>Rebekah Haydin</cp:lastModifiedBy>
  <cp:lastPrinted>2019-09-27T14:23:27Z</cp:lastPrinted>
  <dcterms:created xsi:type="dcterms:W3CDTF">2019-02-28T20:18:17Z</dcterms:created>
  <dcterms:modified xsi:type="dcterms:W3CDTF">2020-03-27T11:38:29Z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0x010100DFC6BC4B1EFDC4409E1522139A1FFAD1</vt:lpwstr>
  </property>
</Properties>
</file>