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F:\New ICRs\"/>
    </mc:Choice>
  </mc:AlternateContent>
  <xr:revisionPtr revIDLastSave="0" documentId="8_{28CEE581-FF7C-495B-B822-9FFD4721F182}" xr6:coauthVersionLast="36" xr6:coauthVersionMax="36" xr10:uidLastSave="{00000000-0000-0000-0000-000000000000}"/>
  <bookViews>
    <workbookView xWindow="-105" yWindow="-105" windowWidth="19425" windowHeight="10425" firstSheet="1" activeTab="1" xr2:uid="{00000000-000D-0000-FFFF-FFFF00000000}"/>
  </bookViews>
  <sheets>
    <sheet name="# Respondents" sheetId="6" r:id="rId1"/>
    <sheet name="#Responses" sheetId="7" r:id="rId2"/>
    <sheet name="Table 1 - Respondent Burden" sheetId="1" r:id="rId3"/>
    <sheet name="Table 2 - Agency Burden" sheetId="3" r:id="rId4"/>
    <sheet name="Capital-Start-up" sheetId="5"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5" i="5" l="1"/>
  <c r="C7" i="5"/>
  <c r="C8" i="5"/>
  <c r="D5" i="5"/>
  <c r="D6" i="5"/>
  <c r="D7" i="5"/>
  <c r="D8" i="5"/>
  <c r="D9" i="5"/>
  <c r="I13" i="3" l="1"/>
  <c r="I6" i="3"/>
  <c r="F13" i="3"/>
  <c r="E7" i="3"/>
  <c r="E12" i="3"/>
  <c r="C10" i="1"/>
  <c r="C21" i="1" s="1"/>
  <c r="C27" i="1"/>
  <c r="C10" i="5"/>
  <c r="C21" i="7"/>
  <c r="E21" i="1"/>
  <c r="C11" i="1" l="1"/>
  <c r="C12" i="7"/>
  <c r="E13" i="7"/>
  <c r="C13" i="7"/>
  <c r="E9" i="1"/>
  <c r="C8" i="7"/>
  <c r="C7" i="7"/>
  <c r="C16" i="1" l="1"/>
  <c r="G17" i="6"/>
  <c r="B13" i="7"/>
  <c r="E10" i="7"/>
  <c r="E11" i="7"/>
  <c r="B11" i="7"/>
  <c r="B9" i="7"/>
  <c r="C9" i="7" s="1"/>
  <c r="E9" i="7" s="1"/>
  <c r="B8" i="7"/>
  <c r="B7" i="7"/>
  <c r="E5" i="1" s="1"/>
  <c r="C8" i="6"/>
  <c r="C9" i="6"/>
  <c r="C7" i="6"/>
  <c r="E16" i="1"/>
  <c r="E8" i="3" s="1"/>
  <c r="E20" i="1"/>
  <c r="C20" i="1"/>
  <c r="C19" i="1"/>
  <c r="C12" i="3" s="1"/>
  <c r="E19" i="1"/>
  <c r="C15" i="1"/>
  <c r="C14" i="1"/>
  <c r="C7" i="3" s="1"/>
  <c r="E15" i="1"/>
  <c r="E14" i="1"/>
  <c r="E8" i="1"/>
  <c r="C8" i="1"/>
  <c r="E29" i="1" l="1"/>
  <c r="D11" i="5"/>
  <c r="C11" i="5"/>
  <c r="E4" i="3"/>
  <c r="D10" i="5"/>
  <c r="E25" i="1"/>
  <c r="E8" i="7"/>
  <c r="C6" i="1"/>
  <c r="E12" i="7"/>
  <c r="C5" i="1"/>
  <c r="E3" i="3"/>
  <c r="E5" i="3" s="1"/>
  <c r="E6" i="1"/>
  <c r="F9" i="6"/>
  <c r="F7" i="6"/>
  <c r="F8" i="6"/>
  <c r="F17" i="6"/>
  <c r="E17" i="6"/>
  <c r="D21" i="1" l="1"/>
  <c r="F21" i="1" s="1"/>
  <c r="C3" i="3"/>
  <c r="F10" i="6"/>
  <c r="E21" i="7"/>
  <c r="E27" i="1"/>
  <c r="H21" i="1" l="1"/>
  <c r="G21" i="1"/>
  <c r="I21" i="1" s="1"/>
  <c r="C9" i="5"/>
  <c r="C6" i="5"/>
  <c r="C5" i="3"/>
  <c r="D3" i="3"/>
  <c r="F3" i="3" s="1"/>
  <c r="C8" i="3" l="1"/>
  <c r="D8" i="3" s="1"/>
  <c r="D29" i="1"/>
  <c r="F29" i="1" s="1"/>
  <c r="E20" i="7"/>
  <c r="E19" i="7"/>
  <c r="C10" i="6"/>
  <c r="E10" i="6"/>
  <c r="B10" i="6"/>
  <c r="D16" i="1"/>
  <c r="D4" i="3"/>
  <c r="D7" i="3"/>
  <c r="D12" i="3"/>
  <c r="D19" i="1"/>
  <c r="F19" i="1" s="1"/>
  <c r="G19" i="1" s="1"/>
  <c r="D14" i="1"/>
  <c r="D20" i="1"/>
  <c r="F20" i="1" s="1"/>
  <c r="D15" i="1"/>
  <c r="F4" i="3" l="1"/>
  <c r="G4" i="3" s="1"/>
  <c r="H29" i="1"/>
  <c r="G29" i="1"/>
  <c r="F8" i="3"/>
  <c r="H8" i="3" s="1"/>
  <c r="F14" i="1"/>
  <c r="G14" i="1" s="1"/>
  <c r="E7" i="1"/>
  <c r="E17" i="7"/>
  <c r="F16" i="1"/>
  <c r="H16" i="1" s="1"/>
  <c r="G20" i="1"/>
  <c r="H20" i="1"/>
  <c r="F12" i="3"/>
  <c r="H12" i="3" s="1"/>
  <c r="H19" i="1"/>
  <c r="I19" i="1" s="1"/>
  <c r="H4" i="3" l="1"/>
  <c r="I4" i="3" s="1"/>
  <c r="I29" i="1"/>
  <c r="C9" i="1"/>
  <c r="C7" i="1"/>
  <c r="E11" i="1"/>
  <c r="I20" i="1"/>
  <c r="E6" i="3"/>
  <c r="G8" i="3"/>
  <c r="I8" i="3" s="1"/>
  <c r="C25" i="1"/>
  <c r="D25" i="1" s="1"/>
  <c r="E7" i="7"/>
  <c r="D5" i="1"/>
  <c r="F5" i="1" s="1"/>
  <c r="E15" i="7"/>
  <c r="G16" i="1"/>
  <c r="I16" i="1" s="1"/>
  <c r="E16" i="7"/>
  <c r="F15" i="1"/>
  <c r="H14" i="1"/>
  <c r="I14" i="1" s="1"/>
  <c r="G12" i="3"/>
  <c r="I12" i="3" s="1"/>
  <c r="E9" i="3" l="1"/>
  <c r="D12" i="5"/>
  <c r="I34" i="1" s="1"/>
  <c r="E10" i="3"/>
  <c r="D7" i="1"/>
  <c r="F7" i="1" s="1"/>
  <c r="C6" i="3"/>
  <c r="D6" i="3" s="1"/>
  <c r="F6" i="3" s="1"/>
  <c r="G6" i="3" s="1"/>
  <c r="H5" i="1"/>
  <c r="C9" i="3"/>
  <c r="D9" i="3" s="1"/>
  <c r="D9" i="1"/>
  <c r="F9" i="1" s="1"/>
  <c r="H9" i="1" s="1"/>
  <c r="H3" i="3"/>
  <c r="G5" i="1"/>
  <c r="D6" i="1"/>
  <c r="F6" i="1" s="1"/>
  <c r="F25" i="1"/>
  <c r="F7" i="3"/>
  <c r="G15" i="1"/>
  <c r="H15" i="1"/>
  <c r="I5" i="1" l="1"/>
  <c r="F9" i="3"/>
  <c r="H9" i="3" s="1"/>
  <c r="G3" i="3"/>
  <c r="G9" i="1"/>
  <c r="I9" i="1" s="1"/>
  <c r="I15" i="1"/>
  <c r="H6" i="3"/>
  <c r="D5" i="3"/>
  <c r="F5" i="3" s="1"/>
  <c r="G6" i="1"/>
  <c r="H6" i="1"/>
  <c r="H25" i="1"/>
  <c r="G25" i="1"/>
  <c r="H7" i="1"/>
  <c r="G7" i="1"/>
  <c r="D27" i="1"/>
  <c r="F27" i="1" s="1"/>
  <c r="H7" i="3"/>
  <c r="G7" i="3"/>
  <c r="I3" i="3" l="1"/>
  <c r="G9" i="3"/>
  <c r="I9" i="3" s="1"/>
  <c r="I6" i="1"/>
  <c r="I7" i="1"/>
  <c r="G27" i="1"/>
  <c r="H27" i="1"/>
  <c r="I25" i="1"/>
  <c r="H5" i="3"/>
  <c r="G5" i="3"/>
  <c r="I7" i="3"/>
  <c r="I27" i="1" l="1"/>
  <c r="I5" i="3"/>
  <c r="D26" i="1" l="1"/>
  <c r="F26" i="1" s="1"/>
  <c r="D31" i="1"/>
  <c r="F31" i="1" s="1"/>
  <c r="D10" i="1"/>
  <c r="F10" i="1" s="1"/>
  <c r="C10" i="3"/>
  <c r="D11" i="1"/>
  <c r="F11" i="1" s="1"/>
  <c r="H31" i="1" l="1"/>
  <c r="G31" i="1"/>
  <c r="H26" i="1"/>
  <c r="G26" i="1"/>
  <c r="G11" i="1"/>
  <c r="H11" i="1"/>
  <c r="D10" i="3"/>
  <c r="F10" i="3" s="1"/>
  <c r="H10" i="1"/>
  <c r="G10" i="1"/>
  <c r="E11" i="3"/>
  <c r="E22" i="7"/>
  <c r="C11" i="3"/>
  <c r="D11" i="3" s="1"/>
  <c r="D8" i="1"/>
  <c r="F8" i="1" s="1"/>
  <c r="I26" i="1" l="1"/>
  <c r="I31" i="1"/>
  <c r="F32" i="1"/>
  <c r="H8" i="1"/>
  <c r="I10" i="1"/>
  <c r="I11" i="1"/>
  <c r="G10" i="3"/>
  <c r="H10" i="3"/>
  <c r="F11" i="3"/>
  <c r="H11" i="3" s="1"/>
  <c r="G8" i="1"/>
  <c r="I10" i="3" l="1"/>
  <c r="I32" i="1"/>
  <c r="F22" i="1"/>
  <c r="G11" i="3"/>
  <c r="I8" i="1"/>
  <c r="I11" i="3"/>
  <c r="F33" i="1" l="1"/>
  <c r="E24" i="7" s="1"/>
  <c r="I22" i="1"/>
  <c r="I33" i="1" l="1"/>
  <c r="I35" i="1" s="1"/>
</calcChain>
</file>

<file path=xl/sharedStrings.xml><?xml version="1.0" encoding="utf-8"?>
<sst xmlns="http://schemas.openxmlformats.org/spreadsheetml/2006/main" count="314" uniqueCount="202">
  <si>
    <t>Reporting Requirements</t>
  </si>
  <si>
    <t>Manufacturers</t>
  </si>
  <si>
    <t>Test Laboratories</t>
  </si>
  <si>
    <t>a. Already has ISO accreditation</t>
  </si>
  <si>
    <t>b. Needs to obtain ISO accreditation</t>
  </si>
  <si>
    <t>Third-Party Certifier</t>
  </si>
  <si>
    <t>Subtotal for Reporting Requirements</t>
  </si>
  <si>
    <t>Recordkeeping Requirements</t>
  </si>
  <si>
    <t>Subtotal for Recordkeeping Requirements</t>
  </si>
  <si>
    <t>(A)
Person-hours per occurrence</t>
  </si>
  <si>
    <t>(A)
EPA person-hours per occurrence</t>
  </si>
  <si>
    <t>Burden Activity</t>
  </si>
  <si>
    <t>Technical</t>
  </si>
  <si>
    <t>Clerical</t>
  </si>
  <si>
    <t>(C)
Person-hours per respondent 
(C=AxB)</t>
  </si>
  <si>
    <t xml:space="preserve">(D)
Respondents per year
</t>
  </si>
  <si>
    <t xml:space="preserve">(B)
No. of occurrences per respondent per year </t>
  </si>
  <si>
    <t>(A)</t>
  </si>
  <si>
    <t>(B)</t>
  </si>
  <si>
    <t>(C)</t>
  </si>
  <si>
    <t>(D)</t>
  </si>
  <si>
    <t>Data Collection Device</t>
  </si>
  <si>
    <t>Capital/Start-Up for One Respondent/Unit</t>
  </si>
  <si>
    <r>
      <t xml:space="preserve">Certification Test </t>
    </r>
    <r>
      <rPr>
        <vertAlign val="superscript"/>
        <sz val="11"/>
        <color rgb="FF000000"/>
        <rFont val="Times New Roman"/>
        <family val="1"/>
      </rPr>
      <t>a</t>
    </r>
  </si>
  <si>
    <r>
      <t xml:space="preserve">Cost of Permanent Label </t>
    </r>
    <r>
      <rPr>
        <b/>
        <vertAlign val="superscript"/>
        <sz val="11"/>
        <color rgb="FF000000"/>
        <rFont val="Times New Roman"/>
        <family val="1"/>
      </rPr>
      <t>b</t>
    </r>
  </si>
  <si>
    <r>
      <t xml:space="preserve">QA Performance Test </t>
    </r>
    <r>
      <rPr>
        <b/>
        <vertAlign val="superscript"/>
        <sz val="11"/>
        <color rgb="FF000000"/>
        <rFont val="Times New Roman"/>
        <family val="1"/>
      </rPr>
      <t>c</t>
    </r>
  </si>
  <si>
    <r>
      <t>EPA Compliance Audit Test</t>
    </r>
    <r>
      <rPr>
        <vertAlign val="superscript"/>
        <sz val="11"/>
        <color rgb="FF000000"/>
        <rFont val="Times New Roman"/>
        <family val="1"/>
      </rPr>
      <t xml:space="preserve"> d</t>
    </r>
  </si>
  <si>
    <t>$75,000 per respondent</t>
  </si>
  <si>
    <t>(D)
Respondents
per year</t>
  </si>
  <si>
    <t>(B)
No. of occurrences per year</t>
  </si>
  <si>
    <t>(C)
EPA person-hours per year
(C=AxB)</t>
  </si>
  <si>
    <t>(E)
Technical person-hours 
per year
(E=CxD)</t>
  </si>
  <si>
    <t>(E) 
Technical hours per year
(E=CxD)</t>
  </si>
  <si>
    <t>Total Capital/Start-Up Cost
(B x C)</t>
  </si>
  <si>
    <r>
      <t xml:space="preserve">(G)
Clerical person-hours </t>
    </r>
    <r>
      <rPr>
        <b/>
        <vertAlign val="superscript"/>
        <sz val="10"/>
        <rFont val="Times New Roman"/>
        <family val="1"/>
      </rPr>
      <t>a</t>
    </r>
    <r>
      <rPr>
        <b/>
        <sz val="10"/>
        <rFont val="Times New Roman"/>
        <family val="1"/>
      </rPr>
      <t xml:space="preserve">
per year
(G=Ex0.1)</t>
    </r>
  </si>
  <si>
    <r>
      <t xml:space="preserve">(H)
Total Cost per year,$ </t>
    </r>
    <r>
      <rPr>
        <b/>
        <vertAlign val="superscript"/>
        <sz val="10"/>
        <rFont val="Times New Roman"/>
        <family val="1"/>
      </rPr>
      <t>b</t>
    </r>
    <r>
      <rPr>
        <b/>
        <sz val="10"/>
        <rFont val="Times New Roman"/>
        <family val="1"/>
      </rPr>
      <t xml:space="preserve">
</t>
    </r>
  </si>
  <si>
    <r>
      <rPr>
        <vertAlign val="superscript"/>
        <sz val="10"/>
        <rFont val="Times New Roman"/>
        <family val="1"/>
      </rPr>
      <t>a</t>
    </r>
    <r>
      <rPr>
        <sz val="10"/>
        <rFont val="Times New Roman"/>
        <family val="1"/>
      </rPr>
      <t xml:space="preserve"> Management person-hours and clerical person-hours are assumed to be 5 percent and 10 percent of technical person-hours, respectively.</t>
    </r>
  </si>
  <si>
    <r>
      <t>(F)
Management hours per year</t>
    </r>
    <r>
      <rPr>
        <vertAlign val="superscript"/>
        <sz val="10"/>
        <rFont val="Times New Roman"/>
        <family val="1"/>
      </rPr>
      <t>a</t>
    </r>
    <r>
      <rPr>
        <sz val="10"/>
        <rFont val="Times New Roman"/>
        <family val="1"/>
      </rPr>
      <t xml:space="preserve">
(F=Ex0.05)</t>
    </r>
  </si>
  <si>
    <r>
      <t>(G)
Clerical person-hours per year</t>
    </r>
    <r>
      <rPr>
        <vertAlign val="superscript"/>
        <sz val="10"/>
        <rFont val="Times New Roman"/>
        <family val="1"/>
      </rPr>
      <t>a</t>
    </r>
    <r>
      <rPr>
        <sz val="10"/>
        <rFont val="Times New Roman"/>
        <family val="1"/>
      </rPr>
      <t xml:space="preserve">
(G=Ex0.1)</t>
    </r>
  </si>
  <si>
    <r>
      <t xml:space="preserve">(H)
Total Cost per year,$ </t>
    </r>
    <r>
      <rPr>
        <vertAlign val="superscript"/>
        <sz val="10"/>
        <rFont val="Times New Roman"/>
        <family val="1"/>
      </rPr>
      <t xml:space="preserve">b
</t>
    </r>
  </si>
  <si>
    <r>
      <t xml:space="preserve">1. Certification test notification </t>
    </r>
    <r>
      <rPr>
        <vertAlign val="superscript"/>
        <sz val="10"/>
        <rFont val="Times New Roman"/>
        <family val="1"/>
      </rPr>
      <t>c</t>
    </r>
  </si>
  <si>
    <r>
      <t xml:space="preserve">(F)
Management person-hours </t>
    </r>
    <r>
      <rPr>
        <b/>
        <vertAlign val="superscript"/>
        <sz val="10"/>
        <rFont val="Times New Roman"/>
        <family val="1"/>
      </rPr>
      <t>a</t>
    </r>
    <r>
      <rPr>
        <b/>
        <sz val="10"/>
        <rFont val="Times New Roman"/>
        <family val="1"/>
      </rPr>
      <t xml:space="preserve"> 
per year (F=Ex0.05)</t>
    </r>
  </si>
  <si>
    <t>Labor Rates</t>
  </si>
  <si>
    <t>Notes:</t>
  </si>
  <si>
    <t>Management</t>
  </si>
  <si>
    <r>
      <rPr>
        <vertAlign val="superscript"/>
        <sz val="10"/>
        <rFont val="Times New Roman"/>
        <family val="1"/>
      </rPr>
      <t>b</t>
    </r>
    <r>
      <rPr>
        <sz val="10"/>
        <rFont val="Times New Roman"/>
        <family val="1"/>
      </rPr>
      <t xml:space="preserve"> This cost is based on the following labor rates which incorporates a 1.6 benefits multiplication factor to account for government overhead expenses:  Managerial rate of $65.71 (GS-13, Step 5, $41.07 + 60%), Technical rate of $48.75 (GS-12, Step 1, $30.47 + 60%), and Clerical rate of $26.38 (GS-6, Step 3, $16.49 + 60%).  These rates are from the Office of Personnel Management (OPM) “2018 General Schedule” which excludes locality rates of pay. </t>
    </r>
  </si>
  <si>
    <r>
      <rPr>
        <vertAlign val="superscript"/>
        <sz val="10"/>
        <rFont val="Times New Roman"/>
        <family val="1"/>
      </rPr>
      <t>b</t>
    </r>
    <r>
      <rPr>
        <sz val="10"/>
        <rFont val="Times New Roman"/>
        <family val="1"/>
      </rPr>
      <t xml:space="preserve"> This ICR uses the following labor rates: $147.40 per hour for Executive, Administrative, and Managerial labor; $117.92 per hour for Technical labor, and $57.02 per hour for Clerical labor.  These rates are from the United States Department of Labor, Bureau of Labor Statistics, June 2018, “Table 2. Civilian Workers, by Occupational and Industry group.”  The rates are from column 1, “Total Compensation.”  The rates have been increased by 110% to account for the benefit packages available to those employed by private industry.</t>
    </r>
  </si>
  <si>
    <t>Updated 12/3/18 to match the United States Department of Labor, Bureau of Labor Statistics, June 2018, “Table 2. Civilian Workers, by occupational and industry group</t>
  </si>
  <si>
    <t>Updated 12/3/18 to match the rates from the Office of Personnel Management (OPM), 2018 General Schedule.</t>
  </si>
  <si>
    <t>Footnotes:</t>
  </si>
  <si>
    <t>Respondents That Submit Reports</t>
  </si>
  <si>
    <t>Respondents That Do Not Submit Any Reports</t>
  </si>
  <si>
    <t>(E)</t>
  </si>
  <si>
    <t>Year</t>
  </si>
  <si>
    <t>Number of New Respondents</t>
  </si>
  <si>
    <t>Number of Existing Respondents</t>
  </si>
  <si>
    <t>Number of Existing  Respondents that keep records but do not submit reports</t>
  </si>
  <si>
    <t>Number of Existing Respondents That Are Also New Respondents</t>
  </si>
  <si>
    <t>Number of Respondents
(E=A+B+C-D)</t>
  </si>
  <si>
    <t>Average</t>
  </si>
  <si>
    <t>Information Collection Activity</t>
  </si>
  <si>
    <t>Number of Respondents</t>
  </si>
  <si>
    <t>Number of Responses</t>
  </si>
  <si>
    <t>Number of Existing Respondents That Keep Records But Do Not Submit Reports</t>
  </si>
  <si>
    <t>Total Annual Responses
E=(BxC)+D</t>
  </si>
  <si>
    <t>N/A</t>
  </si>
  <si>
    <t>Total</t>
  </si>
  <si>
    <t>hrs/response:</t>
  </si>
  <si>
    <t xml:space="preserve">NSPS for New  Residential Hydronic Heaters and Forced-Air Furnaces (40 CFR Part 60, Subpart QQQQ) (Renewal) </t>
  </si>
  <si>
    <t>Third-Party Certifiers</t>
  </si>
  <si>
    <t>Number of Respondents That are Manufacturers</t>
  </si>
  <si>
    <r>
      <t xml:space="preserve">1.  Review certification test notification </t>
    </r>
    <r>
      <rPr>
        <vertAlign val="superscript"/>
        <sz val="10"/>
        <rFont val="Times New Roman"/>
        <family val="1"/>
      </rPr>
      <t>c</t>
    </r>
  </si>
  <si>
    <r>
      <t xml:space="preserve">2.  Observe certification test </t>
    </r>
    <r>
      <rPr>
        <vertAlign val="superscript"/>
        <sz val="10"/>
        <rFont val="Times New Roman"/>
        <family val="1"/>
      </rPr>
      <t>d</t>
    </r>
  </si>
  <si>
    <t>$55,000 per respondent</t>
  </si>
  <si>
    <t>$1,250 per model</t>
  </si>
  <si>
    <t>$3,750 per model</t>
  </si>
  <si>
    <t>Assumptions</t>
  </si>
  <si>
    <t>EPA-approved Test Labs and Third-party Certifying Entities for 2015 Residential Wood Heaters NSPS</t>
  </si>
  <si>
    <t>Name</t>
  </si>
  <si>
    <t>Hydronic Heater</t>
  </si>
  <si>
    <t>Yes</t>
  </si>
  <si>
    <t>Intertek</t>
  </si>
  <si>
    <t>OMNI</t>
  </si>
  <si>
    <t>Polytests Inc.</t>
  </si>
  <si>
    <t>No</t>
  </si>
  <si>
    <t>PFS Corp.</t>
  </si>
  <si>
    <t>CSA Group</t>
  </si>
  <si>
    <t>UL, LLC</t>
  </si>
  <si>
    <t>Research Institutes of Sweden (RISE)</t>
  </si>
  <si>
    <t>ClearStak, LLC</t>
  </si>
  <si>
    <t>SZU</t>
  </si>
  <si>
    <t>Danish Technological Institute</t>
  </si>
  <si>
    <t xml:space="preserve">Wood Stove </t>
  </si>
  <si>
    <t>Forced Air Furnace</t>
  </si>
  <si>
    <t xml:space="preserve">PFS-TECO </t>
  </si>
  <si>
    <t>Source: U.S. Environmental Protection Agency. (April 10, 2018). EPA-approved Test Labs and Third-Party Certifiers for Residential Wood Heaters. Accessed December 7, 2018. Retrieved from https://www.epa.gov/burnwise/epa-approved-test-labs-and-third-party-certifiers-residential-wood-heaters. "epa_approved_labs_and_third_party_certifiers_11-15-17.pdf"</t>
  </si>
  <si>
    <r>
      <t xml:space="preserve">2. Application for certification </t>
    </r>
    <r>
      <rPr>
        <vertAlign val="superscript"/>
        <sz val="10"/>
        <rFont val="Times New Roman"/>
        <family val="1"/>
      </rPr>
      <t>c</t>
    </r>
  </si>
  <si>
    <r>
      <rPr>
        <vertAlign val="superscript"/>
        <sz val="10"/>
        <rFont val="Times New Roman"/>
        <family val="1"/>
      </rPr>
      <t>d</t>
    </r>
    <r>
      <rPr>
        <sz val="10"/>
        <rFont val="Times New Roman"/>
        <family val="1"/>
      </rPr>
      <t xml:space="preserve"> Manufacturers submit a report for every certified model 0.5 times per year, at 2 hours per report.</t>
    </r>
  </si>
  <si>
    <r>
      <t xml:space="preserve">3. Biennial reporting </t>
    </r>
    <r>
      <rPr>
        <vertAlign val="superscript"/>
        <sz val="10"/>
        <rFont val="Times New Roman"/>
        <family val="1"/>
      </rPr>
      <t>d</t>
    </r>
  </si>
  <si>
    <r>
      <t xml:space="preserve">4. EPA compliance audit testing </t>
    </r>
    <r>
      <rPr>
        <vertAlign val="superscript"/>
        <sz val="10"/>
        <rFont val="Times New Roman"/>
        <family val="1"/>
      </rPr>
      <t>e</t>
    </r>
  </si>
  <si>
    <r>
      <rPr>
        <vertAlign val="superscript"/>
        <sz val="10"/>
        <rFont val="Times New Roman"/>
        <family val="1"/>
      </rPr>
      <t>f</t>
    </r>
    <r>
      <rPr>
        <sz val="10"/>
        <rFont val="Times New Roman"/>
        <family val="1"/>
      </rPr>
      <t xml:space="preserve"> Assumes that there will be one QA audit performance test per manufacturer under the QA program during the 3-year period.</t>
    </r>
  </si>
  <si>
    <r>
      <t>5. QA performance test results</t>
    </r>
    <r>
      <rPr>
        <vertAlign val="superscript"/>
        <sz val="10"/>
        <rFont val="Times New Roman"/>
        <family val="1"/>
      </rPr>
      <t xml:space="preserve"> f</t>
    </r>
  </si>
  <si>
    <r>
      <t xml:space="preserve">7. Review annual QA audit report </t>
    </r>
    <r>
      <rPr>
        <vertAlign val="superscript"/>
        <sz val="10"/>
        <rFont val="Times New Roman"/>
        <family val="1"/>
      </rPr>
      <t>g</t>
    </r>
  </si>
  <si>
    <r>
      <t xml:space="preserve">1. Application for test lab approval </t>
    </r>
    <r>
      <rPr>
        <vertAlign val="superscript"/>
        <sz val="10"/>
        <rFont val="Times New Roman"/>
        <family val="1"/>
      </rPr>
      <t>h</t>
    </r>
  </si>
  <si>
    <r>
      <t>2. Biennial profiency testing and report development</t>
    </r>
    <r>
      <rPr>
        <vertAlign val="superscript"/>
        <sz val="10"/>
        <rFont val="Times New Roman"/>
        <family val="1"/>
      </rPr>
      <t xml:space="preserve"> i</t>
    </r>
  </si>
  <si>
    <r>
      <t>1. Application for approval as a third-party certifier</t>
    </r>
    <r>
      <rPr>
        <vertAlign val="superscript"/>
        <sz val="10"/>
        <rFont val="Times New Roman"/>
        <family val="1"/>
      </rPr>
      <t xml:space="preserve"> j</t>
    </r>
  </si>
  <si>
    <r>
      <t>2. Certification test, QA program report, credentials</t>
    </r>
    <r>
      <rPr>
        <vertAlign val="superscript"/>
        <sz val="10"/>
        <rFont val="Times New Roman"/>
        <family val="1"/>
      </rPr>
      <t xml:space="preserve"> k</t>
    </r>
  </si>
  <si>
    <r>
      <t xml:space="preserve">1. Test and re-certification documentation </t>
    </r>
    <r>
      <rPr>
        <vertAlign val="superscript"/>
        <sz val="10"/>
        <rFont val="Times New Roman"/>
        <family val="1"/>
      </rPr>
      <t>l</t>
    </r>
  </si>
  <si>
    <r>
      <t xml:space="preserve">3. Retained (sealed) stoves </t>
    </r>
    <r>
      <rPr>
        <vertAlign val="superscript"/>
        <sz val="10"/>
        <rFont val="Times New Roman"/>
        <family val="1"/>
      </rPr>
      <t>n</t>
    </r>
  </si>
  <si>
    <r>
      <t xml:space="preserve">1. Certification test, proficiency test, and audit test results </t>
    </r>
    <r>
      <rPr>
        <vertAlign val="superscript"/>
        <sz val="10"/>
        <rFont val="Times New Roman"/>
        <family val="1"/>
      </rPr>
      <t>o</t>
    </r>
  </si>
  <si>
    <r>
      <t xml:space="preserve">1. Certification test, QA program inspection and audit tests </t>
    </r>
    <r>
      <rPr>
        <vertAlign val="superscript"/>
        <sz val="10"/>
        <rFont val="Times New Roman"/>
        <family val="1"/>
      </rPr>
      <t>p</t>
    </r>
  </si>
  <si>
    <r>
      <t xml:space="preserve">TOTAL Labor Burden and Costs (rounded) </t>
    </r>
    <r>
      <rPr>
        <b/>
        <vertAlign val="superscript"/>
        <sz val="10"/>
        <rFont val="Times New Roman"/>
        <family val="1"/>
      </rPr>
      <t>q</t>
    </r>
  </si>
  <si>
    <r>
      <t xml:space="preserve">TOTAL Capital and O&amp;M Cost (rounded) </t>
    </r>
    <r>
      <rPr>
        <b/>
        <vertAlign val="superscript"/>
        <sz val="10"/>
        <rFont val="Times New Roman"/>
        <family val="1"/>
      </rPr>
      <t>q</t>
    </r>
  </si>
  <si>
    <r>
      <t xml:space="preserve">GRAND TOTAL (rounded) </t>
    </r>
    <r>
      <rPr>
        <b/>
        <vertAlign val="superscript"/>
        <sz val="10"/>
        <rFont val="Times New Roman"/>
        <family val="1"/>
      </rPr>
      <t>q</t>
    </r>
  </si>
  <si>
    <r>
      <rPr>
        <vertAlign val="superscript"/>
        <sz val="10"/>
        <rFont val="Times New Roman"/>
        <family val="1"/>
      </rPr>
      <t>l</t>
    </r>
    <r>
      <rPr>
        <sz val="10"/>
        <rFont val="Times New Roman"/>
        <family val="1"/>
      </rPr>
      <t xml:space="preserve"> Assumes that manufacturers will spend one hour per certification test and recertification to keep the required records.</t>
    </r>
  </si>
  <si>
    <r>
      <rPr>
        <vertAlign val="superscript"/>
        <sz val="10"/>
        <color rgb="FF000000"/>
        <rFont val="Times New Roman"/>
        <family val="1"/>
      </rPr>
      <t xml:space="preserve">q </t>
    </r>
    <r>
      <rPr>
        <sz val="10"/>
        <color rgb="FF000000"/>
        <rFont val="Times New Roman"/>
        <family val="1"/>
      </rPr>
      <t>Totals have been rounded to three significant values. Figures may not add exactly due to rounding.</t>
    </r>
  </si>
  <si>
    <r>
      <rPr>
        <vertAlign val="superscript"/>
        <sz val="10"/>
        <rFont val="Times New Roman"/>
        <family val="1"/>
      </rPr>
      <t xml:space="preserve">o </t>
    </r>
    <r>
      <rPr>
        <sz val="10"/>
        <rFont val="Times New Roman"/>
        <family val="1"/>
      </rPr>
      <t>Proficiency testing is required every two years for each lab. Assume that test laboratories will spend 2 hours per month to maintain the required records.</t>
    </r>
  </si>
  <si>
    <r>
      <rPr>
        <vertAlign val="superscript"/>
        <sz val="10"/>
        <rFont val="Times New Roman"/>
        <family val="1"/>
      </rPr>
      <t>p</t>
    </r>
    <r>
      <rPr>
        <sz val="10"/>
        <rFont val="Times New Roman"/>
        <family val="1"/>
      </rPr>
      <t xml:space="preserve"> Quality assurance program inspections are performed annually for each certified model.   Assume that third-party certifiers will spend 2 hours per month to maintain the required records.</t>
    </r>
  </si>
  <si>
    <r>
      <rPr>
        <vertAlign val="superscript"/>
        <sz val="10"/>
        <rFont val="Times New Roman"/>
        <family val="1"/>
      </rPr>
      <t>d</t>
    </r>
    <r>
      <rPr>
        <sz val="10"/>
        <rFont val="Times New Roman"/>
        <family val="1"/>
      </rPr>
      <t xml:space="preserve"> Assumes that EPA will observe 20 percent of certification tests (5.3/year x 0.2) conducted during the ICR reporting period, which is rounded to 1 test per year.</t>
    </r>
  </si>
  <si>
    <r>
      <t xml:space="preserve">3.  Review application for certification of model line </t>
    </r>
    <r>
      <rPr>
        <vertAlign val="superscript"/>
        <sz val="10"/>
        <rFont val="Times New Roman"/>
        <family val="1"/>
      </rPr>
      <t>c</t>
    </r>
  </si>
  <si>
    <r>
      <rPr>
        <vertAlign val="superscript"/>
        <sz val="10"/>
        <rFont val="Times New Roman"/>
        <family val="1"/>
      </rPr>
      <t xml:space="preserve">e </t>
    </r>
    <r>
      <rPr>
        <sz val="10"/>
        <rFont val="Times New Roman"/>
        <family val="1"/>
      </rPr>
      <t xml:space="preserve"> Assumes that the EPA will receive one biennial report for each of the certified model lines over the 3-year ICR period.</t>
    </r>
  </si>
  <si>
    <r>
      <t>4.  Biennial reporting for certified models</t>
    </r>
    <r>
      <rPr>
        <vertAlign val="superscript"/>
        <sz val="10"/>
        <rFont val="Times New Roman"/>
        <family val="1"/>
      </rPr>
      <t xml:space="preserve"> e</t>
    </r>
  </si>
  <si>
    <t>EPA-approved Test Lab</t>
  </si>
  <si>
    <t>EPA-approved Third-Party Certifier</t>
  </si>
  <si>
    <r>
      <t xml:space="preserve">5.  Review and approval of test lab credentials </t>
    </r>
    <r>
      <rPr>
        <vertAlign val="superscript"/>
        <sz val="10"/>
        <rFont val="Times New Roman"/>
        <family val="1"/>
      </rPr>
      <t>f</t>
    </r>
  </si>
  <si>
    <r>
      <rPr>
        <vertAlign val="superscript"/>
        <sz val="10"/>
        <rFont val="Times New Roman"/>
        <family val="1"/>
      </rPr>
      <t>g</t>
    </r>
    <r>
      <rPr>
        <sz val="10"/>
        <rFont val="Times New Roman"/>
        <family val="1"/>
      </rPr>
      <t xml:space="preserve"> Assumes that each testing lab conducts a laboratory proficiency test every two years.</t>
    </r>
  </si>
  <si>
    <r>
      <t xml:space="preserve">6.  Review test lab biennial proficiency test reports </t>
    </r>
    <r>
      <rPr>
        <vertAlign val="superscript"/>
        <sz val="10"/>
        <rFont val="Times New Roman"/>
        <family val="1"/>
      </rPr>
      <t>g</t>
    </r>
  </si>
  <si>
    <r>
      <t xml:space="preserve">7.  Review QA performance test results </t>
    </r>
    <r>
      <rPr>
        <vertAlign val="superscript"/>
        <sz val="10"/>
        <rFont val="Times New Roman"/>
        <family val="1"/>
      </rPr>
      <t>h</t>
    </r>
  </si>
  <si>
    <r>
      <rPr>
        <vertAlign val="superscript"/>
        <sz val="10"/>
        <rFont val="Times New Roman"/>
        <family val="1"/>
      </rPr>
      <t xml:space="preserve">h </t>
    </r>
    <r>
      <rPr>
        <sz val="10"/>
        <rFont val="Times New Roman"/>
        <family val="1"/>
      </rPr>
      <t>Assumes that there will be one QA audit performance test per manufacturer under the QA program during the 3-year period.</t>
    </r>
  </si>
  <si>
    <r>
      <t xml:space="preserve">8.  Review QA audit report </t>
    </r>
    <r>
      <rPr>
        <vertAlign val="superscript"/>
        <sz val="10"/>
        <rFont val="Times New Roman"/>
        <family val="1"/>
      </rPr>
      <t>i</t>
    </r>
  </si>
  <si>
    <r>
      <rPr>
        <vertAlign val="superscript"/>
        <sz val="10"/>
        <rFont val="Times New Roman"/>
        <family val="1"/>
      </rPr>
      <t>i</t>
    </r>
    <r>
      <rPr>
        <sz val="10"/>
        <rFont val="Times New Roman"/>
        <family val="1"/>
      </rPr>
      <t xml:space="preserve"> Assumes that EPA will review the QA audits performed by the third-party certifiers on each certified model line over the three-year ICR period.</t>
    </r>
  </si>
  <si>
    <r>
      <t>9.  EPA Compliance Audit</t>
    </r>
    <r>
      <rPr>
        <vertAlign val="superscript"/>
        <sz val="10"/>
        <rFont val="Times New Roman"/>
        <family val="1"/>
      </rPr>
      <t xml:space="preserve"> j</t>
    </r>
  </si>
  <si>
    <r>
      <rPr>
        <vertAlign val="superscript"/>
        <sz val="10"/>
        <rFont val="Times New Roman"/>
        <family val="1"/>
      </rPr>
      <t>j</t>
    </r>
    <r>
      <rPr>
        <sz val="10"/>
        <rFont val="Times New Roman"/>
        <family val="1"/>
      </rPr>
      <t xml:space="preserve"> Assumes that one model line for one of the manufacturers will be audited by the EPA during the ICR three-year period.</t>
    </r>
  </si>
  <si>
    <r>
      <t xml:space="preserve">10.  Review and approval of third-party certifier credentials </t>
    </r>
    <r>
      <rPr>
        <vertAlign val="superscript"/>
        <sz val="10"/>
        <rFont val="Times New Roman"/>
        <family val="1"/>
      </rPr>
      <t>k</t>
    </r>
  </si>
  <si>
    <r>
      <rPr>
        <vertAlign val="superscript"/>
        <sz val="10"/>
        <rFont val="Times New Roman"/>
        <family val="1"/>
      </rPr>
      <t>l</t>
    </r>
    <r>
      <rPr>
        <sz val="10"/>
        <rFont val="Times New Roman"/>
        <family val="1"/>
      </rPr>
      <t xml:space="preserve"> Totals have been rounded to three significant values. Figures may not add exactly due to rounding.
</t>
    </r>
  </si>
  <si>
    <r>
      <t xml:space="preserve">TOTAL (rounded) </t>
    </r>
    <r>
      <rPr>
        <b/>
        <vertAlign val="superscript"/>
        <sz val="10"/>
        <rFont val="Times New Roman"/>
        <family val="1"/>
      </rPr>
      <t>l</t>
    </r>
  </si>
  <si>
    <r>
      <t>b</t>
    </r>
    <r>
      <rPr>
        <sz val="10"/>
        <color rgb="FF000000"/>
        <rFont val="Times New Roman"/>
        <family val="1"/>
      </rPr>
      <t xml:space="preserve"> Total costs of permanent labels are estimated to be $1,250 per model. </t>
    </r>
  </si>
  <si>
    <r>
      <t xml:space="preserve">e </t>
    </r>
    <r>
      <rPr>
        <sz val="10"/>
        <color rgb="FF000000"/>
        <rFont val="Times New Roman"/>
        <family val="1"/>
      </rPr>
      <t>Assumes an average fixed cost of $3,750 for owner's manual (revised or new, possibly bilingual) per model certified.</t>
    </r>
  </si>
  <si>
    <r>
      <t xml:space="preserve">Owners Manual </t>
    </r>
    <r>
      <rPr>
        <vertAlign val="superscript"/>
        <sz val="11"/>
        <color rgb="FF000000"/>
        <rFont val="Times New Roman"/>
        <family val="1"/>
      </rPr>
      <t>e</t>
    </r>
  </si>
  <si>
    <r>
      <t xml:space="preserve">ISO Accreditation-Test Laboratories </t>
    </r>
    <r>
      <rPr>
        <vertAlign val="superscript"/>
        <sz val="11"/>
        <color rgb="FF000000"/>
        <rFont val="Times New Roman"/>
        <family val="1"/>
      </rPr>
      <t>f</t>
    </r>
  </si>
  <si>
    <r>
      <t xml:space="preserve">ISO Accreditation-Third-Party Certifiers </t>
    </r>
    <r>
      <rPr>
        <vertAlign val="superscript"/>
        <sz val="11"/>
        <color rgb="FF000000"/>
        <rFont val="Times New Roman"/>
        <family val="1"/>
      </rPr>
      <t>g</t>
    </r>
  </si>
  <si>
    <t>Assumptions:</t>
  </si>
  <si>
    <t>Expiration Date of EPA Aproval</t>
  </si>
  <si>
    <r>
      <rPr>
        <vertAlign val="superscript"/>
        <sz val="10"/>
        <rFont val="Times New Roman"/>
        <family val="1"/>
      </rPr>
      <t>e</t>
    </r>
    <r>
      <rPr>
        <sz val="10"/>
        <rFont val="Times New Roman"/>
        <family val="1"/>
      </rPr>
      <t xml:space="preserve"> Assumes that one of the manufacturers will be required to undergo an EPA compliance audit test for one of their models during the three-year ICR period.</t>
    </r>
  </si>
  <si>
    <r>
      <t>h</t>
    </r>
    <r>
      <rPr>
        <sz val="10"/>
        <color rgb="FF000000"/>
        <rFont val="Times New Roman"/>
        <family val="1"/>
      </rPr>
      <t xml:space="preserve"> Totals have been rounded to 3 significant figures. Figures may not add exactly due to rounding.</t>
    </r>
  </si>
  <si>
    <r>
      <t xml:space="preserve">Annual Totals </t>
    </r>
    <r>
      <rPr>
        <b/>
        <vertAlign val="superscript"/>
        <sz val="11"/>
        <color rgb="FF000000"/>
        <rFont val="Times New Roman"/>
        <family val="1"/>
      </rPr>
      <t>h</t>
    </r>
  </si>
  <si>
    <t>Total Annual Responses</t>
  </si>
  <si>
    <t>Table 2: Average Annual EPA Burden and Cost - NSPS for New Residential Hydronic Heaters and Forced-Air Furnaces (40 CFR Part 60, Subpart QQQQ) (Renewal)</t>
  </si>
  <si>
    <t xml:space="preserve">Table 1: Annual Respondent Burden and Cost - NSPS for New Residential Hydronic Heaters and Forced-Air Furnaces (40 CFR Part 60, Subpart QQQQ) (Renewal) </t>
  </si>
  <si>
    <t xml:space="preserve">Burden Item  </t>
  </si>
  <si>
    <t xml:space="preserve">Assumes there are 32 hydronic heater manufacturers with 127 model lines, 7 forced-air furnace manufacturers with 19 model lines, and 11 laboratories acting as testing labs and/or third-party certifiers. </t>
  </si>
  <si>
    <t xml:space="preserve">a Assume there are 32 hydronic heater manufacturers with 127 model lines, 7 forced-air furnace manufacturers with 19 model lines, and 11 laboratories acting as testing labs and/or third-party certifiers. </t>
  </si>
  <si>
    <r>
      <t xml:space="preserve">Certification test notification </t>
    </r>
    <r>
      <rPr>
        <vertAlign val="superscript"/>
        <sz val="10"/>
        <color theme="1"/>
        <rFont val="Times New Roman"/>
        <family val="1"/>
      </rPr>
      <t>a,b</t>
    </r>
  </si>
  <si>
    <r>
      <t xml:space="preserve">Application for certification/re-certification </t>
    </r>
    <r>
      <rPr>
        <vertAlign val="superscript"/>
        <sz val="10"/>
        <rFont val="Times New Roman"/>
        <family val="1"/>
      </rPr>
      <t>b</t>
    </r>
  </si>
  <si>
    <r>
      <t xml:space="preserve">Biennial reporting </t>
    </r>
    <r>
      <rPr>
        <vertAlign val="superscript"/>
        <sz val="10"/>
        <color theme="1"/>
        <rFont val="Times New Roman"/>
        <family val="1"/>
      </rPr>
      <t>c</t>
    </r>
  </si>
  <si>
    <t>c Report every certified model 0.5 times per year</t>
  </si>
  <si>
    <t>d One model gets audited in the three-year period</t>
  </si>
  <si>
    <t>e 1 QA audit performance test per mfr. in the 3-year period.</t>
  </si>
  <si>
    <r>
      <t xml:space="preserve">EPA compliance audit testing </t>
    </r>
    <r>
      <rPr>
        <vertAlign val="superscript"/>
        <sz val="10"/>
        <color theme="1"/>
        <rFont val="Times New Roman"/>
        <family val="1"/>
      </rPr>
      <t>d</t>
    </r>
  </si>
  <si>
    <r>
      <t xml:space="preserve">QA performance test results </t>
    </r>
    <r>
      <rPr>
        <vertAlign val="superscript"/>
        <sz val="10"/>
        <color theme="1"/>
        <rFont val="Times New Roman"/>
        <family val="1"/>
      </rPr>
      <t>e</t>
    </r>
  </si>
  <si>
    <r>
      <t xml:space="preserve">QA annual audit reports </t>
    </r>
    <r>
      <rPr>
        <vertAlign val="superscript"/>
        <sz val="10"/>
        <color theme="1"/>
        <rFont val="Times New Roman"/>
        <family val="1"/>
      </rPr>
      <t>f</t>
    </r>
  </si>
  <si>
    <t>g Review the report of annual QA audit for each model line.</t>
  </si>
  <si>
    <r>
      <t xml:space="preserve">Review annual QA audit report </t>
    </r>
    <r>
      <rPr>
        <vertAlign val="superscript"/>
        <sz val="10"/>
        <color theme="1"/>
        <rFont val="Times New Roman"/>
        <family val="1"/>
      </rPr>
      <t>g</t>
    </r>
  </si>
  <si>
    <r>
      <t xml:space="preserve">Application for test lab approval - already has ISO accreditation </t>
    </r>
    <r>
      <rPr>
        <vertAlign val="superscript"/>
        <sz val="10"/>
        <color theme="1"/>
        <rFont val="Times New Roman"/>
        <family val="1"/>
      </rPr>
      <t>h</t>
    </r>
  </si>
  <si>
    <r>
      <t xml:space="preserve">Application for test lab approval - needs to obtain ISO accreditation </t>
    </r>
    <r>
      <rPr>
        <vertAlign val="superscript"/>
        <sz val="10"/>
        <color theme="1"/>
        <rFont val="Times New Roman"/>
        <family val="1"/>
      </rPr>
      <t>h</t>
    </r>
  </si>
  <si>
    <r>
      <t xml:space="preserve">Biennial proficiency testing and report development </t>
    </r>
    <r>
      <rPr>
        <vertAlign val="superscript"/>
        <sz val="10"/>
        <color theme="1"/>
        <rFont val="Times New Roman"/>
        <family val="1"/>
      </rPr>
      <t>i</t>
    </r>
  </si>
  <si>
    <r>
      <t xml:space="preserve">Application for approval as a third-party certifier - already has ISO accreditation </t>
    </r>
    <r>
      <rPr>
        <vertAlign val="superscript"/>
        <sz val="10"/>
        <color theme="1"/>
        <rFont val="Times New Roman"/>
        <family val="1"/>
      </rPr>
      <t>j</t>
    </r>
  </si>
  <si>
    <t>Application for approval as a third-party certifier - already has ISO accreditation j</t>
  </si>
  <si>
    <r>
      <t>Certification test, QA program report, credentials</t>
    </r>
    <r>
      <rPr>
        <vertAlign val="superscript"/>
        <sz val="10"/>
        <color theme="1"/>
        <rFont val="Times New Roman"/>
        <family val="1"/>
      </rPr>
      <t xml:space="preserve"> k</t>
    </r>
  </si>
  <si>
    <t>i 8 labs participate in proficiency testing every 2 years</t>
  </si>
  <si>
    <t>k All 8 third-party certifiers will file certification tests, QA program reports, and their credentials with EPA.</t>
  </si>
  <si>
    <t xml:space="preserve">b Over the next three years, assume a like number of existing models certified to 2015 standards are replaced with models certified to 2020 standards and certification testing is performed. </t>
  </si>
  <si>
    <r>
      <t>c</t>
    </r>
    <r>
      <rPr>
        <sz val="10"/>
        <color rgb="FF000000"/>
        <rFont val="Times New Roman"/>
        <family val="1"/>
      </rPr>
      <t xml:space="preserve"> Assumes each of the manufacturers will be required to test one of their models under their QA program during the period covered by this ICR (2019-2021) at $55,000 per test ( includes EPA testing ($30,000), confirmation safety testing or full safety testing ($22,500), and shipping of prototype(s)($2,500) costs) (39 manufacturers * 1 model / 3 years = 13 manufacturers/model/year).</t>
    </r>
  </si>
  <si>
    <r>
      <t>d</t>
    </r>
    <r>
      <rPr>
        <sz val="10"/>
        <color rgb="FF000000"/>
        <rFont val="Times New Roman"/>
        <family val="1"/>
      </rPr>
      <t xml:space="preserve"> Assumes one model line will be audited by EPA during the three-year ICR period (2019 – 2021). Costs assume the cost of one appliance (based on the average cost of three appliances: 1 outdoor ($11,571) and 1 indoor ($11,543) hydronic heater and 1 forced-air furnace ($2,579)) plus the cost of testing at $55,000 (assumes EPA testing costs of $30,000, full safety cost of $22,500 and $2,500 in shipping costs).</t>
    </r>
  </si>
  <si>
    <r>
      <rPr>
        <vertAlign val="superscript"/>
        <sz val="10"/>
        <rFont val="Times New Roman"/>
        <family val="1"/>
      </rPr>
      <t>c</t>
    </r>
    <r>
      <rPr>
        <sz val="10"/>
        <rFont val="Times New Roman"/>
        <family val="1"/>
      </rPr>
      <t xml:space="preserve"> Assume there are 32 hydronic heater manufacturers with 127 model lines and 7 forced-air furnace manufacturers with 19 model lines. Over the next three years, assume a like number of existing models certified to 2015 standards are replaced with models certified to 2020 standards and certification testing is performed. </t>
    </r>
  </si>
  <si>
    <t>f Assumes there will be three QA audits by third-party certifiers for each of the 39 manufacturers over the three-year ICR period and that each of these audit reports will be reviewed by the manufacturer (in all cases) and may require preparing a response to the audit (in cases where deficiencies are identified).</t>
  </si>
  <si>
    <r>
      <rPr>
        <vertAlign val="superscript"/>
        <sz val="10"/>
        <rFont val="Times New Roman"/>
        <family val="1"/>
      </rPr>
      <t>g</t>
    </r>
    <r>
      <rPr>
        <sz val="10"/>
        <rFont val="Times New Roman"/>
        <family val="1"/>
      </rPr>
      <t xml:space="preserve"> 40 CFR 60.5475(m) requires an annual audit of the QA plan for each model line. Assumes there will be three QA audits by third-party certifiers for each of the 39 manufacturers over the three-year ICR period and each of these audit reports will be reviewed by the manufacturer (in all cases) and may require preparing a response to the audit (in cases where deficiencies are identified).</t>
    </r>
  </si>
  <si>
    <r>
      <t xml:space="preserve">6. QA annual audit reports </t>
    </r>
    <r>
      <rPr>
        <vertAlign val="superscript"/>
        <sz val="10"/>
        <rFont val="Times New Roman"/>
        <family val="1"/>
      </rPr>
      <t>g, h</t>
    </r>
  </si>
  <si>
    <t>&lt;will need to obtain reapproval as test lab and certifier</t>
  </si>
  <si>
    <t>&lt;will need to obtain reapproval as test lab</t>
  </si>
  <si>
    <t>&lt;will need to obtain reapproval as certifier</t>
  </si>
  <si>
    <t>h All 8 testing labs are ISO accredited and certified by EPA. Three tests labs will require ISO re-accreditation in the three year period.</t>
  </si>
  <si>
    <t>j All 8 third-party certifiers are ISO accredited and certified by EPA. Five certifiers will require ISO re-accreditation in the three year period.</t>
  </si>
  <si>
    <r>
      <t>f</t>
    </r>
    <r>
      <rPr>
        <sz val="10"/>
        <color rgb="FF000000"/>
        <rFont val="Times New Roman"/>
        <family val="1"/>
      </rPr>
      <t xml:space="preserve"> 8 testing labs are ISO-accredited. 8 labs are currently certified by EPA, and 3 labs would require recertification following 2020. We assume an average cost to obtain ISO accreditation is $75,000 based on cost estimates provided by manufacturers. </t>
    </r>
  </si>
  <si>
    <r>
      <t>g</t>
    </r>
    <r>
      <rPr>
        <sz val="10"/>
        <color rgb="FF000000"/>
        <rFont val="Times New Roman"/>
        <family val="1"/>
      </rPr>
      <t xml:space="preserve"> 8 third-party certifiers are ISO accredited. 8 are currently certified by EPA and 5 would require recertification following 2020. We assume an average cost to obtain ISO accreditation is $75,000 based on cost estimates provided by manufacturers.</t>
    </r>
  </si>
  <si>
    <r>
      <rPr>
        <vertAlign val="superscript"/>
        <sz val="10"/>
        <rFont val="Times New Roman"/>
        <family val="1"/>
      </rPr>
      <t>k</t>
    </r>
    <r>
      <rPr>
        <sz val="10"/>
        <rFont val="Times New Roman"/>
        <family val="1"/>
      </rPr>
      <t xml:space="preserve"> 40 CFR 63.5479(b) requires that each third-party certifier must submit each certification test, quality assurance program inspection report and ISO-IEC accreditation credentials to the Administrator.</t>
    </r>
  </si>
  <si>
    <r>
      <rPr>
        <vertAlign val="superscript"/>
        <sz val="10"/>
        <rFont val="Times New Roman"/>
        <family val="1"/>
      </rPr>
      <t>n</t>
    </r>
    <r>
      <rPr>
        <sz val="10"/>
        <rFont val="Times New Roman"/>
        <family val="1"/>
      </rPr>
      <t xml:space="preserve"> Assumes that one stove is sealed and retained for each certification test. Assumes all stoves certified to 2015 standard and all stoves certified to 2020 standard are stored for the 3-year period.</t>
    </r>
  </si>
  <si>
    <t>&lt;-- new line item, includes submittal of certification,QA audit reports, and credentials.</t>
  </si>
  <si>
    <r>
      <t xml:space="preserve">2. QA parameter inspections </t>
    </r>
    <r>
      <rPr>
        <vertAlign val="superscript"/>
        <sz val="10"/>
        <rFont val="Times New Roman"/>
        <family val="1"/>
      </rPr>
      <t>m</t>
    </r>
  </si>
  <si>
    <r>
      <rPr>
        <vertAlign val="superscript"/>
        <sz val="10"/>
        <rFont val="Times New Roman"/>
        <family val="1"/>
      </rPr>
      <t>m</t>
    </r>
    <r>
      <rPr>
        <sz val="10"/>
        <rFont val="Times New Roman"/>
        <family val="1"/>
      </rPr>
      <t xml:space="preserve"> Quality parameter inspections are part of the existing safety inspections program. Assume that all manufacturers (39) will spend 2 hours per quarter to document results for each certified model.</t>
    </r>
  </si>
  <si>
    <r>
      <rPr>
        <vertAlign val="superscript"/>
        <sz val="10"/>
        <rFont val="Times New Roman"/>
        <family val="1"/>
      </rPr>
      <t>i</t>
    </r>
    <r>
      <rPr>
        <sz val="10"/>
        <rFont val="Times New Roman"/>
        <family val="1"/>
      </rPr>
      <t xml:space="preserve"> Assume 8 testing labs participate in proficiency testing every 2 years. 40 CFR 5479(b) requires that each approved test laboratory submit accreditation credentials and all proficiency test results to the Administrator.</t>
    </r>
  </si>
  <si>
    <r>
      <rPr>
        <vertAlign val="superscript"/>
        <sz val="10"/>
        <rFont val="Times New Roman"/>
        <family val="1"/>
      </rPr>
      <t>h</t>
    </r>
    <r>
      <rPr>
        <sz val="10"/>
        <rFont val="Times New Roman"/>
        <family val="1"/>
      </rPr>
      <t xml:space="preserve"> Assume that there are 11 laboratories acting as testing labs and/or third-party certifiers, including 8 testing labs. The 8 testing labs are currently certified by EPA; 3 testing labs are certified through the end of 2020 and would be anticipated to reapply for re-accreditation in the three-year period. </t>
    </r>
  </si>
  <si>
    <r>
      <rPr>
        <vertAlign val="superscript"/>
        <sz val="10"/>
        <rFont val="Times New Roman"/>
        <family val="1"/>
      </rPr>
      <t>j</t>
    </r>
    <r>
      <rPr>
        <sz val="10"/>
        <rFont val="Times New Roman"/>
        <family val="1"/>
      </rPr>
      <t xml:space="preserve"> Assume 8 third-party certifiers are ISO accredited and currently certified by EPA; 5 third-party certifiers are certified through the end of 2020 and would be anticipated to reapply for re-accreditation in the three-year period. </t>
    </r>
  </si>
  <si>
    <r>
      <rPr>
        <vertAlign val="superscript"/>
        <sz val="10"/>
        <rFont val="Times New Roman"/>
        <family val="1"/>
      </rPr>
      <t>f</t>
    </r>
    <r>
      <rPr>
        <sz val="10"/>
        <rFont val="Times New Roman"/>
        <family val="1"/>
      </rPr>
      <t xml:space="preserve"> Assumes 8 testing labs are currently approved by EPA; 3 testing labs are certified through the end of 2020 and would be anticipated to reapply for re-accreditation in the three-year period. </t>
    </r>
  </si>
  <si>
    <r>
      <rPr>
        <vertAlign val="superscript"/>
        <sz val="10"/>
        <rFont val="Times New Roman"/>
        <family val="1"/>
      </rPr>
      <t xml:space="preserve">k </t>
    </r>
    <r>
      <rPr>
        <sz val="10"/>
        <rFont val="Times New Roman"/>
        <family val="1"/>
      </rPr>
      <t xml:space="preserve">Assumes 8 third-party certifiers are currently certified by EPA; 5 third-party certifiers are certified through the end of 2020 and would be anticipated to reapply for re-accreditation in the three-year period. </t>
    </r>
  </si>
  <si>
    <r>
      <rPr>
        <vertAlign val="superscript"/>
        <sz val="10"/>
        <rFont val="Times New Roman"/>
        <family val="1"/>
      </rPr>
      <t>c</t>
    </r>
    <r>
      <rPr>
        <sz val="10"/>
        <rFont val="Times New Roman"/>
        <family val="1"/>
      </rPr>
      <t xml:space="preserve"> Assume there are 32 hydronic heater manufacturers with 127 model lines, 7 forced-air furnace manufacturers with 19 model lines. Over the next three years, assume a like number of existing models certified to 2015 standards are replaced with models certified to 2020 standards and certification testing is performed. </t>
    </r>
  </si>
  <si>
    <r>
      <t>a</t>
    </r>
    <r>
      <rPr>
        <sz val="10"/>
        <color rgb="FF000000"/>
        <rFont val="Times New Roman"/>
        <family val="1"/>
      </rPr>
      <t xml:space="preserve"> We assume that manufacturers will test approximately 49 new models per year (127 hydronic heater models + 19 forced-air furnace models / 3 years = 48.667 models or 49 models) at a cost of $55,000 per test (includes EPA testing ($30,000), confirmation safety testing or full safety testing ($22,500), and shipping of prototype(s)($2,500) costs)) and apply to meet Step 2 emission standards during the three year ICR period. </t>
    </r>
  </si>
  <si>
    <t>&lt;-- adjusted formula to round # of models tested per year</t>
  </si>
  <si>
    <t>&lt;-- adjusted formula to round # of respondents per year</t>
  </si>
  <si>
    <t>$55,000 per model</t>
  </si>
  <si>
    <t>$63,564 per model</t>
  </si>
  <si>
    <t>Number of New Respondents/Models per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</si>
</sst>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44" formatCode="_(&quot;$&quot;* #,##0.00_);_(&quot;$&quot;* \(#,##0.00\);_(&quot;$&quot;* &quot;-&quot;??_);_(@_)"/>
    <numFmt numFmtId="164" formatCode="###0.00;###0.00"/>
    <numFmt numFmtId="165" formatCode="###0.0;###0.0"/>
    <numFmt numFmtId="166" formatCode="###0;###0"/>
    <numFmt numFmtId="167" formatCode="_(&quot;$&quot;* #,##0_);_(&quot;$&quot;* \(#,##0\);_(&quot;$&quot;* &quot;-&quot;??_);_(@_)"/>
    <numFmt numFmtId="168" formatCode="#,##0;#,##0"/>
    <numFmt numFmtId="169" formatCode="0.0"/>
    <numFmt numFmtId="170" formatCode="&quot;$&quot;#,##0.00"/>
    <numFmt numFmtId="171" formatCode="&quot;$&quot;#,##0"/>
  </numFmts>
  <fonts count="25" x14ac:knownFonts="1">
    <font>
      <sz val="10"/>
      <color rgb="FF000000"/>
      <name val="Times New Roman"/>
      <charset val="204"/>
    </font>
    <font>
      <sz val="10"/>
      <color rgb="FF000000"/>
      <name val="Times New Roman"/>
      <family val="1"/>
    </font>
    <font>
      <b/>
      <sz val="10"/>
      <color rgb="FF000000"/>
      <name val="Times New Roman"/>
      <family val="1"/>
    </font>
    <font>
      <i/>
      <sz val="10"/>
      <color rgb="FF000000"/>
      <name val="Times New Roman"/>
      <family val="1"/>
    </font>
    <font>
      <b/>
      <sz val="11"/>
      <color rgb="FF000000"/>
      <name val="Times New Roman"/>
      <family val="1"/>
    </font>
    <font>
      <sz val="11"/>
      <color rgb="FF000000"/>
      <name val="Times New Roman"/>
      <family val="1"/>
    </font>
    <font>
      <vertAlign val="superscript"/>
      <sz val="11"/>
      <color rgb="FF000000"/>
      <name val="Times New Roman"/>
      <family val="1"/>
    </font>
    <font>
      <b/>
      <vertAlign val="superscript"/>
      <sz val="11"/>
      <color rgb="FF000000"/>
      <name val="Times New Roman"/>
      <family val="1"/>
    </font>
    <font>
      <vertAlign val="superscript"/>
      <sz val="10"/>
      <color rgb="FF000000"/>
      <name val="Times New Roman"/>
      <family val="1"/>
    </font>
    <font>
      <sz val="10"/>
      <color rgb="FFFF0000"/>
      <name val="Times New Roman"/>
      <family val="1"/>
    </font>
    <font>
      <sz val="10"/>
      <name val="Times New Roman"/>
      <family val="1"/>
    </font>
    <font>
      <b/>
      <sz val="10"/>
      <name val="Times New Roman"/>
      <family val="1"/>
    </font>
    <font>
      <i/>
      <sz val="10"/>
      <name val="Times New Roman"/>
      <family val="1"/>
    </font>
    <font>
      <vertAlign val="superscript"/>
      <sz val="10"/>
      <name val="Times New Roman"/>
      <family val="1"/>
    </font>
    <font>
      <b/>
      <vertAlign val="superscript"/>
      <sz val="10"/>
      <name val="Times New Roman"/>
      <family val="1"/>
    </font>
    <font>
      <b/>
      <i/>
      <sz val="10"/>
      <name val="Times New Roman"/>
      <family val="1"/>
    </font>
    <font>
      <sz val="11"/>
      <color theme="1"/>
      <name val="Times New Roman"/>
      <family val="1"/>
    </font>
    <font>
      <sz val="11"/>
      <color rgb="FFFF0000"/>
      <name val="Times New Roman"/>
      <family val="1"/>
    </font>
    <font>
      <b/>
      <sz val="10"/>
      <color theme="1"/>
      <name val="Times New Roman"/>
      <family val="1"/>
    </font>
    <font>
      <sz val="10"/>
      <color theme="1"/>
      <name val="Times New Roman"/>
      <family val="1"/>
    </font>
    <font>
      <sz val="10"/>
      <color theme="1"/>
      <name val="Arial"/>
      <family val="2"/>
    </font>
    <font>
      <b/>
      <sz val="12"/>
      <color rgb="FF000000"/>
      <name val="Times New Roman"/>
      <family val="1"/>
    </font>
    <font>
      <sz val="11"/>
      <name val="Times New Roman"/>
      <family val="1"/>
    </font>
    <font>
      <b/>
      <sz val="16"/>
      <name val="Arial Narrow"/>
      <family val="2"/>
    </font>
    <font>
      <vertAlign val="superscript"/>
      <sz val="10"/>
      <color theme="1"/>
      <name val="Times New Roman"/>
      <family val="1"/>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thin">
        <color rgb="FFD5D5D5"/>
      </left>
      <right/>
      <top style="thin">
        <color rgb="FFD5D5D5"/>
      </top>
      <bottom style="thin">
        <color rgb="FF000000"/>
      </bottom>
      <diagonal/>
    </border>
    <border>
      <left/>
      <right/>
      <top style="thin">
        <color rgb="FFD5D5D5"/>
      </top>
      <bottom style="thin">
        <color rgb="FF000000"/>
      </bottom>
      <diagonal/>
    </border>
    <border>
      <left/>
      <right style="thin">
        <color rgb="FFD5D5D5"/>
      </right>
      <top style="thin">
        <color rgb="FFD5D5D5"/>
      </top>
      <bottom style="thin">
        <color rgb="FF000000"/>
      </bottom>
      <diagonal/>
    </border>
    <border>
      <left style="thin">
        <color rgb="FF000000"/>
      </left>
      <right style="thin">
        <color rgb="FF000000"/>
      </right>
      <top style="thin">
        <color rgb="FFD5D5D5"/>
      </top>
      <bottom style="thin">
        <color rgb="FFD5D5D5"/>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style="thin">
        <color rgb="FFD5D5D5"/>
      </left>
      <right/>
      <top style="thin">
        <color rgb="FFD5D5D5"/>
      </top>
      <bottom style="thin">
        <color rgb="FFD5D5D5"/>
      </bottom>
      <diagonal/>
    </border>
    <border>
      <left/>
      <right/>
      <top style="thin">
        <color rgb="FFD5D5D5"/>
      </top>
      <bottom style="thin">
        <color rgb="FFD5D5D5"/>
      </bottom>
      <diagonal/>
    </border>
    <border>
      <left/>
      <right/>
      <top style="thin">
        <color rgb="FFD5D5D5"/>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D5D5D5"/>
      </left>
      <right/>
      <top/>
      <bottom style="thin">
        <color rgb="FFD5D5D5"/>
      </bottom>
      <diagonal/>
    </border>
    <border>
      <left/>
      <right/>
      <top/>
      <bottom style="thin">
        <color rgb="FFD5D5D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double">
        <color indexed="64"/>
      </left>
      <right style="medium">
        <color indexed="64"/>
      </right>
      <top style="double">
        <color indexed="64"/>
      </top>
      <bottom/>
      <diagonal/>
    </border>
    <border>
      <left/>
      <right style="medium">
        <color indexed="64"/>
      </right>
      <top style="double">
        <color indexed="64"/>
      </top>
      <bottom/>
      <diagonal/>
    </border>
    <border>
      <left/>
      <right style="double">
        <color indexed="64"/>
      </right>
      <top style="double">
        <color indexed="64"/>
      </top>
      <bottom/>
      <diagonal/>
    </border>
    <border>
      <left style="double">
        <color indexed="64"/>
      </left>
      <right style="medium">
        <color indexed="64"/>
      </right>
      <top/>
      <bottom/>
      <diagonal/>
    </border>
    <border>
      <left/>
      <right style="medium">
        <color indexed="64"/>
      </right>
      <top/>
      <bottom/>
      <diagonal/>
    </border>
    <border>
      <left/>
      <right style="double">
        <color indexed="64"/>
      </right>
      <top/>
      <bottom/>
      <diagonal/>
    </border>
    <border>
      <left style="double">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double">
        <color indexed="64"/>
      </right>
      <top style="medium">
        <color indexed="64"/>
      </top>
      <bottom style="medium">
        <color indexed="64"/>
      </bottom>
      <diagonal/>
    </border>
    <border>
      <left style="double">
        <color indexed="64"/>
      </left>
      <right style="medium">
        <color indexed="64"/>
      </right>
      <top/>
      <bottom style="medium">
        <color indexed="64"/>
      </bottom>
      <diagonal/>
    </border>
    <border>
      <left/>
      <right style="medium">
        <color indexed="64"/>
      </right>
      <top/>
      <bottom style="medium">
        <color indexed="64"/>
      </bottom>
      <diagonal/>
    </border>
    <border>
      <left/>
      <right style="double">
        <color indexed="64"/>
      </right>
      <top/>
      <bottom style="medium">
        <color indexed="64"/>
      </bottom>
      <diagonal/>
    </border>
    <border>
      <left/>
      <right/>
      <top style="double">
        <color indexed="64"/>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rgb="FF000000"/>
      </left>
      <right style="thin">
        <color rgb="FFD5D5D5"/>
      </right>
      <top/>
      <bottom/>
      <diagonal/>
    </border>
    <border>
      <left style="thin">
        <color rgb="FFD5D5D5"/>
      </left>
      <right style="thin">
        <color rgb="FFD5D5D5"/>
      </right>
      <top/>
      <bottom/>
      <diagonal/>
    </border>
    <border>
      <left style="thin">
        <color rgb="FFD5D5D5"/>
      </left>
      <right style="thin">
        <color rgb="FF000000"/>
      </right>
      <top/>
      <bottom/>
      <diagonal/>
    </border>
  </borders>
  <cellStyleXfs count="3">
    <xf numFmtId="0" fontId="0" fillId="0" borderId="0"/>
    <xf numFmtId="44" fontId="1" fillId="0" borderId="0" applyFont="0" applyFill="0" applyBorder="0" applyAlignment="0" applyProtection="0"/>
    <xf numFmtId="0" fontId="20" fillId="0" borderId="0"/>
  </cellStyleXfs>
  <cellXfs count="178">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1" fillId="0" borderId="13" xfId="0" applyFont="1" applyFill="1" applyBorder="1" applyAlignment="1">
      <alignment horizontal="left" vertical="top"/>
    </xf>
    <xf numFmtId="0" fontId="1" fillId="0" borderId="13" xfId="0" applyFont="1" applyFill="1" applyBorder="1" applyAlignment="1">
      <alignment horizontal="left" vertical="top" wrapText="1"/>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5" fillId="0" borderId="32" xfId="0" applyFont="1" applyFill="1" applyBorder="1" applyAlignment="1">
      <alignment horizontal="left" vertical="center" wrapText="1"/>
    </xf>
    <xf numFmtId="0" fontId="5" fillId="0" borderId="33" xfId="0" applyFont="1" applyFill="1" applyBorder="1" applyAlignment="1">
      <alignment horizontal="center" vertical="center" wrapText="1"/>
    </xf>
    <xf numFmtId="6" fontId="5" fillId="0" borderId="34" xfId="0" applyNumberFormat="1" applyFont="1" applyFill="1" applyBorder="1" applyAlignment="1">
      <alignment horizontal="center" vertical="center" wrapText="1"/>
    </xf>
    <xf numFmtId="0" fontId="5" fillId="0" borderId="35" xfId="0" applyFont="1" applyFill="1" applyBorder="1" applyAlignment="1">
      <alignment horizontal="left" vertical="center" wrapText="1"/>
    </xf>
    <xf numFmtId="0" fontId="5" fillId="0" borderId="36" xfId="0" applyFont="1" applyFill="1" applyBorder="1" applyAlignment="1">
      <alignment horizontal="center" vertical="center" wrapText="1"/>
    </xf>
    <xf numFmtId="6" fontId="5" fillId="0" borderId="37" xfId="0" applyNumberFormat="1" applyFont="1" applyFill="1" applyBorder="1" applyAlignment="1">
      <alignment horizontal="center" vertical="center" wrapText="1"/>
    </xf>
    <xf numFmtId="0" fontId="4" fillId="0" borderId="35" xfId="0" applyFont="1" applyFill="1" applyBorder="1" applyAlignment="1">
      <alignment horizontal="left" vertical="center" wrapText="1"/>
    </xf>
    <xf numFmtId="0" fontId="9" fillId="0" borderId="0" xfId="0" applyFont="1" applyFill="1" applyBorder="1" applyAlignment="1">
      <alignment horizontal="left" vertical="top"/>
    </xf>
    <xf numFmtId="0" fontId="2" fillId="0" borderId="4" xfId="0" applyFont="1" applyFill="1" applyBorder="1" applyAlignment="1">
      <alignment horizontal="left" vertical="center" wrapText="1"/>
    </xf>
    <xf numFmtId="0" fontId="11" fillId="0" borderId="4" xfId="0" applyFont="1" applyFill="1" applyBorder="1" applyAlignment="1">
      <alignment horizontal="center" vertical="center" wrapText="1"/>
    </xf>
    <xf numFmtId="170" fontId="10" fillId="0" borderId="5" xfId="1" applyNumberFormat="1" applyFont="1" applyFill="1" applyBorder="1" applyAlignment="1">
      <alignment horizontal="right" vertical="top" wrapText="1"/>
    </xf>
    <xf numFmtId="171" fontId="10" fillId="0" borderId="5" xfId="1" applyNumberFormat="1" applyFont="1" applyFill="1" applyBorder="1" applyAlignment="1">
      <alignment horizontal="right" vertical="top" wrapText="1"/>
    </xf>
    <xf numFmtId="0" fontId="11" fillId="0" borderId="5" xfId="0" applyFont="1" applyFill="1" applyBorder="1" applyAlignment="1">
      <alignment horizontal="left" vertical="top" wrapText="1"/>
    </xf>
    <xf numFmtId="0" fontId="1" fillId="0" borderId="5" xfId="0" applyFont="1" applyFill="1" applyBorder="1" applyAlignment="1">
      <alignment horizontal="left" vertical="top" wrapText="1"/>
    </xf>
    <xf numFmtId="0" fontId="1" fillId="0" borderId="4" xfId="0" applyFont="1" applyFill="1" applyBorder="1" applyAlignment="1">
      <alignment horizontal="center" vertical="center" wrapText="1"/>
    </xf>
    <xf numFmtId="0" fontId="10" fillId="0" borderId="4" xfId="0" applyFont="1" applyFill="1" applyBorder="1" applyAlignment="1">
      <alignment horizontal="center" vertical="top" wrapText="1"/>
    </xf>
    <xf numFmtId="0" fontId="12" fillId="0" borderId="5" xfId="0" applyFont="1" applyFill="1" applyBorder="1" applyAlignment="1">
      <alignment horizontal="left" vertical="top" wrapText="1"/>
    </xf>
    <xf numFmtId="164" fontId="1" fillId="0" borderId="5" xfId="0" applyNumberFormat="1" applyFont="1" applyFill="1" applyBorder="1" applyAlignment="1">
      <alignment horizontal="center" vertical="top" wrapText="1"/>
    </xf>
    <xf numFmtId="165" fontId="1" fillId="0" borderId="5" xfId="0" applyNumberFormat="1" applyFont="1" applyFill="1" applyBorder="1" applyAlignment="1">
      <alignment horizontal="center" vertical="top" wrapText="1"/>
    </xf>
    <xf numFmtId="166" fontId="1" fillId="0" borderId="5" xfId="0" applyNumberFormat="1" applyFont="1" applyFill="1" applyBorder="1" applyAlignment="1">
      <alignment horizontal="center" vertical="top" wrapText="1"/>
    </xf>
    <xf numFmtId="0" fontId="12" fillId="0" borderId="6" xfId="0" applyFont="1" applyFill="1" applyBorder="1" applyAlignment="1">
      <alignment horizontal="left" vertical="top" wrapText="1"/>
    </xf>
    <xf numFmtId="167" fontId="1" fillId="0" borderId="5" xfId="1" applyNumberFormat="1" applyFont="1" applyFill="1" applyBorder="1" applyAlignment="1">
      <alignment horizontal="left" vertical="top" wrapText="1"/>
    </xf>
    <xf numFmtId="44" fontId="1" fillId="0" borderId="5" xfId="0" applyNumberFormat="1" applyFont="1" applyFill="1" applyBorder="1" applyAlignment="1">
      <alignment horizontal="left" vertical="top" wrapText="1"/>
    </xf>
    <xf numFmtId="0" fontId="15" fillId="0" borderId="20" xfId="0" applyFont="1" applyFill="1" applyBorder="1" applyAlignment="1">
      <alignment horizontal="left" vertical="top" wrapText="1"/>
    </xf>
    <xf numFmtId="166" fontId="1" fillId="2" borderId="5" xfId="0" applyNumberFormat="1" applyFont="1" applyFill="1" applyBorder="1" applyAlignment="1">
      <alignment horizontal="center" vertical="top" wrapText="1"/>
    </xf>
    <xf numFmtId="170" fontId="10" fillId="2" borderId="5" xfId="1" applyNumberFormat="1" applyFont="1" applyFill="1" applyBorder="1" applyAlignment="1">
      <alignment horizontal="right" vertical="top" wrapText="1"/>
    </xf>
    <xf numFmtId="0" fontId="1" fillId="2" borderId="0" xfId="0" applyFont="1" applyFill="1" applyBorder="1" applyAlignment="1">
      <alignment horizontal="left" vertical="top"/>
    </xf>
    <xf numFmtId="166" fontId="1" fillId="0" borderId="13" xfId="0" applyNumberFormat="1" applyFont="1" applyFill="1" applyBorder="1" applyAlignment="1">
      <alignment horizontal="center" vertical="top" wrapText="1"/>
    </xf>
    <xf numFmtId="170" fontId="10" fillId="0" borderId="13" xfId="1" applyNumberFormat="1" applyFont="1" applyFill="1" applyBorder="1" applyAlignment="1">
      <alignment horizontal="right" vertical="top" wrapText="1"/>
    </xf>
    <xf numFmtId="0" fontId="15" fillId="0" borderId="6" xfId="0" applyFont="1" applyFill="1" applyBorder="1" applyAlignment="1">
      <alignment horizontal="left" vertical="top" wrapText="1"/>
    </xf>
    <xf numFmtId="0" fontId="3" fillId="0" borderId="13" xfId="0" applyFont="1" applyFill="1" applyBorder="1" applyAlignment="1">
      <alignment horizontal="center" vertical="top" wrapText="1"/>
    </xf>
    <xf numFmtId="0" fontId="11" fillId="0" borderId="8" xfId="0" applyFont="1" applyFill="1" applyBorder="1" applyAlignment="1">
      <alignment horizontal="left" vertical="top" wrapText="1"/>
    </xf>
    <xf numFmtId="0" fontId="1" fillId="0" borderId="14" xfId="0" applyFont="1" applyFill="1" applyBorder="1" applyAlignment="1">
      <alignment horizontal="center" vertical="top" wrapText="1"/>
    </xf>
    <xf numFmtId="171" fontId="11" fillId="0" borderId="14" xfId="1" applyNumberFormat="1" applyFont="1" applyFill="1" applyBorder="1" applyAlignment="1">
      <alignment horizontal="right" vertical="top" wrapText="1"/>
    </xf>
    <xf numFmtId="0" fontId="11" fillId="0" borderId="13" xfId="0" applyFont="1" applyFill="1" applyBorder="1" applyAlignment="1">
      <alignment horizontal="left" vertical="top" wrapText="1"/>
    </xf>
    <xf numFmtId="0" fontId="10" fillId="0" borderId="13" xfId="0" applyFont="1" applyFill="1" applyBorder="1" applyAlignment="1">
      <alignment horizontal="left" vertical="top" wrapText="1"/>
    </xf>
    <xf numFmtId="171" fontId="2" fillId="0" borderId="13" xfId="0" applyNumberFormat="1" applyFont="1" applyFill="1" applyBorder="1" applyAlignment="1">
      <alignment horizontal="right" vertical="top" wrapText="1"/>
    </xf>
    <xf numFmtId="1" fontId="1" fillId="0" borderId="0" xfId="0" applyNumberFormat="1" applyFont="1" applyFill="1" applyBorder="1" applyAlignment="1">
      <alignment horizontal="left" vertical="top"/>
    </xf>
    <xf numFmtId="0" fontId="16" fillId="0" borderId="0" xfId="0" applyFont="1"/>
    <xf numFmtId="0" fontId="16" fillId="0" borderId="24" xfId="0" applyFont="1" applyFill="1" applyBorder="1"/>
    <xf numFmtId="0" fontId="9" fillId="0" borderId="0" xfId="0" applyFont="1" applyFill="1"/>
    <xf numFmtId="0" fontId="16" fillId="0" borderId="42" xfId="0" applyFont="1" applyFill="1" applyBorder="1"/>
    <xf numFmtId="170" fontId="5" fillId="0" borderId="25" xfId="0" applyNumberFormat="1" applyFont="1" applyFill="1" applyBorder="1" applyAlignment="1">
      <alignment horizontal="right" vertical="center"/>
    </xf>
    <xf numFmtId="170" fontId="5" fillId="0" borderId="43" xfId="0" applyNumberFormat="1" applyFont="1" applyFill="1" applyBorder="1" applyAlignment="1">
      <alignment horizontal="right" vertical="center"/>
    </xf>
    <xf numFmtId="0" fontId="17" fillId="0" borderId="0" xfId="0" applyFont="1" applyFill="1"/>
    <xf numFmtId="44" fontId="5" fillId="0" borderId="25" xfId="1" applyFont="1" applyFill="1" applyBorder="1" applyAlignment="1">
      <alignment horizontal="left" vertical="top"/>
    </xf>
    <xf numFmtId="44" fontId="5" fillId="0" borderId="43" xfId="1" applyFont="1" applyFill="1" applyBorder="1" applyAlignment="1">
      <alignment horizontal="left" vertical="top"/>
    </xf>
    <xf numFmtId="0" fontId="12" fillId="0" borderId="22" xfId="0" applyFont="1" applyFill="1" applyBorder="1" applyAlignment="1">
      <alignment horizontal="left" vertical="top" wrapText="1"/>
    </xf>
    <xf numFmtId="0" fontId="10" fillId="0" borderId="5" xfId="0" applyFont="1" applyFill="1" applyBorder="1" applyAlignment="1">
      <alignment horizontal="left" vertical="top" wrapText="1" indent="1"/>
    </xf>
    <xf numFmtId="0" fontId="10" fillId="2" borderId="5" xfId="0" applyFont="1" applyFill="1" applyBorder="1" applyAlignment="1">
      <alignment horizontal="left" vertical="top" wrapText="1" indent="1"/>
    </xf>
    <xf numFmtId="0" fontId="10" fillId="0" borderId="6" xfId="0" applyFont="1" applyFill="1" applyBorder="1" applyAlignment="1">
      <alignment horizontal="left" vertical="top" wrapText="1" indent="1"/>
    </xf>
    <xf numFmtId="0" fontId="10" fillId="0" borderId="5" xfId="0" applyFont="1" applyFill="1" applyBorder="1" applyAlignment="1">
      <alignment horizontal="left" vertical="top" wrapText="1" indent="2"/>
    </xf>
    <xf numFmtId="170" fontId="12" fillId="0" borderId="20" xfId="1" applyNumberFormat="1" applyFont="1" applyFill="1" applyBorder="1" applyAlignment="1">
      <alignment horizontal="right" vertical="top" wrapText="1"/>
    </xf>
    <xf numFmtId="170" fontId="12" fillId="0" borderId="13" xfId="1" applyNumberFormat="1" applyFont="1" applyFill="1" applyBorder="1" applyAlignment="1">
      <alignment horizontal="right" vertical="top" wrapText="1"/>
    </xf>
    <xf numFmtId="0" fontId="11" fillId="0" borderId="20" xfId="0" applyFont="1" applyFill="1" applyBorder="1" applyAlignment="1">
      <alignment horizontal="left" vertical="top" wrapText="1"/>
    </xf>
    <xf numFmtId="0" fontId="1" fillId="0" borderId="20" xfId="0" applyFont="1" applyFill="1" applyBorder="1" applyAlignment="1">
      <alignment horizontal="left" vertical="top" wrapText="1"/>
    </xf>
    <xf numFmtId="171" fontId="10" fillId="0" borderId="20" xfId="1" applyNumberFormat="1" applyFont="1" applyFill="1" applyBorder="1" applyAlignment="1">
      <alignment horizontal="right" vertical="top" wrapText="1"/>
    </xf>
    <xf numFmtId="0" fontId="18" fillId="0" borderId="0" xfId="0" applyFont="1"/>
    <xf numFmtId="0" fontId="19" fillId="0" borderId="0" xfId="0" applyFont="1"/>
    <xf numFmtId="0" fontId="2" fillId="0" borderId="24" xfId="2" applyFont="1" applyBorder="1" applyAlignment="1">
      <alignment vertical="top" wrapText="1"/>
    </xf>
    <xf numFmtId="0" fontId="1" fillId="0" borderId="13" xfId="2" applyFont="1" applyBorder="1" applyAlignment="1">
      <alignment vertical="top" wrapText="1"/>
    </xf>
    <xf numFmtId="0" fontId="1" fillId="0" borderId="14" xfId="2" applyFont="1" applyBorder="1" applyAlignment="1">
      <alignment horizontal="center" vertical="top" wrapText="1"/>
    </xf>
    <xf numFmtId="0" fontId="1" fillId="0" borderId="45" xfId="2" applyFont="1" applyBorder="1" applyAlignment="1">
      <alignment horizontal="center" vertical="top" wrapText="1"/>
    </xf>
    <xf numFmtId="0" fontId="1" fillId="0" borderId="45" xfId="2" applyFont="1" applyFill="1" applyBorder="1" applyAlignment="1">
      <alignment horizontal="center" vertical="top" wrapText="1"/>
    </xf>
    <xf numFmtId="0" fontId="10" fillId="0" borderId="13" xfId="2" applyFont="1" applyBorder="1" applyAlignment="1">
      <alignment horizontal="center" vertical="top" wrapText="1"/>
    </xf>
    <xf numFmtId="1" fontId="10" fillId="0" borderId="13" xfId="2" applyNumberFormat="1" applyFont="1" applyFill="1" applyBorder="1" applyAlignment="1">
      <alignment horizontal="center" vertical="top" wrapText="1"/>
    </xf>
    <xf numFmtId="3" fontId="10" fillId="0" borderId="13" xfId="2" applyNumberFormat="1" applyFont="1" applyFill="1" applyBorder="1" applyAlignment="1">
      <alignment horizontal="center" vertical="top" wrapText="1"/>
    </xf>
    <xf numFmtId="0" fontId="19" fillId="0" borderId="0" xfId="2" applyFont="1"/>
    <xf numFmtId="0" fontId="19"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13" xfId="0" applyFont="1" applyBorder="1" applyAlignment="1">
      <alignment horizontal="left" vertical="center" wrapText="1"/>
    </xf>
    <xf numFmtId="0" fontId="19" fillId="0" borderId="13" xfId="0" applyFont="1" applyBorder="1" applyAlignment="1">
      <alignment horizontal="center" vertical="center" wrapText="1"/>
    </xf>
    <xf numFmtId="0" fontId="18" fillId="0" borderId="13" xfId="0" applyFont="1" applyBorder="1" applyAlignment="1">
      <alignment horizontal="center" vertical="center" wrapText="1"/>
    </xf>
    <xf numFmtId="3" fontId="18" fillId="0" borderId="13" xfId="0" applyNumberFormat="1" applyFont="1" applyBorder="1" applyAlignment="1">
      <alignment horizontal="center" vertical="center" wrapText="1"/>
    </xf>
    <xf numFmtId="0" fontId="19" fillId="0" borderId="0" xfId="2" applyFont="1" applyAlignment="1">
      <alignment horizontal="right"/>
    </xf>
    <xf numFmtId="0" fontId="19" fillId="0" borderId="13" xfId="0" applyFont="1" applyBorder="1" applyAlignment="1">
      <alignment horizontal="center" vertical="center" wrapText="1"/>
    </xf>
    <xf numFmtId="0" fontId="19" fillId="0" borderId="23" xfId="0" applyFont="1" applyBorder="1" applyAlignment="1">
      <alignment horizontal="left" vertical="center" wrapText="1"/>
    </xf>
    <xf numFmtId="0" fontId="19" fillId="0" borderId="13" xfId="0" applyFont="1" applyBorder="1" applyAlignment="1">
      <alignment horizontal="left" vertical="center" wrapText="1" indent="1"/>
    </xf>
    <xf numFmtId="0" fontId="10" fillId="0" borderId="13" xfId="0" applyFont="1" applyFill="1" applyBorder="1" applyAlignment="1">
      <alignment horizontal="left" vertical="top" wrapText="1" indent="1"/>
    </xf>
    <xf numFmtId="0" fontId="10" fillId="0" borderId="6" xfId="0" applyFont="1" applyFill="1" applyBorder="1" applyAlignment="1">
      <alignment horizontal="left" vertical="top" wrapText="1"/>
    </xf>
    <xf numFmtId="169" fontId="19" fillId="0" borderId="13" xfId="0" applyNumberFormat="1" applyFont="1" applyBorder="1" applyAlignment="1">
      <alignment horizontal="center" vertical="center" wrapText="1"/>
    </xf>
    <xf numFmtId="169" fontId="10" fillId="0" borderId="13" xfId="2" applyNumberFormat="1" applyFont="1" applyFill="1" applyBorder="1" applyAlignment="1">
      <alignment horizontal="center" vertical="top" wrapText="1"/>
    </xf>
    <xf numFmtId="0" fontId="10" fillId="0" borderId="0" xfId="0" applyFont="1" applyFill="1" applyBorder="1" applyAlignment="1">
      <alignment horizontal="left" vertical="top"/>
    </xf>
    <xf numFmtId="0" fontId="19" fillId="0" borderId="13" xfId="0" applyFont="1" applyBorder="1" applyAlignment="1">
      <alignment horizontal="center" vertical="center" wrapText="1"/>
    </xf>
    <xf numFmtId="0" fontId="1" fillId="0" borderId="0" xfId="0" applyFont="1" applyFill="1" applyBorder="1" applyAlignment="1">
      <alignment horizontal="left" vertical="top" wrapText="1"/>
    </xf>
    <xf numFmtId="0" fontId="1" fillId="0" borderId="13" xfId="0" applyFont="1" applyFill="1" applyBorder="1" applyAlignment="1">
      <alignment horizontal="center" vertical="top" wrapText="1"/>
    </xf>
    <xf numFmtId="0" fontId="1" fillId="0" borderId="13" xfId="0" applyFont="1" applyFill="1" applyBorder="1" applyAlignment="1">
      <alignment horizontal="center" vertical="center"/>
    </xf>
    <xf numFmtId="14" fontId="1" fillId="0" borderId="13" xfId="0" applyNumberFormat="1" applyFont="1" applyFill="1" applyBorder="1" applyAlignment="1">
      <alignment horizontal="center" vertical="top"/>
    </xf>
    <xf numFmtId="1" fontId="19" fillId="0" borderId="13" xfId="0" applyNumberFormat="1" applyFont="1" applyBorder="1" applyAlignment="1">
      <alignment horizontal="center" vertical="center" wrapText="1"/>
    </xf>
    <xf numFmtId="1" fontId="10" fillId="0" borderId="13" xfId="2" applyNumberFormat="1" applyFont="1" applyFill="1" applyBorder="1" applyAlignment="1">
      <alignment horizontal="center" vertical="center" wrapText="1"/>
    </xf>
    <xf numFmtId="2" fontId="19" fillId="0" borderId="13" xfId="0" applyNumberFormat="1" applyFont="1" applyBorder="1" applyAlignment="1">
      <alignment horizontal="center" vertical="center" wrapText="1"/>
    </xf>
    <xf numFmtId="0" fontId="2" fillId="0" borderId="0" xfId="0" applyFont="1" applyFill="1" applyBorder="1" applyAlignment="1">
      <alignment horizontal="left" vertical="top"/>
    </xf>
    <xf numFmtId="166" fontId="1" fillId="0" borderId="20" xfId="0" applyNumberFormat="1" applyFont="1" applyFill="1" applyBorder="1" applyAlignment="1">
      <alignment horizontal="center" vertical="top" wrapText="1"/>
    </xf>
    <xf numFmtId="0" fontId="3" fillId="0" borderId="46" xfId="0" applyFont="1" applyFill="1" applyBorder="1" applyAlignment="1">
      <alignment horizontal="center" vertical="top" wrapText="1"/>
    </xf>
    <xf numFmtId="0" fontId="3" fillId="0" borderId="47" xfId="0" applyFont="1" applyFill="1" applyBorder="1" applyAlignment="1">
      <alignment horizontal="center" vertical="top" wrapText="1"/>
    </xf>
    <xf numFmtId="0" fontId="3" fillId="0" borderId="48" xfId="0" applyFont="1" applyFill="1" applyBorder="1" applyAlignment="1">
      <alignment horizontal="center" vertical="top" wrapText="1"/>
    </xf>
    <xf numFmtId="0" fontId="0" fillId="0" borderId="0" xfId="0" applyFill="1" applyBorder="1" applyAlignment="1">
      <alignment horizontal="center" vertical="top" wrapText="1"/>
    </xf>
    <xf numFmtId="0" fontId="1" fillId="0" borderId="13" xfId="0" applyFont="1" applyFill="1" applyBorder="1" applyAlignment="1">
      <alignment horizontal="center" vertical="center" wrapText="1"/>
    </xf>
    <xf numFmtId="3" fontId="22" fillId="0" borderId="36" xfId="0" applyNumberFormat="1" applyFont="1" applyFill="1" applyBorder="1" applyAlignment="1">
      <alignment horizontal="center" vertical="center" wrapText="1"/>
    </xf>
    <xf numFmtId="2" fontId="22" fillId="0" borderId="36" xfId="0" applyNumberFormat="1" applyFont="1" applyFill="1" applyBorder="1" applyAlignment="1">
      <alignment horizontal="center" vertical="center" wrapText="1"/>
    </xf>
    <xf numFmtId="0" fontId="22" fillId="0" borderId="36" xfId="0" applyFont="1" applyFill="1" applyBorder="1" applyAlignment="1">
      <alignment horizontal="center" vertical="center" wrapText="1"/>
    </xf>
    <xf numFmtId="0" fontId="1" fillId="0" borderId="23" xfId="0" applyFont="1" applyFill="1" applyBorder="1" applyAlignment="1">
      <alignment horizontal="center" vertical="top" wrapText="1"/>
    </xf>
    <xf numFmtId="1" fontId="22" fillId="0" borderId="33" xfId="0" applyNumberFormat="1" applyFont="1" applyFill="1" applyBorder="1" applyAlignment="1">
      <alignment horizontal="center" vertical="center" wrapText="1"/>
    </xf>
    <xf numFmtId="1" fontId="19" fillId="0" borderId="0" xfId="2" applyNumberFormat="1" applyFont="1" applyAlignment="1">
      <alignment horizontal="center"/>
    </xf>
    <xf numFmtId="0" fontId="2" fillId="0" borderId="17" xfId="2" applyFont="1" applyBorder="1" applyAlignment="1">
      <alignment horizontal="center" vertical="top" wrapText="1"/>
    </xf>
    <xf numFmtId="0" fontId="2" fillId="0" borderId="18" xfId="2" applyFont="1" applyBorder="1" applyAlignment="1">
      <alignment horizontal="center" vertical="top" wrapText="1"/>
    </xf>
    <xf numFmtId="0" fontId="2" fillId="0" borderId="19" xfId="2" applyFont="1" applyBorder="1" applyAlignment="1">
      <alignment horizontal="center" vertical="top" wrapText="1"/>
    </xf>
    <xf numFmtId="0" fontId="1" fillId="0" borderId="17" xfId="2" applyFont="1" applyBorder="1" applyAlignment="1">
      <alignment horizontal="center" vertical="top" wrapText="1"/>
    </xf>
    <xf numFmtId="0" fontId="1" fillId="0" borderId="19" xfId="2" applyFont="1" applyBorder="1" applyAlignment="1">
      <alignment horizontal="center" vertical="top" wrapText="1"/>
    </xf>
    <xf numFmtId="0" fontId="1" fillId="0" borderId="13"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23" fillId="0" borderId="0" xfId="0" applyFont="1" applyBorder="1" applyAlignment="1">
      <alignment horizontal="center" vertical="center" wrapText="1"/>
    </xf>
    <xf numFmtId="0" fontId="1" fillId="0" borderId="17"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23" xfId="0" applyFont="1" applyFill="1" applyBorder="1" applyAlignment="1">
      <alignment horizontal="center" vertical="top" wrapText="1"/>
    </xf>
    <xf numFmtId="0" fontId="2" fillId="0" borderId="13" xfId="0" applyFont="1" applyFill="1" applyBorder="1" applyAlignment="1">
      <alignment horizontal="center" vertical="top"/>
    </xf>
    <xf numFmtId="0" fontId="1" fillId="0" borderId="44" xfId="0" applyFont="1" applyFill="1" applyBorder="1" applyAlignment="1">
      <alignment horizontal="left" vertical="top" wrapText="1"/>
    </xf>
    <xf numFmtId="0" fontId="0" fillId="0" borderId="0" xfId="0" applyFill="1" applyBorder="1" applyAlignment="1">
      <alignment horizontal="left" vertical="top" wrapText="1"/>
    </xf>
    <xf numFmtId="0" fontId="2" fillId="0" borderId="13" xfId="2" applyFont="1" applyBorder="1" applyAlignment="1">
      <alignment horizontal="center" vertical="top" wrapText="1"/>
    </xf>
    <xf numFmtId="0" fontId="19" fillId="0" borderId="13" xfId="0" applyFont="1" applyBorder="1" applyAlignment="1">
      <alignment horizontal="center" vertical="center" wrapText="1"/>
    </xf>
    <xf numFmtId="0" fontId="1" fillId="0" borderId="0" xfId="0" applyFont="1" applyFill="1" applyBorder="1" applyAlignment="1">
      <alignment horizontal="left" vertical="top"/>
    </xf>
    <xf numFmtId="0" fontId="0" fillId="0" borderId="0" xfId="0" applyFill="1" applyBorder="1" applyAlignment="1">
      <alignment horizontal="left" vertical="top"/>
    </xf>
    <xf numFmtId="0" fontId="1" fillId="0" borderId="0" xfId="0" applyFont="1" applyFill="1" applyBorder="1" applyAlignment="1">
      <alignment horizontal="left" vertical="top" wrapText="1"/>
    </xf>
    <xf numFmtId="0" fontId="10" fillId="0" borderId="10" xfId="0" applyFont="1" applyFill="1" applyBorder="1" applyAlignment="1">
      <alignment horizontal="left" vertical="top" wrapText="1"/>
    </xf>
    <xf numFmtId="0" fontId="1" fillId="0" borderId="11" xfId="0" applyFont="1" applyFill="1" applyBorder="1" applyAlignment="1">
      <alignment horizontal="left" vertical="top" wrapText="1"/>
    </xf>
    <xf numFmtId="3" fontId="3" fillId="0" borderId="17" xfId="0" applyNumberFormat="1" applyFont="1" applyFill="1" applyBorder="1" applyAlignment="1">
      <alignment horizontal="center" vertical="top" wrapText="1"/>
    </xf>
    <xf numFmtId="3" fontId="3" fillId="0" borderId="18" xfId="0" applyNumberFormat="1" applyFont="1" applyFill="1" applyBorder="1" applyAlignment="1">
      <alignment horizontal="center" vertical="top" wrapText="1"/>
    </xf>
    <xf numFmtId="3" fontId="3" fillId="0" borderId="19" xfId="0" applyNumberFormat="1" applyFont="1" applyFill="1" applyBorder="1" applyAlignment="1">
      <alignment horizontal="center" vertical="top" wrapText="1"/>
    </xf>
    <xf numFmtId="3" fontId="2" fillId="0" borderId="17" xfId="0" applyNumberFormat="1" applyFont="1" applyFill="1" applyBorder="1" applyAlignment="1">
      <alignment horizontal="center" vertical="top" wrapText="1"/>
    </xf>
    <xf numFmtId="3" fontId="2" fillId="0" borderId="18" xfId="0" applyNumberFormat="1" applyFont="1" applyFill="1" applyBorder="1" applyAlignment="1">
      <alignment horizontal="center" vertical="top" wrapText="1"/>
    </xf>
    <xf numFmtId="3" fontId="2" fillId="0" borderId="19" xfId="0" applyNumberFormat="1" applyFont="1" applyFill="1" applyBorder="1" applyAlignment="1">
      <alignment horizontal="center" vertical="top" wrapText="1"/>
    </xf>
    <xf numFmtId="0" fontId="11" fillId="0" borderId="44" xfId="0" applyFont="1" applyFill="1" applyBorder="1" applyAlignment="1">
      <alignment horizontal="left" vertical="top" wrapText="1"/>
    </xf>
    <xf numFmtId="0" fontId="1" fillId="3" borderId="39" xfId="0" applyFont="1" applyFill="1" applyBorder="1" applyAlignment="1">
      <alignment horizontal="center" vertical="top" wrapText="1"/>
    </xf>
    <xf numFmtId="0" fontId="1" fillId="3" borderId="40" xfId="0" applyFont="1" applyFill="1" applyBorder="1" applyAlignment="1">
      <alignment horizontal="center" vertical="top" wrapText="1"/>
    </xf>
    <xf numFmtId="0" fontId="1" fillId="3" borderId="41" xfId="0" applyFont="1" applyFill="1" applyBorder="1" applyAlignment="1">
      <alignment horizontal="center" vertical="top" wrapText="1"/>
    </xf>
    <xf numFmtId="0" fontId="16" fillId="0" borderId="17" xfId="0" applyFont="1" applyFill="1" applyBorder="1" applyAlignment="1">
      <alignment horizontal="center"/>
    </xf>
    <xf numFmtId="0" fontId="16" fillId="0" borderId="19" xfId="0" applyFont="1" applyFill="1" applyBorder="1" applyAlignment="1">
      <alignment horizontal="center"/>
    </xf>
    <xf numFmtId="0" fontId="1" fillId="3" borderId="6" xfId="0" applyFont="1" applyFill="1" applyBorder="1" applyAlignment="1">
      <alignment horizontal="left" vertical="top" wrapText="1"/>
    </xf>
    <xf numFmtId="0" fontId="1" fillId="3" borderId="7" xfId="0" applyFont="1" applyFill="1" applyBorder="1" applyAlignment="1">
      <alignment horizontal="left" vertical="top" wrapText="1"/>
    </xf>
    <xf numFmtId="0" fontId="1" fillId="3" borderId="8" xfId="0" applyFont="1" applyFill="1" applyBorder="1" applyAlignment="1">
      <alignment horizontal="left" vertical="top" wrapText="1"/>
    </xf>
    <xf numFmtId="0" fontId="1" fillId="3" borderId="9" xfId="0" applyFont="1" applyFill="1" applyBorder="1" applyAlignment="1">
      <alignment horizontal="left" vertical="top" wrapText="1"/>
    </xf>
    <xf numFmtId="0" fontId="10" fillId="0" borderId="15" xfId="0" applyFont="1" applyFill="1" applyBorder="1" applyAlignment="1">
      <alignment horizontal="left" vertical="top" wrapText="1"/>
    </xf>
    <xf numFmtId="0" fontId="1" fillId="0" borderId="16" xfId="0" applyFont="1" applyFill="1" applyBorder="1" applyAlignment="1">
      <alignment horizontal="left" vertical="top" wrapText="1"/>
    </xf>
    <xf numFmtId="0" fontId="11" fillId="0" borderId="1" xfId="0" applyFont="1" applyFill="1" applyBorder="1" applyAlignment="1">
      <alignment horizontal="left" vertical="top" wrapText="1"/>
    </xf>
    <xf numFmtId="0" fontId="11" fillId="0" borderId="2" xfId="0" applyFont="1" applyFill="1" applyBorder="1" applyAlignment="1">
      <alignment horizontal="left" vertical="top" wrapText="1"/>
    </xf>
    <xf numFmtId="0" fontId="11" fillId="0" borderId="3" xfId="0" applyFont="1" applyFill="1" applyBorder="1" applyAlignment="1">
      <alignment horizontal="left" vertical="top" wrapText="1"/>
    </xf>
    <xf numFmtId="0" fontId="10" fillId="3" borderId="7" xfId="0" applyFont="1" applyFill="1" applyBorder="1" applyAlignment="1">
      <alignment horizontal="left" vertical="top" wrapText="1"/>
    </xf>
    <xf numFmtId="0" fontId="1" fillId="0" borderId="17" xfId="0" applyFont="1" applyFill="1" applyBorder="1" applyAlignment="1">
      <alignment horizontal="left" vertical="top" wrapText="1"/>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3" fontId="3" fillId="0" borderId="8" xfId="0" applyNumberFormat="1" applyFont="1" applyFill="1" applyBorder="1" applyAlignment="1">
      <alignment horizontal="center" vertical="top" wrapText="1"/>
    </xf>
    <xf numFmtId="3" fontId="3" fillId="0" borderId="9" xfId="0" applyNumberFormat="1" applyFont="1" applyFill="1" applyBorder="1" applyAlignment="1">
      <alignment horizontal="center" vertical="top" wrapText="1"/>
    </xf>
    <xf numFmtId="3" fontId="3" fillId="0" borderId="21" xfId="0" applyNumberFormat="1" applyFont="1" applyFill="1" applyBorder="1" applyAlignment="1">
      <alignment horizontal="center" vertical="top" wrapText="1"/>
    </xf>
    <xf numFmtId="0" fontId="1" fillId="0" borderId="12" xfId="0" applyFont="1" applyFill="1" applyBorder="1" applyAlignment="1">
      <alignment horizontal="left" vertical="top" wrapText="1"/>
    </xf>
    <xf numFmtId="0" fontId="10" fillId="0" borderId="12" xfId="0" applyFont="1" applyFill="1" applyBorder="1" applyAlignment="1">
      <alignment horizontal="left" vertical="top" wrapText="1"/>
    </xf>
    <xf numFmtId="0" fontId="10" fillId="2" borderId="10" xfId="0" applyFont="1" applyFill="1" applyBorder="1" applyAlignment="1">
      <alignment horizontal="left" vertical="top" wrapText="1"/>
    </xf>
    <xf numFmtId="0" fontId="1" fillId="2" borderId="11" xfId="0" applyFont="1" applyFill="1" applyBorder="1" applyAlignment="1">
      <alignment horizontal="left" vertical="top" wrapText="1"/>
    </xf>
    <xf numFmtId="0" fontId="10" fillId="0" borderId="11" xfId="0" applyFont="1" applyFill="1" applyBorder="1" applyAlignment="1">
      <alignment horizontal="left" vertical="top" wrapText="1"/>
    </xf>
    <xf numFmtId="0" fontId="10" fillId="2" borderId="11" xfId="0" applyFont="1" applyFill="1" applyBorder="1" applyAlignment="1">
      <alignment horizontal="left" vertical="top" wrapText="1"/>
    </xf>
    <xf numFmtId="168" fontId="1" fillId="0" borderId="8" xfId="0" applyNumberFormat="1" applyFont="1" applyFill="1" applyBorder="1" applyAlignment="1">
      <alignment horizontal="center" vertical="top" wrapText="1"/>
    </xf>
    <xf numFmtId="168" fontId="1" fillId="0" borderId="9" xfId="0" applyNumberFormat="1" applyFont="1" applyFill="1" applyBorder="1" applyAlignment="1">
      <alignment horizontal="center" vertical="top" wrapText="1"/>
    </xf>
    <xf numFmtId="168" fontId="1" fillId="0" borderId="21" xfId="0" applyNumberFormat="1" applyFont="1" applyFill="1" applyBorder="1" applyAlignment="1">
      <alignment horizontal="center" vertical="top" wrapText="1"/>
    </xf>
    <xf numFmtId="0" fontId="21" fillId="0" borderId="0" xfId="0" applyFont="1" applyFill="1" applyBorder="1" applyAlignment="1">
      <alignment horizontal="left" vertical="top" wrapText="1"/>
    </xf>
    <xf numFmtId="0" fontId="8" fillId="0" borderId="0" xfId="0" applyFont="1" applyFill="1" applyBorder="1" applyAlignment="1">
      <alignment vertical="center" wrapText="1"/>
    </xf>
    <xf numFmtId="0" fontId="8" fillId="0" borderId="38" xfId="0" applyFont="1" applyFill="1" applyBorder="1" applyAlignment="1">
      <alignment horizontal="left" vertical="center" wrapText="1"/>
    </xf>
    <xf numFmtId="0" fontId="8" fillId="0" borderId="0" xfId="0" applyFont="1" applyFill="1" applyBorder="1" applyAlignment="1">
      <alignment horizontal="left" vertical="center" wrapText="1"/>
    </xf>
  </cellXfs>
  <cellStyles count="3">
    <cellStyle name="Currency" xfId="1" builtinId="4"/>
    <cellStyle name="Normal" xfId="0" builtinId="0"/>
    <cellStyle name="Normal 2" xfId="2" xr:uid="{B3911D53-BE48-4841-8381-7EA81A2D294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5F171-129A-4D60-812A-E6B7F9D4F4DE}">
  <dimension ref="A1:R30"/>
  <sheetViews>
    <sheetView topLeftCell="A4" workbookViewId="0">
      <selection activeCell="I19" sqref="I19:I24"/>
    </sheetView>
  </sheetViews>
  <sheetFormatPr defaultColWidth="9.33203125" defaultRowHeight="12.75" x14ac:dyDescent="0.2"/>
  <cols>
    <col min="1" max="1" width="14.1640625" style="1" customWidth="1"/>
    <col min="2" max="2" width="13.83203125" style="1" customWidth="1"/>
    <col min="3" max="3" width="15.5" style="1" customWidth="1"/>
    <col min="4" max="4" width="23" style="1" customWidth="1"/>
    <col min="5" max="6" width="18.6640625" style="1" customWidth="1"/>
    <col min="7" max="7" width="16.6640625" style="1" customWidth="1"/>
    <col min="8" max="8" width="17.33203125" style="1" customWidth="1"/>
    <col min="9" max="9" width="20" style="1" customWidth="1"/>
    <col min="10" max="16384" width="9.33203125" style="1"/>
  </cols>
  <sheetData>
    <row r="1" spans="1:18" x14ac:dyDescent="0.2">
      <c r="A1" s="67" t="s">
        <v>68</v>
      </c>
      <c r="B1" s="68"/>
      <c r="C1" s="68"/>
      <c r="D1" s="68"/>
      <c r="E1" s="68"/>
      <c r="F1" s="68"/>
    </row>
    <row r="2" spans="1:18" x14ac:dyDescent="0.2">
      <c r="A2" s="68"/>
      <c r="B2" s="68"/>
      <c r="C2" s="68"/>
      <c r="D2" s="68"/>
      <c r="E2" s="68"/>
      <c r="F2" s="68"/>
    </row>
    <row r="3" spans="1:18" x14ac:dyDescent="0.2">
      <c r="A3" s="115" t="s">
        <v>70</v>
      </c>
      <c r="B3" s="116"/>
      <c r="C3" s="116"/>
      <c r="D3" s="116"/>
      <c r="E3" s="116"/>
      <c r="F3" s="117"/>
    </row>
    <row r="4" spans="1:18" ht="24" customHeight="1" x14ac:dyDescent="0.2">
      <c r="A4" s="69"/>
      <c r="B4" s="118" t="s">
        <v>50</v>
      </c>
      <c r="C4" s="119"/>
      <c r="D4" s="70" t="s">
        <v>51</v>
      </c>
      <c r="E4" s="118"/>
      <c r="F4" s="119"/>
    </row>
    <row r="5" spans="1:18" x14ac:dyDescent="0.2">
      <c r="A5" s="71"/>
      <c r="B5" s="72" t="s">
        <v>17</v>
      </c>
      <c r="C5" s="72" t="s">
        <v>18</v>
      </c>
      <c r="D5" s="72" t="s">
        <v>19</v>
      </c>
      <c r="E5" s="72" t="s">
        <v>20</v>
      </c>
      <c r="F5" s="72" t="s">
        <v>52</v>
      </c>
    </row>
    <row r="6" spans="1:18" ht="53.25" customHeight="1" x14ac:dyDescent="0.2">
      <c r="A6" s="72" t="s">
        <v>53</v>
      </c>
      <c r="B6" s="72" t="s">
        <v>54</v>
      </c>
      <c r="C6" s="72" t="s">
        <v>55</v>
      </c>
      <c r="D6" s="73" t="s">
        <v>56</v>
      </c>
      <c r="E6" s="72" t="s">
        <v>57</v>
      </c>
      <c r="F6" s="72" t="s">
        <v>58</v>
      </c>
      <c r="J6" s="122"/>
      <c r="K6" s="122"/>
      <c r="L6" s="122"/>
      <c r="M6" s="122"/>
      <c r="N6" s="122"/>
      <c r="O6" s="122"/>
      <c r="P6" s="122"/>
      <c r="Q6" s="122"/>
      <c r="R6" s="122"/>
    </row>
    <row r="7" spans="1:18" x14ac:dyDescent="0.2">
      <c r="A7" s="74">
        <v>1</v>
      </c>
      <c r="B7" s="75">
        <v>0</v>
      </c>
      <c r="C7" s="75">
        <f>7+32+11</f>
        <v>50</v>
      </c>
      <c r="D7" s="75">
        <v>0</v>
      </c>
      <c r="E7" s="75">
        <v>0</v>
      </c>
      <c r="F7" s="75">
        <f>B7+C7+D7-E7</f>
        <v>50</v>
      </c>
    </row>
    <row r="8" spans="1:18" x14ac:dyDescent="0.2">
      <c r="A8" s="74">
        <v>2</v>
      </c>
      <c r="B8" s="75">
        <v>0</v>
      </c>
      <c r="C8" s="75">
        <f t="shared" ref="C8:C9" si="0">7+32+11</f>
        <v>50</v>
      </c>
      <c r="D8" s="75">
        <v>0</v>
      </c>
      <c r="E8" s="75">
        <v>0</v>
      </c>
      <c r="F8" s="75">
        <f>B8+C8+D8-E8</f>
        <v>50</v>
      </c>
    </row>
    <row r="9" spans="1:18" x14ac:dyDescent="0.2">
      <c r="A9" s="74">
        <v>3</v>
      </c>
      <c r="B9" s="75">
        <v>0</v>
      </c>
      <c r="C9" s="75">
        <f t="shared" si="0"/>
        <v>50</v>
      </c>
      <c r="D9" s="75">
        <v>0</v>
      </c>
      <c r="E9" s="75">
        <v>0</v>
      </c>
      <c r="F9" s="75">
        <f>B9+C9+D9-E9</f>
        <v>50</v>
      </c>
    </row>
    <row r="10" spans="1:18" x14ac:dyDescent="0.2">
      <c r="A10" s="74" t="s">
        <v>59</v>
      </c>
      <c r="B10" s="75">
        <f>AVERAGE(B7:B9)</f>
        <v>0</v>
      </c>
      <c r="C10" s="75">
        <f>AVERAGE(C7:C9)</f>
        <v>50</v>
      </c>
      <c r="D10" s="75">
        <v>0</v>
      </c>
      <c r="E10" s="76">
        <f t="shared" ref="E10" si="1">AVERAGE(E7:E9)</f>
        <v>0</v>
      </c>
      <c r="F10" s="76">
        <f>AVERAGE(F7:F9)</f>
        <v>50</v>
      </c>
    </row>
    <row r="11" spans="1:18" x14ac:dyDescent="0.2">
      <c r="A11" s="67"/>
      <c r="B11" s="68"/>
      <c r="C11" s="68"/>
      <c r="D11" s="68"/>
      <c r="E11" s="68"/>
      <c r="F11" s="68"/>
    </row>
    <row r="12" spans="1:18" ht="15" customHeight="1" x14ac:dyDescent="0.2">
      <c r="A12" s="67" t="s">
        <v>76</v>
      </c>
      <c r="B12" s="68"/>
      <c r="C12" s="68"/>
      <c r="D12" s="68"/>
      <c r="E12" s="68"/>
      <c r="F12" s="68"/>
    </row>
    <row r="13" spans="1:18" ht="43.5" customHeight="1" x14ac:dyDescent="0.2">
      <c r="A13" s="121" t="s">
        <v>150</v>
      </c>
      <c r="B13" s="121"/>
      <c r="C13" s="121"/>
      <c r="D13" s="121"/>
      <c r="E13" s="121"/>
      <c r="F13" s="121"/>
      <c r="G13" s="17"/>
    </row>
    <row r="14" spans="1:18" ht="14.25" customHeight="1" x14ac:dyDescent="0.2"/>
    <row r="15" spans="1:18" ht="14.25" customHeight="1" x14ac:dyDescent="0.2">
      <c r="A15" s="127" t="s">
        <v>77</v>
      </c>
      <c r="B15" s="127"/>
      <c r="C15" s="127"/>
      <c r="D15" s="127"/>
      <c r="E15" s="127"/>
      <c r="F15" s="127"/>
      <c r="G15" s="127"/>
      <c r="H15" s="127"/>
    </row>
    <row r="16" spans="1:18" ht="14.25" customHeight="1" x14ac:dyDescent="0.2">
      <c r="A16" s="108" t="s">
        <v>78</v>
      </c>
      <c r="B16" s="120" t="s">
        <v>122</v>
      </c>
      <c r="C16" s="120"/>
      <c r="D16" s="120"/>
      <c r="E16" s="123" t="s">
        <v>123</v>
      </c>
      <c r="F16" s="124"/>
      <c r="G16" s="124"/>
      <c r="H16" s="125" t="s">
        <v>142</v>
      </c>
    </row>
    <row r="17" spans="1:9" ht="29.25" customHeight="1" x14ac:dyDescent="0.2">
      <c r="A17" s="3"/>
      <c r="B17" s="96" t="s">
        <v>92</v>
      </c>
      <c r="C17" s="96" t="s">
        <v>93</v>
      </c>
      <c r="D17" s="96" t="s">
        <v>79</v>
      </c>
      <c r="E17" s="112" t="str">
        <f>B17</f>
        <v xml:space="preserve">Wood Stove </v>
      </c>
      <c r="F17" s="112" t="str">
        <f t="shared" ref="F17" si="2">C17</f>
        <v>Forced Air Furnace</v>
      </c>
      <c r="G17" s="95" t="str">
        <f>D17</f>
        <v>Hydronic Heater</v>
      </c>
      <c r="H17" s="126"/>
    </row>
    <row r="18" spans="1:9" ht="14.25" customHeight="1" x14ac:dyDescent="0.2">
      <c r="A18" s="3" t="s">
        <v>94</v>
      </c>
      <c r="B18" s="97" t="s">
        <v>80</v>
      </c>
      <c r="C18" s="97" t="s">
        <v>80</v>
      </c>
      <c r="D18" s="97" t="s">
        <v>80</v>
      </c>
      <c r="E18" s="97" t="s">
        <v>80</v>
      </c>
      <c r="F18" s="97" t="s">
        <v>80</v>
      </c>
      <c r="G18" s="97" t="s">
        <v>80</v>
      </c>
      <c r="H18" s="98">
        <v>44962</v>
      </c>
    </row>
    <row r="19" spans="1:9" x14ac:dyDescent="0.2">
      <c r="A19" s="2" t="s">
        <v>81</v>
      </c>
      <c r="B19" s="97" t="s">
        <v>80</v>
      </c>
      <c r="C19" s="97" t="s">
        <v>80</v>
      </c>
      <c r="D19" s="97" t="s">
        <v>80</v>
      </c>
      <c r="E19" s="97" t="s">
        <v>80</v>
      </c>
      <c r="F19" s="97" t="s">
        <v>80</v>
      </c>
      <c r="G19" s="97" t="s">
        <v>80</v>
      </c>
      <c r="H19" s="98">
        <v>44134</v>
      </c>
      <c r="I19" s="17" t="s">
        <v>178</v>
      </c>
    </row>
    <row r="20" spans="1:9" x14ac:dyDescent="0.2">
      <c r="A20" s="2" t="s">
        <v>82</v>
      </c>
      <c r="B20" s="97" t="s">
        <v>80</v>
      </c>
      <c r="C20" s="97" t="s">
        <v>80</v>
      </c>
      <c r="D20" s="97" t="s">
        <v>80</v>
      </c>
      <c r="E20" s="97" t="s">
        <v>80</v>
      </c>
      <c r="F20" s="97" t="s">
        <v>80</v>
      </c>
      <c r="G20" s="97" t="s">
        <v>80</v>
      </c>
      <c r="H20" s="98">
        <v>44112</v>
      </c>
      <c r="I20" s="17" t="s">
        <v>178</v>
      </c>
    </row>
    <row r="21" spans="1:9" x14ac:dyDescent="0.2">
      <c r="A21" s="2" t="s">
        <v>83</v>
      </c>
      <c r="B21" s="97" t="s">
        <v>80</v>
      </c>
      <c r="C21" s="97" t="s">
        <v>80</v>
      </c>
      <c r="D21" s="97" t="s">
        <v>80</v>
      </c>
      <c r="E21" s="97" t="s">
        <v>84</v>
      </c>
      <c r="F21" s="97" t="s">
        <v>84</v>
      </c>
      <c r="G21" s="97" t="s">
        <v>84</v>
      </c>
      <c r="H21" s="98">
        <v>44134</v>
      </c>
      <c r="I21" s="17" t="s">
        <v>179</v>
      </c>
    </row>
    <row r="22" spans="1:9" x14ac:dyDescent="0.2">
      <c r="A22" s="2" t="s">
        <v>85</v>
      </c>
      <c r="B22" s="97" t="s">
        <v>84</v>
      </c>
      <c r="C22" s="97" t="s">
        <v>84</v>
      </c>
      <c r="D22" s="97" t="s">
        <v>84</v>
      </c>
      <c r="E22" s="97" t="s">
        <v>80</v>
      </c>
      <c r="F22" s="97" t="s">
        <v>80</v>
      </c>
      <c r="G22" s="97" t="s">
        <v>80</v>
      </c>
      <c r="H22" s="98">
        <v>44139</v>
      </c>
      <c r="I22" s="17" t="s">
        <v>180</v>
      </c>
    </row>
    <row r="23" spans="1:9" x14ac:dyDescent="0.2">
      <c r="A23" s="2" t="s">
        <v>86</v>
      </c>
      <c r="B23" s="97" t="s">
        <v>84</v>
      </c>
      <c r="C23" s="97" t="s">
        <v>84</v>
      </c>
      <c r="D23" s="97" t="s">
        <v>84</v>
      </c>
      <c r="E23" s="97" t="s">
        <v>80</v>
      </c>
      <c r="F23" s="97" t="s">
        <v>80</v>
      </c>
      <c r="G23" s="97" t="s">
        <v>80</v>
      </c>
      <c r="H23" s="98">
        <v>44138</v>
      </c>
      <c r="I23" s="17" t="s">
        <v>180</v>
      </c>
    </row>
    <row r="24" spans="1:9" x14ac:dyDescent="0.2">
      <c r="A24" s="2" t="s">
        <v>87</v>
      </c>
      <c r="B24" s="97" t="s">
        <v>84</v>
      </c>
      <c r="C24" s="97" t="s">
        <v>84</v>
      </c>
      <c r="D24" s="97" t="s">
        <v>84</v>
      </c>
      <c r="E24" s="97" t="s">
        <v>80</v>
      </c>
      <c r="F24" s="97" t="s">
        <v>80</v>
      </c>
      <c r="G24" s="97" t="s">
        <v>80</v>
      </c>
      <c r="H24" s="98">
        <v>44147</v>
      </c>
      <c r="I24" s="17" t="s">
        <v>180</v>
      </c>
    </row>
    <row r="25" spans="1:9" ht="51" x14ac:dyDescent="0.2">
      <c r="A25" s="3" t="s">
        <v>88</v>
      </c>
      <c r="B25" s="97" t="s">
        <v>80</v>
      </c>
      <c r="C25" s="97" t="s">
        <v>80</v>
      </c>
      <c r="D25" s="97" t="s">
        <v>80</v>
      </c>
      <c r="E25" s="97" t="s">
        <v>80</v>
      </c>
      <c r="F25" s="97" t="s">
        <v>80</v>
      </c>
      <c r="G25" s="97" t="s">
        <v>80</v>
      </c>
      <c r="H25" s="98">
        <v>44879</v>
      </c>
    </row>
    <row r="26" spans="1:9" x14ac:dyDescent="0.2">
      <c r="A26" s="2" t="s">
        <v>89</v>
      </c>
      <c r="B26" s="97" t="s">
        <v>80</v>
      </c>
      <c r="C26" s="97" t="s">
        <v>80</v>
      </c>
      <c r="D26" s="97" t="s">
        <v>80</v>
      </c>
      <c r="E26" s="97" t="s">
        <v>84</v>
      </c>
      <c r="F26" s="97" t="s">
        <v>84</v>
      </c>
      <c r="G26" s="97" t="s">
        <v>84</v>
      </c>
      <c r="H26" s="98">
        <v>44507</v>
      </c>
    </row>
    <row r="27" spans="1:9" x14ac:dyDescent="0.2">
      <c r="A27" s="2" t="s">
        <v>90</v>
      </c>
      <c r="B27" s="97" t="s">
        <v>80</v>
      </c>
      <c r="C27" s="97" t="s">
        <v>80</v>
      </c>
      <c r="D27" s="97" t="s">
        <v>80</v>
      </c>
      <c r="E27" s="97" t="s">
        <v>80</v>
      </c>
      <c r="F27" s="97" t="s">
        <v>80</v>
      </c>
      <c r="G27" s="97" t="s">
        <v>80</v>
      </c>
      <c r="H27" s="98">
        <v>44668</v>
      </c>
    </row>
    <row r="28" spans="1:9" ht="38.25" x14ac:dyDescent="0.2">
      <c r="A28" s="3" t="s">
        <v>91</v>
      </c>
      <c r="B28" s="97" t="s">
        <v>80</v>
      </c>
      <c r="C28" s="97" t="s">
        <v>80</v>
      </c>
      <c r="D28" s="97" t="s">
        <v>80</v>
      </c>
      <c r="E28" s="97" t="s">
        <v>84</v>
      </c>
      <c r="F28" s="97" t="s">
        <v>84</v>
      </c>
      <c r="G28" s="97" t="s">
        <v>84</v>
      </c>
      <c r="H28" s="98">
        <v>44887</v>
      </c>
    </row>
    <row r="29" spans="1:9" ht="41.25" customHeight="1" x14ac:dyDescent="0.2">
      <c r="A29" s="128" t="s">
        <v>95</v>
      </c>
      <c r="B29" s="128"/>
      <c r="C29" s="128"/>
      <c r="D29" s="128"/>
      <c r="E29" s="128"/>
      <c r="F29" s="128"/>
      <c r="G29" s="128"/>
      <c r="H29" s="128"/>
    </row>
    <row r="30" spans="1:9" ht="39.75" customHeight="1" x14ac:dyDescent="0.2"/>
  </sheetData>
  <mergeCells count="10">
    <mergeCell ref="J6:R6"/>
    <mergeCell ref="E16:G16"/>
    <mergeCell ref="H16:H17"/>
    <mergeCell ref="A15:H15"/>
    <mergeCell ref="A29:H29"/>
    <mergeCell ref="A3:F3"/>
    <mergeCell ref="B4:C4"/>
    <mergeCell ref="E4:F4"/>
    <mergeCell ref="B16:D16"/>
    <mergeCell ref="A13:F1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99AE2B-8E4B-490A-A2B3-7F20C03AFA82}">
  <dimension ref="A1:K50"/>
  <sheetViews>
    <sheetView tabSelected="1" topLeftCell="A9" zoomScale="112" zoomScaleNormal="112" workbookViewId="0">
      <selection activeCell="B20" sqref="B20"/>
    </sheetView>
  </sheetViews>
  <sheetFormatPr defaultRowHeight="12.75" x14ac:dyDescent="0.2"/>
  <cols>
    <col min="1" max="1" width="46.5" customWidth="1"/>
    <col min="2" max="2" width="14.1640625" customWidth="1"/>
    <col min="3" max="3" width="13.1640625" customWidth="1"/>
    <col min="4" max="4" width="30.1640625" customWidth="1"/>
    <col min="5" max="5" width="15" customWidth="1"/>
    <col min="10" max="10" width="18.1640625" customWidth="1"/>
    <col min="11" max="11" width="3.83203125" customWidth="1"/>
  </cols>
  <sheetData>
    <row r="1" spans="1:5" x14ac:dyDescent="0.2">
      <c r="A1" s="67" t="s">
        <v>68</v>
      </c>
      <c r="B1" s="68"/>
      <c r="C1" s="68"/>
      <c r="D1" s="68"/>
      <c r="E1" s="68"/>
    </row>
    <row r="2" spans="1:5" x14ac:dyDescent="0.2">
      <c r="A2" s="77"/>
      <c r="B2" s="77"/>
      <c r="C2" s="77"/>
      <c r="D2" s="77"/>
      <c r="E2" s="77"/>
    </row>
    <row r="3" spans="1:5" x14ac:dyDescent="0.2">
      <c r="A3" s="130" t="s">
        <v>146</v>
      </c>
      <c r="B3" s="130"/>
      <c r="C3" s="130"/>
      <c r="D3" s="130"/>
      <c r="E3" s="130"/>
    </row>
    <row r="4" spans="1:5" x14ac:dyDescent="0.2">
      <c r="A4" s="86" t="s">
        <v>17</v>
      </c>
      <c r="B4" s="79" t="s">
        <v>18</v>
      </c>
      <c r="C4" s="78" t="s">
        <v>19</v>
      </c>
      <c r="D4" s="79" t="s">
        <v>20</v>
      </c>
      <c r="E4" s="86" t="s">
        <v>52</v>
      </c>
    </row>
    <row r="5" spans="1:5" ht="47.25" customHeight="1" x14ac:dyDescent="0.2">
      <c r="A5" s="80" t="s">
        <v>60</v>
      </c>
      <c r="B5" s="86" t="s">
        <v>61</v>
      </c>
      <c r="C5" s="86" t="s">
        <v>62</v>
      </c>
      <c r="D5" s="86" t="s">
        <v>63</v>
      </c>
      <c r="E5" s="80" t="s">
        <v>64</v>
      </c>
    </row>
    <row r="6" spans="1:5" ht="15.75" customHeight="1" x14ac:dyDescent="0.2">
      <c r="A6" s="87" t="s">
        <v>1</v>
      </c>
      <c r="B6" s="79"/>
      <c r="C6" s="80"/>
      <c r="D6" s="79"/>
      <c r="E6" s="80"/>
    </row>
    <row r="7" spans="1:5" ht="15" customHeight="1" x14ac:dyDescent="0.2">
      <c r="A7" s="88" t="s">
        <v>152</v>
      </c>
      <c r="B7" s="99">
        <f>7+32</f>
        <v>39</v>
      </c>
      <c r="C7" s="101">
        <f>(((127+19)/3)/B7)</f>
        <v>1.2478632478632479</v>
      </c>
      <c r="D7" s="86" t="s">
        <v>65</v>
      </c>
      <c r="E7" s="92">
        <f>B7*C7</f>
        <v>48.666666666666664</v>
      </c>
    </row>
    <row r="8" spans="1:5" ht="14.25" customHeight="1" x14ac:dyDescent="0.2">
      <c r="A8" s="89" t="s">
        <v>153</v>
      </c>
      <c r="B8" s="99">
        <f>7+32</f>
        <v>39</v>
      </c>
      <c r="C8" s="101">
        <f>((127+19)/3)/B8</f>
        <v>1.2478632478632479</v>
      </c>
      <c r="D8" s="86" t="s">
        <v>65</v>
      </c>
      <c r="E8" s="92">
        <f>B8*C8</f>
        <v>48.666666666666664</v>
      </c>
    </row>
    <row r="9" spans="1:5" ht="14.25" customHeight="1" x14ac:dyDescent="0.2">
      <c r="A9" s="88" t="s">
        <v>154</v>
      </c>
      <c r="B9" s="99">
        <f>7+32</f>
        <v>39</v>
      </c>
      <c r="C9" s="91">
        <f>(127+19)*(0.5)/B9</f>
        <v>1.8717948717948718</v>
      </c>
      <c r="D9" s="82" t="s">
        <v>65</v>
      </c>
      <c r="E9" s="75">
        <f>B9*C9</f>
        <v>73</v>
      </c>
    </row>
    <row r="10" spans="1:5" ht="14.25" customHeight="1" x14ac:dyDescent="0.2">
      <c r="A10" s="88" t="s">
        <v>158</v>
      </c>
      <c r="B10" s="86">
        <v>1</v>
      </c>
      <c r="C10" s="101">
        <v>0.33300000000000002</v>
      </c>
      <c r="D10" s="82" t="s">
        <v>65</v>
      </c>
      <c r="E10" s="75">
        <f t="shared" ref="E10:E13" si="0">B10*C10</f>
        <v>0.33300000000000002</v>
      </c>
    </row>
    <row r="11" spans="1:5" ht="14.25" customHeight="1" x14ac:dyDescent="0.2">
      <c r="A11" s="88" t="s">
        <v>159</v>
      </c>
      <c r="B11" s="99">
        <f t="shared" ref="B11:B13" si="1">7+32</f>
        <v>39</v>
      </c>
      <c r="C11" s="101">
        <v>0.33300000000000002</v>
      </c>
      <c r="D11" s="82" t="s">
        <v>65</v>
      </c>
      <c r="E11" s="75">
        <f t="shared" si="0"/>
        <v>12.987</v>
      </c>
    </row>
    <row r="12" spans="1:5" ht="14.25" customHeight="1" x14ac:dyDescent="0.2">
      <c r="A12" s="88" t="s">
        <v>160</v>
      </c>
      <c r="B12" s="99">
        <v>8</v>
      </c>
      <c r="C12" s="101">
        <f>(39)*(3/8)/3</f>
        <v>4.875</v>
      </c>
      <c r="D12" s="82" t="s">
        <v>65</v>
      </c>
      <c r="E12" s="75">
        <f t="shared" si="0"/>
        <v>39</v>
      </c>
    </row>
    <row r="13" spans="1:5" ht="14.25" customHeight="1" x14ac:dyDescent="0.2">
      <c r="A13" s="88" t="s">
        <v>162</v>
      </c>
      <c r="B13" s="99">
        <f t="shared" si="1"/>
        <v>39</v>
      </c>
      <c r="C13" s="101">
        <f>1/3</f>
        <v>0.33333333333333331</v>
      </c>
      <c r="D13" s="82" t="s">
        <v>65</v>
      </c>
      <c r="E13" s="75">
        <f t="shared" si="0"/>
        <v>13</v>
      </c>
    </row>
    <row r="14" spans="1:5" ht="27" customHeight="1" x14ac:dyDescent="0.2">
      <c r="A14" s="90" t="s">
        <v>2</v>
      </c>
      <c r="B14" s="86"/>
      <c r="C14" s="86"/>
      <c r="D14" s="86"/>
      <c r="E14" s="75"/>
    </row>
    <row r="15" spans="1:5" ht="24.75" customHeight="1" x14ac:dyDescent="0.2">
      <c r="A15" s="88" t="s">
        <v>163</v>
      </c>
      <c r="B15" s="99">
        <v>5</v>
      </c>
      <c r="C15" s="99">
        <v>0</v>
      </c>
      <c r="D15" s="82" t="s">
        <v>65</v>
      </c>
      <c r="E15" s="100">
        <f t="shared" ref="E15:E20" si="2">B15*C15</f>
        <v>0</v>
      </c>
    </row>
    <row r="16" spans="1:5" ht="24.75" customHeight="1" x14ac:dyDescent="0.2">
      <c r="A16" s="88" t="s">
        <v>164</v>
      </c>
      <c r="B16" s="99">
        <v>3</v>
      </c>
      <c r="C16" s="99">
        <v>1</v>
      </c>
      <c r="D16" s="82" t="s">
        <v>65</v>
      </c>
      <c r="E16" s="100">
        <f t="shared" si="2"/>
        <v>3</v>
      </c>
    </row>
    <row r="17" spans="1:11" ht="24.75" customHeight="1" x14ac:dyDescent="0.2">
      <c r="A17" s="88" t="s">
        <v>165</v>
      </c>
      <c r="B17" s="99">
        <v>8</v>
      </c>
      <c r="C17" s="91">
        <v>0.5</v>
      </c>
      <c r="D17" s="86" t="s">
        <v>65</v>
      </c>
      <c r="E17" s="100">
        <f t="shared" si="2"/>
        <v>4</v>
      </c>
    </row>
    <row r="18" spans="1:11" ht="14.25" customHeight="1" x14ac:dyDescent="0.2">
      <c r="A18" s="81" t="s">
        <v>69</v>
      </c>
      <c r="B18" s="99"/>
      <c r="C18" s="86"/>
      <c r="D18" s="86"/>
      <c r="E18" s="100"/>
    </row>
    <row r="19" spans="1:11" ht="30" customHeight="1" x14ac:dyDescent="0.2">
      <c r="A19" s="88" t="s">
        <v>166</v>
      </c>
      <c r="B19" s="99">
        <v>3</v>
      </c>
      <c r="C19" s="99">
        <v>0</v>
      </c>
      <c r="D19" s="86" t="s">
        <v>65</v>
      </c>
      <c r="E19" s="100">
        <f t="shared" si="2"/>
        <v>0</v>
      </c>
    </row>
    <row r="20" spans="1:11" ht="30" customHeight="1" x14ac:dyDescent="0.2">
      <c r="A20" s="88" t="s">
        <v>167</v>
      </c>
      <c r="B20" s="99">
        <v>5</v>
      </c>
      <c r="C20" s="99">
        <v>1</v>
      </c>
      <c r="D20" s="86" t="s">
        <v>65</v>
      </c>
      <c r="E20" s="100">
        <f t="shared" si="2"/>
        <v>5</v>
      </c>
    </row>
    <row r="21" spans="1:11" ht="30" customHeight="1" x14ac:dyDescent="0.2">
      <c r="A21" s="88" t="s">
        <v>168</v>
      </c>
      <c r="B21" s="99">
        <v>8</v>
      </c>
      <c r="C21" s="99">
        <f>(B7*C7+B12*C12+B20*C20)/B21</f>
        <v>11.583333333333332</v>
      </c>
      <c r="D21" s="94" t="s">
        <v>65</v>
      </c>
      <c r="E21" s="100">
        <f>E12</f>
        <v>39</v>
      </c>
      <c r="F21" s="107"/>
      <c r="G21" s="107"/>
      <c r="H21" s="107"/>
      <c r="I21" s="107"/>
      <c r="J21" s="107"/>
    </row>
    <row r="22" spans="1:11" x14ac:dyDescent="0.2">
      <c r="A22" s="131"/>
      <c r="B22" s="131"/>
      <c r="C22" s="131"/>
      <c r="D22" s="83" t="s">
        <v>66</v>
      </c>
      <c r="E22" s="84">
        <f>SUM(E7:E21)</f>
        <v>286.65333333333331</v>
      </c>
    </row>
    <row r="23" spans="1:11" x14ac:dyDescent="0.2">
      <c r="A23" s="68"/>
      <c r="B23" s="68"/>
      <c r="C23" s="68"/>
      <c r="D23" s="68"/>
      <c r="E23" s="68"/>
    </row>
    <row r="24" spans="1:11" x14ac:dyDescent="0.2">
      <c r="A24" s="68"/>
      <c r="B24" s="68"/>
      <c r="C24" s="68"/>
      <c r="D24" s="85" t="s">
        <v>67</v>
      </c>
      <c r="E24" s="114">
        <f>'Table 1 - Respondent Burden'!F33/E22</f>
        <v>14.896041676357042</v>
      </c>
    </row>
    <row r="25" spans="1:11" x14ac:dyDescent="0.2">
      <c r="A25" t="s">
        <v>141</v>
      </c>
    </row>
    <row r="26" spans="1:11" ht="28.5" customHeight="1" x14ac:dyDescent="0.2">
      <c r="A26" s="134" t="s">
        <v>151</v>
      </c>
      <c r="B26" s="129"/>
      <c r="C26" s="129"/>
      <c r="D26" s="129"/>
      <c r="E26" s="129"/>
    </row>
    <row r="27" spans="1:11" ht="26.25" customHeight="1" x14ac:dyDescent="0.2">
      <c r="A27" s="134" t="s">
        <v>171</v>
      </c>
      <c r="B27" s="129"/>
      <c r="C27" s="129"/>
      <c r="D27" s="129"/>
      <c r="E27" s="129"/>
      <c r="K27" s="1"/>
    </row>
    <row r="28" spans="1:11" x14ac:dyDescent="0.2">
      <c r="A28" s="132" t="s">
        <v>155</v>
      </c>
      <c r="B28" s="133"/>
      <c r="C28" s="133"/>
      <c r="D28" s="133"/>
      <c r="E28" s="133"/>
    </row>
    <row r="29" spans="1:11" x14ac:dyDescent="0.2">
      <c r="A29" s="132" t="s">
        <v>156</v>
      </c>
      <c r="B29" s="133"/>
      <c r="C29" s="133"/>
      <c r="D29" s="133"/>
      <c r="E29" s="133"/>
    </row>
    <row r="30" spans="1:11" x14ac:dyDescent="0.2">
      <c r="A30" s="132" t="s">
        <v>157</v>
      </c>
      <c r="B30" s="133"/>
      <c r="C30" s="133"/>
      <c r="D30" s="133"/>
      <c r="E30" s="133"/>
    </row>
    <row r="31" spans="1:11" ht="38.25" customHeight="1" x14ac:dyDescent="0.2">
      <c r="A31" s="134" t="s">
        <v>175</v>
      </c>
      <c r="B31" s="129"/>
      <c r="C31" s="129"/>
      <c r="D31" s="129"/>
      <c r="E31" s="129"/>
    </row>
    <row r="32" spans="1:11" x14ac:dyDescent="0.2">
      <c r="A32" s="132" t="s">
        <v>161</v>
      </c>
      <c r="B32" s="133"/>
      <c r="C32" s="133"/>
      <c r="D32" s="133"/>
      <c r="E32" s="133"/>
    </row>
    <row r="33" spans="1:5" x14ac:dyDescent="0.2">
      <c r="A33" s="134" t="s">
        <v>181</v>
      </c>
      <c r="B33" s="129"/>
      <c r="C33" s="129"/>
      <c r="D33" s="129"/>
      <c r="E33" s="129"/>
    </row>
    <row r="34" spans="1:5" x14ac:dyDescent="0.2">
      <c r="A34" s="132" t="s">
        <v>169</v>
      </c>
      <c r="B34" s="133"/>
      <c r="C34" s="133"/>
      <c r="D34" s="133"/>
      <c r="E34" s="133"/>
    </row>
    <row r="35" spans="1:5" x14ac:dyDescent="0.2">
      <c r="A35" s="134" t="s">
        <v>182</v>
      </c>
      <c r="B35" s="129"/>
      <c r="C35" s="129"/>
      <c r="D35" s="129"/>
      <c r="E35" s="129"/>
    </row>
    <row r="36" spans="1:5" x14ac:dyDescent="0.2">
      <c r="A36" s="134" t="s">
        <v>170</v>
      </c>
      <c r="B36" s="129"/>
      <c r="C36" s="129"/>
      <c r="D36" s="129"/>
      <c r="E36" s="129"/>
    </row>
    <row r="37" spans="1:5" x14ac:dyDescent="0.2">
      <c r="A37" s="129"/>
      <c r="B37" s="129"/>
      <c r="C37" s="129"/>
      <c r="D37" s="129"/>
      <c r="E37" s="129"/>
    </row>
    <row r="38" spans="1:5" x14ac:dyDescent="0.2">
      <c r="A38" s="102"/>
    </row>
    <row r="47" spans="1:5" x14ac:dyDescent="0.2">
      <c r="A47" s="1"/>
    </row>
    <row r="48" spans="1:5" x14ac:dyDescent="0.2">
      <c r="A48" s="1"/>
    </row>
    <row r="49" spans="1:1" x14ac:dyDescent="0.2">
      <c r="A49" s="1"/>
    </row>
    <row r="50" spans="1:1" x14ac:dyDescent="0.2">
      <c r="A50" s="1"/>
    </row>
  </sheetData>
  <mergeCells count="14">
    <mergeCell ref="A37:E37"/>
    <mergeCell ref="A3:E3"/>
    <mergeCell ref="A22:C22"/>
    <mergeCell ref="A29:E29"/>
    <mergeCell ref="A30:E30"/>
    <mergeCell ref="A31:E31"/>
    <mergeCell ref="A32:E32"/>
    <mergeCell ref="A33:E33"/>
    <mergeCell ref="A34:E34"/>
    <mergeCell ref="A27:E27"/>
    <mergeCell ref="A28:E28"/>
    <mergeCell ref="A26:E26"/>
    <mergeCell ref="A35:E35"/>
    <mergeCell ref="A36:E36"/>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56"/>
  <sheetViews>
    <sheetView topLeftCell="B13" zoomScale="96" zoomScaleNormal="96" workbookViewId="0">
      <selection activeCell="E15" sqref="E15"/>
    </sheetView>
  </sheetViews>
  <sheetFormatPr defaultColWidth="9.33203125" defaultRowHeight="12.75" x14ac:dyDescent="0.2"/>
  <cols>
    <col min="1" max="1" width="58.83203125" style="1" customWidth="1"/>
    <col min="2" max="2" width="13.6640625" style="1" customWidth="1"/>
    <col min="3" max="3" width="21.5" style="1" customWidth="1"/>
    <col min="4" max="4" width="16.5" style="1" customWidth="1"/>
    <col min="5" max="5" width="14.5" style="1" customWidth="1"/>
    <col min="6" max="6" width="16.1640625" style="1" customWidth="1"/>
    <col min="7" max="7" width="15.6640625" style="1" customWidth="1"/>
    <col min="8" max="8" width="16" style="1" customWidth="1"/>
    <col min="9" max="9" width="20.33203125" style="1" customWidth="1"/>
    <col min="10" max="10" width="8.6640625" style="1" customWidth="1"/>
    <col min="11" max="11" width="13.6640625" style="1" customWidth="1"/>
    <col min="12" max="12" width="11.6640625" style="1" customWidth="1"/>
    <col min="13" max="16384" width="9.33203125" style="1"/>
  </cols>
  <sheetData>
    <row r="1" spans="1:13" x14ac:dyDescent="0.2">
      <c r="A1" s="155" t="s">
        <v>148</v>
      </c>
      <c r="B1" s="156"/>
      <c r="C1" s="156"/>
      <c r="D1" s="156"/>
      <c r="E1" s="156"/>
      <c r="F1" s="156"/>
      <c r="G1" s="156"/>
      <c r="H1" s="156"/>
      <c r="I1" s="157"/>
    </row>
    <row r="2" spans="1:13" ht="54" customHeight="1" x14ac:dyDescent="0.2">
      <c r="A2" s="24" t="s">
        <v>149</v>
      </c>
      <c r="B2" s="25" t="s">
        <v>9</v>
      </c>
      <c r="C2" s="25" t="s">
        <v>16</v>
      </c>
      <c r="D2" s="25" t="s">
        <v>14</v>
      </c>
      <c r="E2" s="25" t="s">
        <v>15</v>
      </c>
      <c r="F2" s="25" t="s">
        <v>32</v>
      </c>
      <c r="G2" s="25" t="s">
        <v>37</v>
      </c>
      <c r="H2" s="25" t="s">
        <v>38</v>
      </c>
      <c r="I2" s="25" t="s">
        <v>39</v>
      </c>
    </row>
    <row r="3" spans="1:13" x14ac:dyDescent="0.2">
      <c r="A3" s="22" t="s">
        <v>0</v>
      </c>
      <c r="B3" s="23"/>
      <c r="C3" s="23"/>
      <c r="D3" s="23"/>
      <c r="E3" s="23"/>
      <c r="F3" s="23"/>
      <c r="G3" s="23"/>
      <c r="H3" s="23"/>
      <c r="I3" s="23"/>
    </row>
    <row r="4" spans="1:13" x14ac:dyDescent="0.2">
      <c r="A4" s="26" t="s">
        <v>1</v>
      </c>
      <c r="B4" s="149"/>
      <c r="C4" s="150"/>
      <c r="D4" s="150"/>
      <c r="E4" s="150"/>
      <c r="F4" s="150"/>
      <c r="G4" s="150"/>
      <c r="H4" s="150"/>
      <c r="I4" s="150"/>
    </row>
    <row r="5" spans="1:13" ht="15.75" x14ac:dyDescent="0.2">
      <c r="A5" s="58" t="s">
        <v>40</v>
      </c>
      <c r="B5" s="29">
        <v>2</v>
      </c>
      <c r="C5" s="27">
        <f>'#Responses'!C7</f>
        <v>1.2478632478632479</v>
      </c>
      <c r="D5" s="29">
        <f>B5*C5</f>
        <v>2.4957264957264957</v>
      </c>
      <c r="E5" s="29">
        <f>'#Responses'!B7</f>
        <v>39</v>
      </c>
      <c r="F5" s="28">
        <f>D5*E5</f>
        <v>97.333333333333329</v>
      </c>
      <c r="G5" s="28">
        <f>F5*0.05</f>
        <v>4.8666666666666671</v>
      </c>
      <c r="H5" s="28">
        <f>F5*0.1</f>
        <v>9.7333333333333343</v>
      </c>
      <c r="I5" s="20">
        <f>+(F5*$L$8)+(G5*$L$7)+(H5*$L$9)</f>
        <v>12750.082666666667</v>
      </c>
    </row>
    <row r="6" spans="1:13" ht="15.75" x14ac:dyDescent="0.25">
      <c r="A6" s="58" t="s">
        <v>96</v>
      </c>
      <c r="B6" s="29">
        <v>8</v>
      </c>
      <c r="C6" s="27">
        <f>'#Responses'!C8</f>
        <v>1.2478632478632479</v>
      </c>
      <c r="D6" s="29">
        <f t="shared" ref="D6:D10" si="0">B6*C6</f>
        <v>9.982905982905983</v>
      </c>
      <c r="E6" s="29">
        <f>'#Responses'!B8</f>
        <v>39</v>
      </c>
      <c r="F6" s="28">
        <f t="shared" ref="F6:F10" si="1">D6*E6</f>
        <v>389.33333333333331</v>
      </c>
      <c r="G6" s="28">
        <f t="shared" ref="G6:G11" si="2">F6*0.05</f>
        <v>19.466666666666669</v>
      </c>
      <c r="H6" s="28">
        <f t="shared" ref="H6:H11" si="3">F6*0.1</f>
        <v>38.933333333333337</v>
      </c>
      <c r="I6" s="20">
        <f t="shared" ref="I6:I11" si="4">+(F6*$L$8)+(G6*$L$7)+(H6*$L$9)</f>
        <v>51000.330666666669</v>
      </c>
      <c r="K6" s="147" t="s">
        <v>42</v>
      </c>
      <c r="L6" s="148"/>
      <c r="M6" s="48" t="s">
        <v>43</v>
      </c>
    </row>
    <row r="7" spans="1:13" ht="15.75" x14ac:dyDescent="0.25">
      <c r="A7" s="58" t="s">
        <v>98</v>
      </c>
      <c r="B7" s="29">
        <v>2</v>
      </c>
      <c r="C7" s="28">
        <f>'#Responses'!C9</f>
        <v>1.8717948717948718</v>
      </c>
      <c r="D7" s="29">
        <f>B7*C7</f>
        <v>3.7435897435897436</v>
      </c>
      <c r="E7" s="29">
        <f>'#Responses'!B9</f>
        <v>39</v>
      </c>
      <c r="F7" s="28">
        <f>D7*E7</f>
        <v>146</v>
      </c>
      <c r="G7" s="28">
        <f t="shared" si="2"/>
        <v>7.3000000000000007</v>
      </c>
      <c r="H7" s="28">
        <f t="shared" si="3"/>
        <v>14.600000000000001</v>
      </c>
      <c r="I7" s="20">
        <f t="shared" si="4"/>
        <v>19125.124</v>
      </c>
      <c r="K7" s="49" t="s">
        <v>44</v>
      </c>
      <c r="L7" s="52">
        <v>147.4</v>
      </c>
      <c r="M7" s="50" t="s">
        <v>47</v>
      </c>
    </row>
    <row r="8" spans="1:13" ht="15.75" x14ac:dyDescent="0.25">
      <c r="A8" s="58" t="s">
        <v>99</v>
      </c>
      <c r="B8" s="29">
        <v>8</v>
      </c>
      <c r="C8" s="27">
        <f>'#Responses'!C10</f>
        <v>0.33300000000000002</v>
      </c>
      <c r="D8" s="28">
        <f>B8*C8</f>
        <v>2.6640000000000001</v>
      </c>
      <c r="E8" s="29">
        <f>'#Responses'!B10</f>
        <v>1</v>
      </c>
      <c r="F8" s="28">
        <f t="shared" si="1"/>
        <v>2.6640000000000001</v>
      </c>
      <c r="G8" s="28">
        <f t="shared" si="2"/>
        <v>0.13320000000000001</v>
      </c>
      <c r="H8" s="28">
        <f t="shared" si="3"/>
        <v>0.26640000000000003</v>
      </c>
      <c r="I8" s="20">
        <f t="shared" si="4"/>
        <v>348.96801600000003</v>
      </c>
      <c r="K8" s="49" t="s">
        <v>12</v>
      </c>
      <c r="L8" s="52">
        <v>117.92</v>
      </c>
      <c r="M8" s="50" t="s">
        <v>47</v>
      </c>
    </row>
    <row r="9" spans="1:13" ht="15.75" x14ac:dyDescent="0.25">
      <c r="A9" s="58" t="s">
        <v>101</v>
      </c>
      <c r="B9" s="29">
        <v>2</v>
      </c>
      <c r="C9" s="27">
        <f>'#Responses'!C11</f>
        <v>0.33300000000000002</v>
      </c>
      <c r="D9" s="29">
        <f t="shared" si="0"/>
        <v>0.66600000000000004</v>
      </c>
      <c r="E9" s="29">
        <f>'#Responses'!B11</f>
        <v>39</v>
      </c>
      <c r="F9" s="28">
        <f t="shared" si="1"/>
        <v>25.974</v>
      </c>
      <c r="G9" s="28">
        <f t="shared" si="2"/>
        <v>1.2987000000000002</v>
      </c>
      <c r="H9" s="28">
        <f t="shared" si="3"/>
        <v>2.5974000000000004</v>
      </c>
      <c r="I9" s="20">
        <f t="shared" si="4"/>
        <v>3402.4381559999997</v>
      </c>
      <c r="K9" s="51" t="s">
        <v>13</v>
      </c>
      <c r="L9" s="53">
        <v>57.04</v>
      </c>
      <c r="M9" s="50" t="s">
        <v>47</v>
      </c>
    </row>
    <row r="10" spans="1:13" ht="15.75" x14ac:dyDescent="0.2">
      <c r="A10" s="58" t="s">
        <v>177</v>
      </c>
      <c r="B10" s="29">
        <v>20</v>
      </c>
      <c r="C10" s="27">
        <f>(39)*(3/8)/3</f>
        <v>4.875</v>
      </c>
      <c r="D10" s="28">
        <f t="shared" si="0"/>
        <v>97.5</v>
      </c>
      <c r="E10" s="29">
        <v>8</v>
      </c>
      <c r="F10" s="28">
        <f t="shared" si="1"/>
        <v>780</v>
      </c>
      <c r="G10" s="28">
        <f t="shared" si="2"/>
        <v>39</v>
      </c>
      <c r="H10" s="28">
        <f t="shared" si="3"/>
        <v>78</v>
      </c>
      <c r="I10" s="20">
        <f t="shared" si="4"/>
        <v>102175.32</v>
      </c>
    </row>
    <row r="11" spans="1:13" ht="15.75" x14ac:dyDescent="0.2">
      <c r="A11" s="58" t="s">
        <v>102</v>
      </c>
      <c r="B11" s="29">
        <v>4</v>
      </c>
      <c r="C11" s="27">
        <f>'#Responses'!C13</f>
        <v>0.33333333333333331</v>
      </c>
      <c r="D11" s="28">
        <f>B11*C11</f>
        <v>1.3333333333333333</v>
      </c>
      <c r="E11" s="29">
        <f>'#Responses'!B13</f>
        <v>39</v>
      </c>
      <c r="F11" s="28">
        <f>D11*E11</f>
        <v>52</v>
      </c>
      <c r="G11" s="28">
        <f t="shared" si="2"/>
        <v>2.6</v>
      </c>
      <c r="H11" s="28">
        <f t="shared" si="3"/>
        <v>5.2</v>
      </c>
      <c r="I11" s="20">
        <f t="shared" si="4"/>
        <v>6811.6880000000001</v>
      </c>
    </row>
    <row r="12" spans="1:13" x14ac:dyDescent="0.2">
      <c r="A12" s="30" t="s">
        <v>2</v>
      </c>
      <c r="B12" s="158"/>
      <c r="C12" s="158"/>
      <c r="D12" s="158"/>
      <c r="E12" s="158"/>
      <c r="F12" s="158"/>
      <c r="G12" s="158"/>
      <c r="H12" s="158"/>
      <c r="I12" s="158"/>
    </row>
    <row r="13" spans="1:13" ht="15.75" x14ac:dyDescent="0.2">
      <c r="A13" s="58" t="s">
        <v>103</v>
      </c>
      <c r="B13" s="23"/>
      <c r="C13" s="23"/>
      <c r="D13" s="23"/>
      <c r="E13" s="23"/>
      <c r="F13" s="23"/>
      <c r="G13" s="23"/>
      <c r="H13" s="23"/>
      <c r="I13" s="31"/>
    </row>
    <row r="14" spans="1:13" x14ac:dyDescent="0.2">
      <c r="A14" s="61" t="s">
        <v>3</v>
      </c>
      <c r="B14" s="29">
        <v>20</v>
      </c>
      <c r="C14" s="29">
        <f>'#Responses'!C15</f>
        <v>0</v>
      </c>
      <c r="D14" s="29">
        <f>B14*C14</f>
        <v>0</v>
      </c>
      <c r="E14" s="29">
        <f>'#Responses'!B15</f>
        <v>5</v>
      </c>
      <c r="F14" s="28">
        <f>D14*E14</f>
        <v>0</v>
      </c>
      <c r="G14" s="28">
        <f>F14*0.05</f>
        <v>0</v>
      </c>
      <c r="H14" s="28">
        <f>F14*0.1</f>
        <v>0</v>
      </c>
      <c r="I14" s="21">
        <f>+(F14*$L$8)+(G14*$L$7)+(H14*$L$9)</f>
        <v>0</v>
      </c>
      <c r="K14" s="17"/>
    </row>
    <row r="15" spans="1:13" x14ac:dyDescent="0.2">
      <c r="A15" s="61" t="s">
        <v>4</v>
      </c>
      <c r="B15" s="29">
        <v>80</v>
      </c>
      <c r="C15" s="29">
        <f>'#Responses'!C16</f>
        <v>1</v>
      </c>
      <c r="D15" s="29">
        <f>B15*C15</f>
        <v>80</v>
      </c>
      <c r="E15" s="29">
        <f>'#Responses'!B16</f>
        <v>3</v>
      </c>
      <c r="F15" s="28">
        <f t="shared" ref="F15" si="5">D15*E15</f>
        <v>240</v>
      </c>
      <c r="G15" s="28">
        <f t="shared" ref="G15:G16" si="6">F15*0.05</f>
        <v>12</v>
      </c>
      <c r="H15" s="28">
        <f t="shared" ref="H15:H16" si="7">F15*0.1</f>
        <v>24</v>
      </c>
      <c r="I15" s="21">
        <f>+(F15*$L$8)+(G15*$L$7)+(H15*$L$9)</f>
        <v>31438.559999999998</v>
      </c>
    </row>
    <row r="16" spans="1:13" ht="15.75" customHeight="1" x14ac:dyDescent="0.2">
      <c r="A16" s="58" t="s">
        <v>104</v>
      </c>
      <c r="B16" s="29">
        <v>150</v>
      </c>
      <c r="C16" s="28">
        <f>'#Responses'!C17</f>
        <v>0.5</v>
      </c>
      <c r="D16" s="29">
        <f>B16*C16</f>
        <v>75</v>
      </c>
      <c r="E16" s="29">
        <f>'#Responses'!B17</f>
        <v>8</v>
      </c>
      <c r="F16" s="28">
        <f>D16*E16</f>
        <v>600</v>
      </c>
      <c r="G16" s="28">
        <f t="shared" si="6"/>
        <v>30</v>
      </c>
      <c r="H16" s="28">
        <f t="shared" si="7"/>
        <v>60</v>
      </c>
      <c r="I16" s="20">
        <f>+(F16*$L$8)+(G16*$L$7)+(H16*$L$9)</f>
        <v>78596.399999999994</v>
      </c>
    </row>
    <row r="17" spans="1:11" x14ac:dyDescent="0.2">
      <c r="A17" s="26" t="s">
        <v>5</v>
      </c>
      <c r="B17" s="149"/>
      <c r="C17" s="150"/>
      <c r="D17" s="150"/>
      <c r="E17" s="150"/>
      <c r="F17" s="150"/>
      <c r="G17" s="150"/>
      <c r="H17" s="150"/>
      <c r="I17" s="150"/>
      <c r="K17" s="17"/>
    </row>
    <row r="18" spans="1:11" ht="18" customHeight="1" x14ac:dyDescent="0.2">
      <c r="A18" s="58" t="s">
        <v>105</v>
      </c>
      <c r="B18" s="23"/>
      <c r="C18" s="23"/>
      <c r="D18" s="23"/>
      <c r="E18" s="23"/>
      <c r="F18" s="23"/>
      <c r="G18" s="23"/>
      <c r="H18" s="23"/>
      <c r="I18" s="32"/>
    </row>
    <row r="19" spans="1:11" x14ac:dyDescent="0.2">
      <c r="A19" s="61" t="s">
        <v>3</v>
      </c>
      <c r="B19" s="29">
        <v>20</v>
      </c>
      <c r="C19" s="29">
        <f>'#Responses'!C19</f>
        <v>0</v>
      </c>
      <c r="D19" s="29">
        <f>B19*C19</f>
        <v>0</v>
      </c>
      <c r="E19" s="29">
        <f>'#Responses'!B19</f>
        <v>3</v>
      </c>
      <c r="F19" s="28">
        <f>D19*E19</f>
        <v>0</v>
      </c>
      <c r="G19" s="28">
        <f>F19*0.05</f>
        <v>0</v>
      </c>
      <c r="H19" s="28">
        <f>F19*0.1</f>
        <v>0</v>
      </c>
      <c r="I19" s="21">
        <f>+(F19*$L$8)+(G19*$L$7)+(H19*$L$9)</f>
        <v>0</v>
      </c>
      <c r="K19" s="93"/>
    </row>
    <row r="20" spans="1:11" x14ac:dyDescent="0.2">
      <c r="A20" s="61" t="s">
        <v>4</v>
      </c>
      <c r="B20" s="103">
        <v>80</v>
      </c>
      <c r="C20" s="103">
        <f>'#Responses'!C20</f>
        <v>1</v>
      </c>
      <c r="D20" s="103">
        <f>B20*C20</f>
        <v>80</v>
      </c>
      <c r="E20" s="103">
        <f>'#Responses'!B20</f>
        <v>5</v>
      </c>
      <c r="F20" s="28">
        <f>D20*E20</f>
        <v>400</v>
      </c>
      <c r="G20" s="28">
        <f>F20*0.05</f>
        <v>20</v>
      </c>
      <c r="H20" s="28">
        <f>F20*0.1</f>
        <v>40</v>
      </c>
      <c r="I20" s="21">
        <f>+(F20*$L$8)+(G20*$L$7)+(H20*$L$9)</f>
        <v>52397.599999999999</v>
      </c>
      <c r="K20" s="93"/>
    </row>
    <row r="21" spans="1:11" ht="15.75" x14ac:dyDescent="0.2">
      <c r="A21" s="60" t="s">
        <v>106</v>
      </c>
      <c r="B21" s="37">
        <v>2</v>
      </c>
      <c r="C21" s="37">
        <f>(C5*E5+C10*E10+C20*E20)/8</f>
        <v>11.583333333333332</v>
      </c>
      <c r="D21" s="37">
        <f>B21*C21</f>
        <v>23.166666666666664</v>
      </c>
      <c r="E21" s="37">
        <f>'#Responses'!B21</f>
        <v>8</v>
      </c>
      <c r="F21" s="28">
        <f>D21*E21</f>
        <v>185.33333333333331</v>
      </c>
      <c r="G21" s="28">
        <f>F21*0.05</f>
        <v>9.2666666666666657</v>
      </c>
      <c r="H21" s="28">
        <f>F21*0.1</f>
        <v>18.533333333333331</v>
      </c>
      <c r="I21" s="21">
        <f>+(F21*$L$8)+(G21*$L$7)+(H21*$L$9)</f>
        <v>24277.554666666663</v>
      </c>
      <c r="J21" s="17" t="s">
        <v>187</v>
      </c>
      <c r="K21" s="93"/>
    </row>
    <row r="22" spans="1:11" ht="13.5" x14ac:dyDescent="0.2">
      <c r="A22" s="33" t="s">
        <v>6</v>
      </c>
      <c r="B22" s="104"/>
      <c r="C22" s="105"/>
      <c r="D22" s="105"/>
      <c r="E22" s="106"/>
      <c r="F22" s="162">
        <f>SUM(F5:H21)</f>
        <v>3356.4337</v>
      </c>
      <c r="G22" s="163"/>
      <c r="H22" s="164"/>
      <c r="I22" s="62">
        <f>SUM(I5:I11,I14:I16,I19:I21)</f>
        <v>382324.06617199996</v>
      </c>
    </row>
    <row r="23" spans="1:11" x14ac:dyDescent="0.2">
      <c r="A23" s="44" t="s">
        <v>7</v>
      </c>
      <c r="B23" s="159"/>
      <c r="C23" s="160"/>
      <c r="D23" s="160"/>
      <c r="E23" s="160"/>
      <c r="F23" s="160"/>
      <c r="G23" s="160"/>
      <c r="H23" s="160"/>
      <c r="I23" s="161"/>
    </row>
    <row r="24" spans="1:11" x14ac:dyDescent="0.2">
      <c r="A24" s="57" t="s">
        <v>1</v>
      </c>
      <c r="B24" s="144"/>
      <c r="C24" s="145"/>
      <c r="D24" s="145"/>
      <c r="E24" s="145"/>
      <c r="F24" s="145"/>
      <c r="G24" s="145"/>
      <c r="H24" s="145"/>
      <c r="I24" s="146"/>
    </row>
    <row r="25" spans="1:11" ht="15.75" x14ac:dyDescent="0.2">
      <c r="A25" s="58" t="s">
        <v>107</v>
      </c>
      <c r="B25" s="29">
        <v>1</v>
      </c>
      <c r="C25" s="27">
        <f>C5</f>
        <v>1.2478632478632479</v>
      </c>
      <c r="D25" s="29">
        <f>B25*C25</f>
        <v>1.2478632478632479</v>
      </c>
      <c r="E25" s="29">
        <f>E5</f>
        <v>39</v>
      </c>
      <c r="F25" s="28">
        <f>D25*E25</f>
        <v>48.666666666666664</v>
      </c>
      <c r="G25" s="28">
        <f>F25*0.05</f>
        <v>2.4333333333333336</v>
      </c>
      <c r="H25" s="28">
        <f>F25*0.1</f>
        <v>4.8666666666666671</v>
      </c>
      <c r="I25" s="20">
        <f>+(F25*$L$8)+(G25*$L$7)+(H25*$L$9)</f>
        <v>6375.0413333333336</v>
      </c>
    </row>
    <row r="26" spans="1:11" ht="15.75" x14ac:dyDescent="0.2">
      <c r="A26" s="58" t="s">
        <v>188</v>
      </c>
      <c r="B26" s="29">
        <v>2</v>
      </c>
      <c r="C26" s="29">
        <v>4</v>
      </c>
      <c r="D26" s="29">
        <f t="shared" ref="D26" si="8">B26*C26</f>
        <v>8</v>
      </c>
      <c r="E26" s="29">
        <v>39</v>
      </c>
      <c r="F26" s="28">
        <f>D26*E26</f>
        <v>312</v>
      </c>
      <c r="G26" s="28">
        <f t="shared" ref="G26" si="9">F26*0.05</f>
        <v>15.600000000000001</v>
      </c>
      <c r="H26" s="28">
        <f t="shared" ref="H26" si="10">F26*0.1</f>
        <v>31.200000000000003</v>
      </c>
      <c r="I26" s="20">
        <f>+(F26*$L$8)+(G26*$L$7)+(H26*$L$9)</f>
        <v>40870.128000000004</v>
      </c>
    </row>
    <row r="27" spans="1:11" ht="15.75" x14ac:dyDescent="0.2">
      <c r="A27" s="58" t="s">
        <v>108</v>
      </c>
      <c r="B27" s="29">
        <v>1</v>
      </c>
      <c r="C27" s="27">
        <f>C6</f>
        <v>1.2478632478632479</v>
      </c>
      <c r="D27" s="29">
        <f>B27*C27</f>
        <v>1.2478632478632479</v>
      </c>
      <c r="E27" s="29">
        <f>E6</f>
        <v>39</v>
      </c>
      <c r="F27" s="28">
        <f>D27*E27</f>
        <v>48.666666666666664</v>
      </c>
      <c r="G27" s="28">
        <f>F27*0.05</f>
        <v>2.4333333333333336</v>
      </c>
      <c r="H27" s="28">
        <f>F27*0.1</f>
        <v>4.8666666666666671</v>
      </c>
      <c r="I27" s="20">
        <f>+(F27*$L$8)+(G27*$L$7)+(H27*$L$9)</f>
        <v>6375.0413333333336</v>
      </c>
    </row>
    <row r="28" spans="1:11" x14ac:dyDescent="0.2">
      <c r="A28" s="26" t="s">
        <v>2</v>
      </c>
      <c r="B28" s="149"/>
      <c r="C28" s="150"/>
      <c r="D28" s="150"/>
      <c r="E28" s="150"/>
      <c r="F28" s="150"/>
      <c r="G28" s="150"/>
      <c r="H28" s="150"/>
      <c r="I28" s="150"/>
    </row>
    <row r="29" spans="1:11" s="36" customFormat="1" ht="16.5" customHeight="1" x14ac:dyDescent="0.2">
      <c r="A29" s="59" t="s">
        <v>109</v>
      </c>
      <c r="B29" s="34">
        <v>2</v>
      </c>
      <c r="C29" s="34">
        <v>12</v>
      </c>
      <c r="D29" s="34">
        <f>B29*C29</f>
        <v>24</v>
      </c>
      <c r="E29" s="34">
        <f>E16</f>
        <v>8</v>
      </c>
      <c r="F29" s="28">
        <f>D29*E29</f>
        <v>192</v>
      </c>
      <c r="G29" s="28">
        <f>F29*0.05</f>
        <v>9.6000000000000014</v>
      </c>
      <c r="H29" s="28">
        <f>F29*0.1</f>
        <v>19.200000000000003</v>
      </c>
      <c r="I29" s="35">
        <f>+(F29*$L$8)+(G29*$L$7)+(H29*$L$9)</f>
        <v>25150.848000000002</v>
      </c>
    </row>
    <row r="30" spans="1:11" x14ac:dyDescent="0.2">
      <c r="A30" s="26" t="s">
        <v>5</v>
      </c>
      <c r="B30" s="151"/>
      <c r="C30" s="152"/>
      <c r="D30" s="152"/>
      <c r="E30" s="152"/>
      <c r="F30" s="152"/>
      <c r="G30" s="152"/>
      <c r="H30" s="152"/>
      <c r="I30" s="152"/>
    </row>
    <row r="31" spans="1:11" ht="18" customHeight="1" x14ac:dyDescent="0.2">
      <c r="A31" s="60" t="s">
        <v>110</v>
      </c>
      <c r="B31" s="37">
        <v>2</v>
      </c>
      <c r="C31" s="37">
        <v>12</v>
      </c>
      <c r="D31" s="34">
        <f>B31*C31</f>
        <v>24</v>
      </c>
      <c r="E31" s="37">
        <v>8</v>
      </c>
      <c r="F31" s="28">
        <f>D31*E31</f>
        <v>192</v>
      </c>
      <c r="G31" s="28">
        <f>F31*0.05</f>
        <v>9.6000000000000014</v>
      </c>
      <c r="H31" s="28">
        <f>F31*0.1</f>
        <v>19.200000000000003</v>
      </c>
      <c r="I31" s="38">
        <f>+(F31*$L$8)+(G31*$L$7)+(H31*$L$9)</f>
        <v>25150.848000000002</v>
      </c>
    </row>
    <row r="32" spans="1:11" ht="17.25" customHeight="1" x14ac:dyDescent="0.2">
      <c r="A32" s="39" t="s">
        <v>8</v>
      </c>
      <c r="B32" s="40"/>
      <c r="C32" s="40"/>
      <c r="D32" s="40"/>
      <c r="E32" s="40"/>
      <c r="F32" s="137">
        <f>ROUND(SUM(F25:H31),0)</f>
        <v>912</v>
      </c>
      <c r="G32" s="138"/>
      <c r="H32" s="139"/>
      <c r="I32" s="63">
        <f>ROUND(SUM(I25:I27,I29,I31),0)</f>
        <v>103922</v>
      </c>
    </row>
    <row r="33" spans="1:18" ht="19.5" customHeight="1" x14ac:dyDescent="0.2">
      <c r="A33" s="41" t="s">
        <v>111</v>
      </c>
      <c r="B33" s="42"/>
      <c r="C33" s="42"/>
      <c r="D33" s="42"/>
      <c r="E33" s="42"/>
      <c r="F33" s="140">
        <f>ROUND(SUM(F22,F32),-1)</f>
        <v>4270</v>
      </c>
      <c r="G33" s="141"/>
      <c r="H33" s="142"/>
      <c r="I33" s="43">
        <f>ROUND(+I22+I32,-3)</f>
        <v>486000</v>
      </c>
    </row>
    <row r="34" spans="1:18" ht="19.5" customHeight="1" x14ac:dyDescent="0.2">
      <c r="A34" s="44" t="s">
        <v>112</v>
      </c>
      <c r="B34" s="3"/>
      <c r="C34" s="3"/>
      <c r="D34" s="3"/>
      <c r="E34" s="3"/>
      <c r="F34" s="3"/>
      <c r="G34" s="3"/>
      <c r="H34" s="45"/>
      <c r="I34" s="46">
        <f>'Capital-Start-up'!D12</f>
        <v>4280000</v>
      </c>
    </row>
    <row r="35" spans="1:18" ht="15.75" x14ac:dyDescent="0.2">
      <c r="A35" s="44" t="s">
        <v>113</v>
      </c>
      <c r="B35" s="3"/>
      <c r="C35" s="3"/>
      <c r="D35" s="3"/>
      <c r="E35" s="3"/>
      <c r="F35" s="3"/>
      <c r="G35" s="3"/>
      <c r="H35" s="45"/>
      <c r="I35" s="46">
        <f>ROUND(SUM(I33:I34),-4)</f>
        <v>4770000</v>
      </c>
      <c r="L35" s="47"/>
    </row>
    <row r="36" spans="1:18" x14ac:dyDescent="0.2">
      <c r="A36" s="143" t="s">
        <v>49</v>
      </c>
      <c r="B36" s="143"/>
      <c r="C36" s="143"/>
      <c r="D36" s="143"/>
      <c r="E36" s="143"/>
      <c r="F36" s="143"/>
      <c r="G36" s="143"/>
      <c r="H36" s="143"/>
      <c r="I36" s="143"/>
    </row>
    <row r="37" spans="1:18" ht="16.5" customHeight="1" x14ac:dyDescent="0.2">
      <c r="A37" s="153" t="s">
        <v>36</v>
      </c>
      <c r="B37" s="154"/>
      <c r="C37" s="154"/>
      <c r="D37" s="154"/>
      <c r="E37" s="154"/>
      <c r="F37" s="154"/>
      <c r="G37" s="154"/>
      <c r="H37" s="154"/>
      <c r="I37" s="154"/>
    </row>
    <row r="38" spans="1:18" ht="46.5" customHeight="1" x14ac:dyDescent="0.2">
      <c r="A38" s="135" t="s">
        <v>46</v>
      </c>
      <c r="B38" s="136"/>
      <c r="C38" s="136"/>
      <c r="D38" s="136"/>
      <c r="E38" s="136"/>
      <c r="F38" s="136"/>
      <c r="G38" s="136"/>
      <c r="H38" s="136"/>
      <c r="I38" s="136"/>
    </row>
    <row r="39" spans="1:18" ht="33.75" customHeight="1" x14ac:dyDescent="0.2">
      <c r="A39" s="135" t="s">
        <v>174</v>
      </c>
      <c r="B39" s="136"/>
      <c r="C39" s="136"/>
      <c r="D39" s="136"/>
      <c r="E39" s="136"/>
      <c r="F39" s="136"/>
      <c r="G39" s="136"/>
      <c r="H39" s="136"/>
      <c r="I39" s="136"/>
    </row>
    <row r="40" spans="1:18" ht="18" customHeight="1" x14ac:dyDescent="0.2">
      <c r="A40" s="167" t="s">
        <v>97</v>
      </c>
      <c r="B40" s="168"/>
      <c r="C40" s="168"/>
      <c r="D40" s="168"/>
      <c r="E40" s="168"/>
      <c r="F40" s="168"/>
      <c r="G40" s="168"/>
      <c r="H40" s="168"/>
      <c r="I40" s="168"/>
    </row>
    <row r="41" spans="1:18" ht="18.75" customHeight="1" x14ac:dyDescent="0.2">
      <c r="A41" s="167" t="s">
        <v>143</v>
      </c>
      <c r="B41" s="168"/>
      <c r="C41" s="168"/>
      <c r="D41" s="168"/>
      <c r="E41" s="168"/>
      <c r="F41" s="168"/>
      <c r="G41" s="168"/>
      <c r="H41" s="168"/>
      <c r="I41" s="168"/>
    </row>
    <row r="42" spans="1:18" ht="19.5" customHeight="1" x14ac:dyDescent="0.2">
      <c r="A42" s="167" t="s">
        <v>100</v>
      </c>
      <c r="B42" s="170"/>
      <c r="C42" s="170"/>
      <c r="D42" s="170"/>
      <c r="E42" s="170"/>
      <c r="F42" s="170"/>
      <c r="G42" s="170"/>
      <c r="H42" s="170"/>
      <c r="I42" s="170"/>
    </row>
    <row r="43" spans="1:18" ht="29.25" customHeight="1" x14ac:dyDescent="0.2">
      <c r="A43" s="167" t="s">
        <v>176</v>
      </c>
      <c r="B43" s="170"/>
      <c r="C43" s="170"/>
      <c r="D43" s="170"/>
      <c r="E43" s="170"/>
      <c r="F43" s="170"/>
      <c r="G43" s="170"/>
      <c r="H43" s="170"/>
      <c r="I43" s="170"/>
    </row>
    <row r="44" spans="1:18" ht="32.1" customHeight="1" x14ac:dyDescent="0.2">
      <c r="A44" s="135" t="s">
        <v>191</v>
      </c>
      <c r="B44" s="136"/>
      <c r="C44" s="136"/>
      <c r="D44" s="136"/>
      <c r="E44" s="136"/>
      <c r="F44" s="136"/>
      <c r="G44" s="136"/>
      <c r="H44" s="136"/>
      <c r="I44" s="136"/>
    </row>
    <row r="45" spans="1:18" ht="21.75" customHeight="1" x14ac:dyDescent="0.2">
      <c r="A45" s="169" t="s">
        <v>190</v>
      </c>
      <c r="B45" s="169"/>
      <c r="C45" s="169"/>
      <c r="D45" s="169"/>
      <c r="E45" s="169"/>
      <c r="F45" s="169"/>
      <c r="G45" s="169"/>
      <c r="H45" s="169"/>
      <c r="I45" s="169"/>
    </row>
    <row r="46" spans="1:18" ht="19.5" customHeight="1" x14ac:dyDescent="0.2">
      <c r="A46" s="166" t="s">
        <v>192</v>
      </c>
      <c r="B46" s="166"/>
      <c r="C46" s="166"/>
      <c r="D46" s="166"/>
      <c r="E46" s="166"/>
      <c r="F46" s="166"/>
      <c r="G46" s="166"/>
      <c r="H46" s="166"/>
      <c r="I46" s="166"/>
      <c r="J46" s="166"/>
      <c r="K46" s="166"/>
      <c r="L46" s="166"/>
      <c r="M46" s="166"/>
      <c r="N46" s="166"/>
      <c r="O46" s="166"/>
      <c r="P46" s="166"/>
      <c r="Q46" s="166"/>
      <c r="R46" s="166"/>
    </row>
    <row r="47" spans="1:18" ht="20.25" customHeight="1" x14ac:dyDescent="0.2">
      <c r="A47" s="166" t="s">
        <v>185</v>
      </c>
      <c r="B47" s="166"/>
      <c r="C47" s="166"/>
      <c r="D47" s="166"/>
      <c r="E47" s="166"/>
      <c r="F47" s="166"/>
      <c r="G47" s="166"/>
      <c r="H47" s="166"/>
      <c r="I47" s="166"/>
      <c r="J47" s="166"/>
      <c r="K47" s="166"/>
      <c r="L47" s="166"/>
      <c r="M47" s="166"/>
      <c r="N47" s="166"/>
      <c r="O47" s="166"/>
      <c r="P47" s="166"/>
      <c r="Q47" s="166"/>
      <c r="R47" s="166"/>
    </row>
    <row r="48" spans="1:18" ht="18.75" customHeight="1" x14ac:dyDescent="0.2">
      <c r="A48" s="166" t="s">
        <v>114</v>
      </c>
      <c r="B48" s="166"/>
      <c r="C48" s="166"/>
      <c r="D48" s="166"/>
      <c r="E48" s="166"/>
      <c r="F48" s="166"/>
      <c r="G48" s="166"/>
      <c r="H48" s="166"/>
      <c r="I48" s="166"/>
    </row>
    <row r="49" spans="1:9" ht="18.75" customHeight="1" x14ac:dyDescent="0.2">
      <c r="A49" s="166" t="s">
        <v>189</v>
      </c>
      <c r="B49" s="166"/>
      <c r="C49" s="166"/>
      <c r="D49" s="166"/>
      <c r="E49" s="166"/>
      <c r="F49" s="166"/>
      <c r="G49" s="166"/>
      <c r="H49" s="166"/>
      <c r="I49" s="166"/>
    </row>
    <row r="50" spans="1:9" ht="18.75" customHeight="1" x14ac:dyDescent="0.2">
      <c r="A50" s="166" t="s">
        <v>186</v>
      </c>
      <c r="B50" s="166"/>
      <c r="C50" s="166"/>
      <c r="D50" s="166"/>
      <c r="E50" s="166"/>
      <c r="F50" s="166"/>
      <c r="G50" s="166"/>
      <c r="H50" s="166"/>
      <c r="I50" s="166"/>
    </row>
    <row r="51" spans="1:9" ht="18.75" customHeight="1" x14ac:dyDescent="0.2">
      <c r="A51" s="166" t="s">
        <v>116</v>
      </c>
      <c r="B51" s="166"/>
      <c r="C51" s="166"/>
      <c r="D51" s="166"/>
      <c r="E51" s="166"/>
      <c r="F51" s="166"/>
      <c r="G51" s="166"/>
      <c r="H51" s="166"/>
      <c r="I51" s="166"/>
    </row>
    <row r="52" spans="1:9" ht="21.75" customHeight="1" x14ac:dyDescent="0.2">
      <c r="A52" s="166" t="s">
        <v>117</v>
      </c>
      <c r="B52" s="166"/>
      <c r="C52" s="166"/>
      <c r="D52" s="166"/>
      <c r="E52" s="166"/>
      <c r="F52" s="166"/>
      <c r="G52" s="166"/>
      <c r="H52" s="166"/>
      <c r="I52" s="166"/>
    </row>
    <row r="53" spans="1:9" ht="18" customHeight="1" x14ac:dyDescent="0.2">
      <c r="A53" s="165" t="s">
        <v>115</v>
      </c>
      <c r="B53" s="166"/>
      <c r="C53" s="166"/>
      <c r="D53" s="166"/>
      <c r="E53" s="166"/>
      <c r="F53" s="166"/>
      <c r="G53" s="166"/>
      <c r="H53" s="166"/>
      <c r="I53" s="166"/>
    </row>
    <row r="54" spans="1:9" ht="19.5" customHeight="1" x14ac:dyDescent="0.2"/>
    <row r="55" spans="1:9" ht="18.75" customHeight="1" x14ac:dyDescent="0.2"/>
    <row r="56" spans="1:9" ht="17.100000000000001" customHeight="1" x14ac:dyDescent="0.2"/>
  </sheetData>
  <mergeCells count="32">
    <mergeCell ref="J46:R46"/>
    <mergeCell ref="J47:R47"/>
    <mergeCell ref="A40:I40"/>
    <mergeCell ref="A39:I39"/>
    <mergeCell ref="A45:I45"/>
    <mergeCell ref="A41:I41"/>
    <mergeCell ref="A42:I42"/>
    <mergeCell ref="A43:I43"/>
    <mergeCell ref="A44:I44"/>
    <mergeCell ref="A53:I53"/>
    <mergeCell ref="A46:I46"/>
    <mergeCell ref="A47:I47"/>
    <mergeCell ref="A48:I48"/>
    <mergeCell ref="A49:I49"/>
    <mergeCell ref="A50:I50"/>
    <mergeCell ref="A51:I51"/>
    <mergeCell ref="A52:I52"/>
    <mergeCell ref="K6:L6"/>
    <mergeCell ref="B28:I28"/>
    <mergeCell ref="B30:I30"/>
    <mergeCell ref="A37:I37"/>
    <mergeCell ref="A1:I1"/>
    <mergeCell ref="B4:I4"/>
    <mergeCell ref="B12:I12"/>
    <mergeCell ref="B17:I17"/>
    <mergeCell ref="B23:I23"/>
    <mergeCell ref="F22:H22"/>
    <mergeCell ref="A38:I38"/>
    <mergeCell ref="F32:H32"/>
    <mergeCell ref="F33:H33"/>
    <mergeCell ref="A36:I36"/>
    <mergeCell ref="B24:I24"/>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40F7-0BD5-40BB-A7AB-DD5E82CA25C5}">
  <dimension ref="A1:M26"/>
  <sheetViews>
    <sheetView topLeftCell="B21" zoomScale="96" zoomScaleNormal="96" workbookViewId="0">
      <selection activeCell="L10" sqref="L10"/>
    </sheetView>
  </sheetViews>
  <sheetFormatPr defaultColWidth="9.33203125" defaultRowHeight="12.75" x14ac:dyDescent="0.2"/>
  <cols>
    <col min="1" max="1" width="46.1640625" style="1" customWidth="1"/>
    <col min="2" max="2" width="13.83203125" style="1" customWidth="1"/>
    <col min="3" max="3" width="13.1640625" style="1" customWidth="1"/>
    <col min="4" max="4" width="16" style="1" customWidth="1"/>
    <col min="5" max="5" width="16.1640625" style="1" customWidth="1"/>
    <col min="6" max="6" width="15.83203125" style="1" customWidth="1"/>
    <col min="7" max="7" width="18.1640625" style="1" customWidth="1"/>
    <col min="8" max="8" width="17.1640625" style="1" customWidth="1"/>
    <col min="9" max="9" width="12.6640625" style="1" customWidth="1"/>
    <col min="10" max="10" width="6.33203125" style="1" customWidth="1"/>
    <col min="11" max="11" width="18.6640625" style="1" customWidth="1"/>
    <col min="12" max="16384" width="9.33203125" style="1"/>
  </cols>
  <sheetData>
    <row r="1" spans="1:13" x14ac:dyDescent="0.2">
      <c r="A1" s="155" t="s">
        <v>147</v>
      </c>
      <c r="B1" s="156"/>
      <c r="C1" s="156"/>
      <c r="D1" s="156"/>
      <c r="E1" s="156"/>
      <c r="F1" s="156"/>
      <c r="G1" s="156"/>
      <c r="H1" s="156"/>
      <c r="I1" s="157"/>
    </row>
    <row r="2" spans="1:13" ht="66.75" x14ac:dyDescent="0.2">
      <c r="A2" s="18" t="s">
        <v>11</v>
      </c>
      <c r="B2" s="19" t="s">
        <v>10</v>
      </c>
      <c r="C2" s="19" t="s">
        <v>29</v>
      </c>
      <c r="D2" s="19" t="s">
        <v>30</v>
      </c>
      <c r="E2" s="19" t="s">
        <v>28</v>
      </c>
      <c r="F2" s="19" t="s">
        <v>31</v>
      </c>
      <c r="G2" s="19" t="s">
        <v>41</v>
      </c>
      <c r="H2" s="19" t="s">
        <v>34</v>
      </c>
      <c r="I2" s="19" t="s">
        <v>35</v>
      </c>
    </row>
    <row r="3" spans="1:13" ht="15.75" x14ac:dyDescent="0.25">
      <c r="A3" s="58" t="s">
        <v>71</v>
      </c>
      <c r="B3" s="28">
        <v>0.5</v>
      </c>
      <c r="C3" s="27">
        <f>'Table 1 - Respondent Burden'!C5</f>
        <v>1.2478632478632479</v>
      </c>
      <c r="D3" s="28">
        <f>B3*C3</f>
        <v>0.62393162393162394</v>
      </c>
      <c r="E3" s="29">
        <f>'Table 1 - Respondent Burden'!E5</f>
        <v>39</v>
      </c>
      <c r="F3" s="28">
        <f>D3*E3</f>
        <v>24.333333333333332</v>
      </c>
      <c r="G3" s="28">
        <f>F3*0.05</f>
        <v>1.2166666666666668</v>
      </c>
      <c r="H3" s="28">
        <f>F3*0.1</f>
        <v>2.4333333333333336</v>
      </c>
      <c r="I3" s="20">
        <f t="shared" ref="I3:I12" si="0">+(F3*$L$5)+(G3*$L$4)+(H3*$L$6)</f>
        <v>1330.3885</v>
      </c>
      <c r="K3" s="147" t="s">
        <v>42</v>
      </c>
      <c r="L3" s="148"/>
      <c r="M3" s="48" t="s">
        <v>43</v>
      </c>
    </row>
    <row r="4" spans="1:13" ht="15.75" x14ac:dyDescent="0.25">
      <c r="A4" s="58" t="s">
        <v>72</v>
      </c>
      <c r="B4" s="28">
        <v>20</v>
      </c>
      <c r="C4" s="29">
        <v>1</v>
      </c>
      <c r="D4" s="28">
        <f>B4*C4</f>
        <v>20</v>
      </c>
      <c r="E4" s="29">
        <f>ROUND('Table 1 - Respondent Burden'!E5*0.2,0)</f>
        <v>8</v>
      </c>
      <c r="F4" s="28">
        <f>D4*E4</f>
        <v>160</v>
      </c>
      <c r="G4" s="28">
        <f t="shared" ref="G4:G12" si="1">F4*0.05</f>
        <v>8</v>
      </c>
      <c r="H4" s="28">
        <f t="shared" ref="H4:H12" si="2">F4*0.1</f>
        <v>16</v>
      </c>
      <c r="I4" s="20">
        <f t="shared" si="0"/>
        <v>8747.76</v>
      </c>
      <c r="K4" s="49" t="s">
        <v>44</v>
      </c>
      <c r="L4" s="55">
        <v>65.709999999999994</v>
      </c>
      <c r="M4" s="54" t="s">
        <v>48</v>
      </c>
    </row>
    <row r="5" spans="1:13" ht="28.5" x14ac:dyDescent="0.25">
      <c r="A5" s="58" t="s">
        <v>119</v>
      </c>
      <c r="B5" s="28">
        <v>8</v>
      </c>
      <c r="C5" s="27">
        <f>C3</f>
        <v>1.2478632478632479</v>
      </c>
      <c r="D5" s="28">
        <f t="shared" ref="D5:D12" si="3">B5*C5</f>
        <v>9.982905982905983</v>
      </c>
      <c r="E5" s="29">
        <f>E3</f>
        <v>39</v>
      </c>
      <c r="F5" s="28">
        <f t="shared" ref="F5:F12" si="4">D5*E5</f>
        <v>389.33333333333331</v>
      </c>
      <c r="G5" s="28">
        <f t="shared" si="1"/>
        <v>19.466666666666669</v>
      </c>
      <c r="H5" s="28">
        <f t="shared" si="2"/>
        <v>38.933333333333337</v>
      </c>
      <c r="I5" s="20">
        <f t="shared" si="0"/>
        <v>21286.216</v>
      </c>
      <c r="K5" s="49" t="s">
        <v>12</v>
      </c>
      <c r="L5" s="55">
        <v>48.75</v>
      </c>
      <c r="M5" s="54" t="s">
        <v>48</v>
      </c>
    </row>
    <row r="6" spans="1:13" ht="15.75" x14ac:dyDescent="0.25">
      <c r="A6" s="58" t="s">
        <v>121</v>
      </c>
      <c r="B6" s="28">
        <v>1</v>
      </c>
      <c r="C6" s="28">
        <f>'Table 1 - Respondent Burden'!C7</f>
        <v>1.8717948717948718</v>
      </c>
      <c r="D6" s="28">
        <f t="shared" si="3"/>
        <v>1.8717948717948718</v>
      </c>
      <c r="E6" s="29">
        <f>'Table 1 - Respondent Burden'!E7</f>
        <v>39</v>
      </c>
      <c r="F6" s="28">
        <f t="shared" si="4"/>
        <v>73</v>
      </c>
      <c r="G6" s="28">
        <f t="shared" si="1"/>
        <v>3.6500000000000004</v>
      </c>
      <c r="H6" s="28">
        <f t="shared" si="2"/>
        <v>7.3000000000000007</v>
      </c>
      <c r="I6" s="20">
        <f>+(F6*$L$5)+(G6*$L$4)+(H6*$L$6)</f>
        <v>3991.1655000000001</v>
      </c>
      <c r="K6" s="51" t="s">
        <v>13</v>
      </c>
      <c r="L6" s="56">
        <v>26.38</v>
      </c>
      <c r="M6" s="54" t="s">
        <v>48</v>
      </c>
    </row>
    <row r="7" spans="1:13" ht="15.75" x14ac:dyDescent="0.2">
      <c r="A7" s="58" t="s">
        <v>124</v>
      </c>
      <c r="B7" s="28">
        <v>4</v>
      </c>
      <c r="C7" s="29">
        <f>'Table 1 - Respondent Burden'!C14</f>
        <v>0</v>
      </c>
      <c r="D7" s="29">
        <f t="shared" si="3"/>
        <v>0</v>
      </c>
      <c r="E7" s="29">
        <f>'Table 1 - Respondent Burden'!E15</f>
        <v>3</v>
      </c>
      <c r="F7" s="28">
        <f t="shared" si="4"/>
        <v>0</v>
      </c>
      <c r="G7" s="28">
        <f t="shared" si="1"/>
        <v>0</v>
      </c>
      <c r="H7" s="28">
        <f t="shared" si="2"/>
        <v>0</v>
      </c>
      <c r="I7" s="20">
        <f t="shared" si="0"/>
        <v>0</v>
      </c>
    </row>
    <row r="8" spans="1:13" ht="28.5" x14ac:dyDescent="0.2">
      <c r="A8" s="58" t="s">
        <v>126</v>
      </c>
      <c r="B8" s="28">
        <v>10</v>
      </c>
      <c r="C8" s="28">
        <f>'Table 1 - Respondent Burden'!C16</f>
        <v>0.5</v>
      </c>
      <c r="D8" s="28">
        <f t="shared" si="3"/>
        <v>5</v>
      </c>
      <c r="E8" s="29">
        <f>'Table 1 - Respondent Burden'!E16</f>
        <v>8</v>
      </c>
      <c r="F8" s="28">
        <f t="shared" si="4"/>
        <v>40</v>
      </c>
      <c r="G8" s="28">
        <f t="shared" si="1"/>
        <v>2</v>
      </c>
      <c r="H8" s="28">
        <f t="shared" si="2"/>
        <v>4</v>
      </c>
      <c r="I8" s="20">
        <f t="shared" si="0"/>
        <v>2186.94</v>
      </c>
    </row>
    <row r="9" spans="1:13" ht="15.75" x14ac:dyDescent="0.2">
      <c r="A9" s="58" t="s">
        <v>127</v>
      </c>
      <c r="B9" s="28">
        <v>2</v>
      </c>
      <c r="C9" s="27">
        <f>'Table 1 - Respondent Burden'!C9</f>
        <v>0.33300000000000002</v>
      </c>
      <c r="D9" s="28">
        <f t="shared" si="3"/>
        <v>0.66600000000000004</v>
      </c>
      <c r="E9" s="29">
        <f>'Table 1 - Respondent Burden'!E9</f>
        <v>39</v>
      </c>
      <c r="F9" s="28">
        <f t="shared" si="4"/>
        <v>25.974</v>
      </c>
      <c r="G9" s="28">
        <f t="shared" si="1"/>
        <v>1.2987000000000002</v>
      </c>
      <c r="H9" s="28">
        <f t="shared" si="2"/>
        <v>2.5974000000000004</v>
      </c>
      <c r="I9" s="20">
        <f t="shared" si="0"/>
        <v>1420.0894890000002</v>
      </c>
    </row>
    <row r="10" spans="1:13" ht="15.75" x14ac:dyDescent="0.2">
      <c r="A10" s="58" t="s">
        <v>129</v>
      </c>
      <c r="B10" s="28">
        <v>2</v>
      </c>
      <c r="C10" s="29">
        <f>'Table 1 - Respondent Burden'!C10</f>
        <v>4.875</v>
      </c>
      <c r="D10" s="28">
        <f t="shared" si="3"/>
        <v>9.75</v>
      </c>
      <c r="E10" s="29">
        <f>'Table 1 - Respondent Burden'!E10</f>
        <v>8</v>
      </c>
      <c r="F10" s="28">
        <f t="shared" si="4"/>
        <v>78</v>
      </c>
      <c r="G10" s="28">
        <f t="shared" si="1"/>
        <v>3.9000000000000004</v>
      </c>
      <c r="H10" s="28">
        <f t="shared" si="2"/>
        <v>7.8000000000000007</v>
      </c>
      <c r="I10" s="20">
        <f>+(F10*$L$5)+(G10*$L$4)+(H10*$L$6)</f>
        <v>4264.5330000000004</v>
      </c>
    </row>
    <row r="11" spans="1:13" ht="15.75" x14ac:dyDescent="0.2">
      <c r="A11" s="58" t="s">
        <v>131</v>
      </c>
      <c r="B11" s="28">
        <v>40</v>
      </c>
      <c r="C11" s="27">
        <f>'Table 1 - Respondent Burden'!C8</f>
        <v>0.33300000000000002</v>
      </c>
      <c r="D11" s="28">
        <f t="shared" si="3"/>
        <v>13.32</v>
      </c>
      <c r="E11" s="29">
        <f>'Table 1 - Respondent Burden'!E8</f>
        <v>1</v>
      </c>
      <c r="F11" s="28">
        <f t="shared" si="4"/>
        <v>13.32</v>
      </c>
      <c r="G11" s="28">
        <f t="shared" si="1"/>
        <v>0.66600000000000004</v>
      </c>
      <c r="H11" s="28">
        <f t="shared" si="2"/>
        <v>1.3320000000000001</v>
      </c>
      <c r="I11" s="20">
        <f t="shared" si="0"/>
        <v>728.25102000000004</v>
      </c>
    </row>
    <row r="12" spans="1:13" ht="28.5" x14ac:dyDescent="0.2">
      <c r="A12" s="58" t="s">
        <v>133</v>
      </c>
      <c r="B12" s="28">
        <v>8</v>
      </c>
      <c r="C12" s="29">
        <f>'Table 1 - Respondent Burden'!C19</f>
        <v>0</v>
      </c>
      <c r="D12" s="29">
        <f t="shared" si="3"/>
        <v>0</v>
      </c>
      <c r="E12" s="29">
        <f>'Table 1 - Respondent Burden'!E20</f>
        <v>5</v>
      </c>
      <c r="F12" s="28">
        <f t="shared" si="4"/>
        <v>0</v>
      </c>
      <c r="G12" s="28">
        <f t="shared" si="1"/>
        <v>0</v>
      </c>
      <c r="H12" s="28">
        <f t="shared" si="2"/>
        <v>0</v>
      </c>
      <c r="I12" s="21">
        <f t="shared" si="0"/>
        <v>0</v>
      </c>
    </row>
    <row r="13" spans="1:13" ht="15.75" x14ac:dyDescent="0.2">
      <c r="A13" s="64" t="s">
        <v>135</v>
      </c>
      <c r="B13" s="65"/>
      <c r="C13" s="65"/>
      <c r="D13" s="65"/>
      <c r="E13" s="65"/>
      <c r="F13" s="171">
        <f>SUM(F3:H12)</f>
        <v>924.55476666666675</v>
      </c>
      <c r="G13" s="172"/>
      <c r="H13" s="173"/>
      <c r="I13" s="66">
        <f>ROUND(SUM(I3:I12),-2)</f>
        <v>44000</v>
      </c>
    </row>
    <row r="14" spans="1:13" x14ac:dyDescent="0.2">
      <c r="A14" s="143" t="s">
        <v>49</v>
      </c>
      <c r="B14" s="143"/>
      <c r="C14" s="143"/>
      <c r="D14" s="143"/>
      <c r="E14" s="143"/>
      <c r="F14" s="143"/>
      <c r="G14" s="143"/>
      <c r="H14" s="143"/>
      <c r="I14" s="143"/>
    </row>
    <row r="15" spans="1:13" ht="16.5" customHeight="1" x14ac:dyDescent="0.2">
      <c r="A15" s="153" t="s">
        <v>36</v>
      </c>
      <c r="B15" s="154"/>
      <c r="C15" s="154"/>
      <c r="D15" s="154"/>
      <c r="E15" s="154"/>
      <c r="F15" s="154"/>
      <c r="G15" s="154"/>
      <c r="H15" s="154"/>
      <c r="I15" s="154"/>
    </row>
    <row r="16" spans="1:13" ht="43.5" customHeight="1" x14ac:dyDescent="0.2">
      <c r="A16" s="135" t="s">
        <v>45</v>
      </c>
      <c r="B16" s="136"/>
      <c r="C16" s="136"/>
      <c r="D16" s="136"/>
      <c r="E16" s="136"/>
      <c r="F16" s="136"/>
      <c r="G16" s="136"/>
      <c r="H16" s="136"/>
      <c r="I16" s="136"/>
    </row>
    <row r="17" spans="1:9" ht="42.75" customHeight="1" x14ac:dyDescent="0.2">
      <c r="A17" s="135" t="s">
        <v>195</v>
      </c>
      <c r="B17" s="136"/>
      <c r="C17" s="136"/>
      <c r="D17" s="136"/>
      <c r="E17" s="136"/>
      <c r="F17" s="136"/>
      <c r="G17" s="136"/>
      <c r="H17" s="136"/>
      <c r="I17" s="136"/>
    </row>
    <row r="18" spans="1:9" ht="18" customHeight="1" x14ac:dyDescent="0.2">
      <c r="A18" s="135" t="s">
        <v>118</v>
      </c>
      <c r="B18" s="136"/>
      <c r="C18" s="136"/>
      <c r="D18" s="136"/>
      <c r="E18" s="136"/>
      <c r="F18" s="136"/>
      <c r="G18" s="136"/>
      <c r="H18" s="136"/>
      <c r="I18" s="136"/>
    </row>
    <row r="19" spans="1:9" ht="19.5" customHeight="1" x14ac:dyDescent="0.2">
      <c r="A19" s="135" t="s">
        <v>120</v>
      </c>
      <c r="B19" s="169"/>
      <c r="C19" s="169"/>
      <c r="D19" s="169"/>
      <c r="E19" s="169"/>
      <c r="F19" s="169"/>
      <c r="G19" s="169"/>
      <c r="H19" s="169"/>
      <c r="I19" s="169"/>
    </row>
    <row r="20" spans="1:9" ht="18.75" customHeight="1" x14ac:dyDescent="0.2">
      <c r="A20" s="135" t="s">
        <v>193</v>
      </c>
      <c r="B20" s="169"/>
      <c r="C20" s="169"/>
      <c r="D20" s="169"/>
      <c r="E20" s="169"/>
      <c r="F20" s="169"/>
      <c r="G20" s="169"/>
      <c r="H20" s="169"/>
      <c r="I20" s="169"/>
    </row>
    <row r="21" spans="1:9" ht="18.95" customHeight="1" x14ac:dyDescent="0.2">
      <c r="A21" s="135" t="s">
        <v>125</v>
      </c>
      <c r="B21" s="169"/>
      <c r="C21" s="169"/>
      <c r="D21" s="169"/>
      <c r="E21" s="169"/>
      <c r="F21" s="169"/>
      <c r="G21" s="169"/>
      <c r="H21" s="169"/>
      <c r="I21" s="169"/>
    </row>
    <row r="22" spans="1:9" ht="20.25" customHeight="1" x14ac:dyDescent="0.2">
      <c r="A22" s="135" t="s">
        <v>128</v>
      </c>
      <c r="B22" s="136"/>
      <c r="C22" s="136"/>
      <c r="D22" s="136"/>
      <c r="E22" s="136"/>
      <c r="F22" s="136"/>
      <c r="G22" s="136"/>
      <c r="H22" s="136"/>
      <c r="I22" s="136"/>
    </row>
    <row r="23" spans="1:9" ht="20.25" customHeight="1" x14ac:dyDescent="0.2">
      <c r="A23" s="135" t="s">
        <v>130</v>
      </c>
      <c r="B23" s="136"/>
      <c r="C23" s="136"/>
      <c r="D23" s="136"/>
      <c r="E23" s="136"/>
      <c r="F23" s="136"/>
      <c r="G23" s="136"/>
      <c r="H23" s="136"/>
      <c r="I23" s="136"/>
    </row>
    <row r="24" spans="1:9" ht="18.75" customHeight="1" x14ac:dyDescent="0.2">
      <c r="A24" s="135" t="s">
        <v>132</v>
      </c>
      <c r="B24" s="169"/>
      <c r="C24" s="169"/>
      <c r="D24" s="169"/>
      <c r="E24" s="169"/>
      <c r="F24" s="169"/>
      <c r="G24" s="169"/>
      <c r="H24" s="169"/>
      <c r="I24" s="169"/>
    </row>
    <row r="25" spans="1:9" ht="17.45" customHeight="1" x14ac:dyDescent="0.2">
      <c r="A25" s="135" t="s">
        <v>194</v>
      </c>
      <c r="B25" s="136"/>
      <c r="C25" s="136"/>
      <c r="D25" s="136"/>
      <c r="E25" s="136"/>
      <c r="F25" s="136"/>
      <c r="G25" s="136"/>
      <c r="H25" s="136"/>
      <c r="I25" s="136"/>
    </row>
    <row r="26" spans="1:9" ht="17.100000000000001" customHeight="1" x14ac:dyDescent="0.2">
      <c r="A26" s="166" t="s">
        <v>134</v>
      </c>
      <c r="B26" s="166"/>
      <c r="C26" s="166"/>
      <c r="D26" s="166"/>
      <c r="E26" s="166"/>
      <c r="F26" s="166"/>
      <c r="G26" s="166"/>
      <c r="H26" s="166"/>
      <c r="I26" s="166"/>
    </row>
  </sheetData>
  <mergeCells count="16">
    <mergeCell ref="A1:I1"/>
    <mergeCell ref="A26:I26"/>
    <mergeCell ref="A15:I15"/>
    <mergeCell ref="A16:I16"/>
    <mergeCell ref="A19:I19"/>
    <mergeCell ref="A20:I20"/>
    <mergeCell ref="A21:I21"/>
    <mergeCell ref="A24:I24"/>
    <mergeCell ref="A22:I22"/>
    <mergeCell ref="A23:I23"/>
    <mergeCell ref="K3:L3"/>
    <mergeCell ref="A17:I17"/>
    <mergeCell ref="A18:I18"/>
    <mergeCell ref="A25:I25"/>
    <mergeCell ref="F13:H13"/>
    <mergeCell ref="A14:I14"/>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5DD682-FCDD-4E69-BFA3-D2419ABA0435}">
  <dimension ref="A1:H20"/>
  <sheetViews>
    <sheetView zoomScale="85" zoomScaleNormal="85" workbookViewId="0">
      <selection activeCell="H12" sqref="H12"/>
    </sheetView>
  </sheetViews>
  <sheetFormatPr defaultRowHeight="12.75" x14ac:dyDescent="0.2"/>
  <cols>
    <col min="1" max="1" width="44.6640625" customWidth="1"/>
    <col min="2" max="2" width="29.83203125" customWidth="1"/>
    <col min="3" max="3" width="24.1640625" customWidth="1"/>
    <col min="4" max="4" width="31" customWidth="1"/>
  </cols>
  <sheetData>
    <row r="1" spans="1:8" ht="30.75" customHeight="1" x14ac:dyDescent="0.2">
      <c r="A1" s="174" t="s">
        <v>68</v>
      </c>
      <c r="B1" s="174"/>
      <c r="C1" s="174"/>
      <c r="D1" s="174"/>
    </row>
    <row r="2" spans="1:8" ht="13.5" thickBot="1" x14ac:dyDescent="0.25"/>
    <row r="3" spans="1:8" ht="15" thickTop="1" x14ac:dyDescent="0.2">
      <c r="A3" s="4" t="s">
        <v>17</v>
      </c>
      <c r="B3" s="5" t="s">
        <v>18</v>
      </c>
      <c r="C3" s="5" t="s">
        <v>19</v>
      </c>
      <c r="D3" s="6" t="s">
        <v>20</v>
      </c>
    </row>
    <row r="4" spans="1:8" ht="43.5" thickBot="1" x14ac:dyDescent="0.25">
      <c r="A4" s="7" t="s">
        <v>21</v>
      </c>
      <c r="B4" s="8" t="s">
        <v>22</v>
      </c>
      <c r="C4" s="8" t="s">
        <v>201</v>
      </c>
      <c r="D4" s="9" t="s">
        <v>33</v>
      </c>
    </row>
    <row r="5" spans="1:8" ht="20.25" customHeight="1" thickBot="1" x14ac:dyDescent="0.25">
      <c r="A5" s="10" t="s">
        <v>23</v>
      </c>
      <c r="B5" s="11" t="s">
        <v>199</v>
      </c>
      <c r="C5" s="113" t="str">
        <f>CONCATENATE(ROUND('Table 1 - Respondent Burden'!E5*'Table 1 - Respondent Burden'!C5,0), " models")</f>
        <v>49 models</v>
      </c>
      <c r="D5" s="12">
        <f>55000*(ROUND('Table 1 - Respondent Burden'!E5*'Table 1 - Respondent Burden'!C5,0))</f>
        <v>2695000</v>
      </c>
      <c r="E5" s="17" t="s">
        <v>197</v>
      </c>
      <c r="H5" s="17"/>
    </row>
    <row r="6" spans="1:8" ht="20.25" customHeight="1" thickBot="1" x14ac:dyDescent="0.25">
      <c r="A6" s="13" t="s">
        <v>24</v>
      </c>
      <c r="B6" s="14" t="s">
        <v>74</v>
      </c>
      <c r="C6" s="113" t="str">
        <f>C5</f>
        <v>49 models</v>
      </c>
      <c r="D6" s="15">
        <f>1250*(ROUND('Table 1 - Respondent Burden'!E5*'Table 1 - Respondent Burden'!C5,0))</f>
        <v>61250</v>
      </c>
      <c r="E6" s="17" t="s">
        <v>197</v>
      </c>
    </row>
    <row r="7" spans="1:8" ht="20.25" customHeight="1" thickBot="1" x14ac:dyDescent="0.25">
      <c r="A7" s="13" t="s">
        <v>25</v>
      </c>
      <c r="B7" s="11" t="s">
        <v>73</v>
      </c>
      <c r="C7" s="109" t="str">
        <f>CONCATENATE(ROUND('Table 1 - Respondent Burden'!E9*'Table 1 - Respondent Burden'!C9,0), " respondents")</f>
        <v>13 respondents</v>
      </c>
      <c r="D7" s="15">
        <f>55000*(ROUND('Table 1 - Respondent Burden'!E9*'Table 1 - Respondent Burden'!C9,0))</f>
        <v>715000</v>
      </c>
      <c r="E7" s="17" t="s">
        <v>198</v>
      </c>
    </row>
    <row r="8" spans="1:8" ht="20.25" customHeight="1" thickBot="1" x14ac:dyDescent="0.25">
      <c r="A8" s="13" t="s">
        <v>26</v>
      </c>
      <c r="B8" s="14" t="s">
        <v>200</v>
      </c>
      <c r="C8" s="110" t="str">
        <f>CONCATENATE(ROUND('Table 1 - Respondent Burden'!E8*'Table 1 - Respondent Burden'!C8,2), " model")</f>
        <v>0.33 model</v>
      </c>
      <c r="D8" s="15">
        <f>63564*ROUND('Table 1 - Respondent Burden'!E8*'Table 1 - Respondent Burden'!C8,2)</f>
        <v>20976.120000000003</v>
      </c>
      <c r="E8" s="17" t="s">
        <v>198</v>
      </c>
    </row>
    <row r="9" spans="1:8" ht="20.25" customHeight="1" thickBot="1" x14ac:dyDescent="0.25">
      <c r="A9" s="13" t="s">
        <v>138</v>
      </c>
      <c r="B9" s="14" t="s">
        <v>75</v>
      </c>
      <c r="C9" s="113" t="str">
        <f>C5</f>
        <v>49 models</v>
      </c>
      <c r="D9" s="15">
        <f>3750*(ROUND('Table 1 - Respondent Burden'!E5*'Table 1 - Respondent Burden'!C5,0))</f>
        <v>183750</v>
      </c>
      <c r="E9" s="17" t="s">
        <v>197</v>
      </c>
    </row>
    <row r="10" spans="1:8" ht="20.25" customHeight="1" thickBot="1" x14ac:dyDescent="0.25">
      <c r="A10" s="13" t="s">
        <v>139</v>
      </c>
      <c r="B10" s="14" t="s">
        <v>27</v>
      </c>
      <c r="C10" s="111" t="str">
        <f>CONCATENATE((ROUND('Table 1 - Respondent Burden'!E15,0)), " respondents")</f>
        <v>3 respondents</v>
      </c>
      <c r="D10" s="15">
        <f>75000*'Table 1 - Respondent Burden'!E15</f>
        <v>225000</v>
      </c>
    </row>
    <row r="11" spans="1:8" ht="20.25" customHeight="1" thickBot="1" x14ac:dyDescent="0.25">
      <c r="A11" s="13" t="s">
        <v>140</v>
      </c>
      <c r="B11" s="14" t="s">
        <v>27</v>
      </c>
      <c r="C11" s="111" t="str">
        <f>CONCATENATE((ROUND('Table 1 - Respondent Burden'!E20,0)), " respondents")</f>
        <v>5 respondents</v>
      </c>
      <c r="D11" s="15">
        <f>75000*'Table 1 - Respondent Burden'!E20</f>
        <v>375000</v>
      </c>
    </row>
    <row r="12" spans="1:8" ht="20.25" customHeight="1" thickBot="1" x14ac:dyDescent="0.25">
      <c r="A12" s="16" t="s">
        <v>145</v>
      </c>
      <c r="B12" s="14"/>
      <c r="C12" s="14"/>
      <c r="D12" s="15">
        <f>ROUND(SUM(D5:D11),-4)</f>
        <v>4280000</v>
      </c>
    </row>
    <row r="13" spans="1:8" ht="48.75" customHeight="1" thickTop="1" x14ac:dyDescent="0.2">
      <c r="A13" s="176" t="s">
        <v>196</v>
      </c>
      <c r="B13" s="176"/>
      <c r="C13" s="176"/>
      <c r="D13" s="176"/>
    </row>
    <row r="14" spans="1:8" ht="16.5" customHeight="1" x14ac:dyDescent="0.2">
      <c r="A14" s="177" t="s">
        <v>136</v>
      </c>
      <c r="B14" s="177"/>
      <c r="C14" s="177"/>
      <c r="D14" s="177"/>
    </row>
    <row r="15" spans="1:8" ht="43.5" customHeight="1" x14ac:dyDescent="0.2">
      <c r="A15" s="177" t="s">
        <v>172</v>
      </c>
      <c r="B15" s="177"/>
      <c r="C15" s="177"/>
      <c r="D15" s="177"/>
    </row>
    <row r="16" spans="1:8" ht="55.5" customHeight="1" x14ac:dyDescent="0.2">
      <c r="A16" s="177" t="s">
        <v>173</v>
      </c>
      <c r="B16" s="177"/>
      <c r="C16" s="177"/>
      <c r="D16" s="177"/>
    </row>
    <row r="17" spans="1:4" ht="18" customHeight="1" x14ac:dyDescent="0.2">
      <c r="A17" s="175" t="s">
        <v>137</v>
      </c>
      <c r="B17" s="175"/>
      <c r="C17" s="175"/>
      <c r="D17" s="175"/>
    </row>
    <row r="18" spans="1:4" ht="34.5" customHeight="1" x14ac:dyDescent="0.2">
      <c r="A18" s="175" t="s">
        <v>183</v>
      </c>
      <c r="B18" s="175"/>
      <c r="C18" s="175"/>
      <c r="D18" s="175"/>
    </row>
    <row r="19" spans="1:4" ht="32.25" customHeight="1" x14ac:dyDescent="0.2">
      <c r="A19" s="175" t="s">
        <v>184</v>
      </c>
      <c r="B19" s="175"/>
      <c r="C19" s="175"/>
      <c r="D19" s="175"/>
    </row>
    <row r="20" spans="1:4" ht="15.75" x14ac:dyDescent="0.2">
      <c r="A20" s="175" t="s">
        <v>144</v>
      </c>
      <c r="B20" s="175"/>
      <c r="C20" s="175"/>
      <c r="D20" s="175"/>
    </row>
  </sheetData>
  <mergeCells count="9">
    <mergeCell ref="A1:D1"/>
    <mergeCell ref="A20:D20"/>
    <mergeCell ref="A19:D19"/>
    <mergeCell ref="A13:D13"/>
    <mergeCell ref="A14:D14"/>
    <mergeCell ref="A15:D15"/>
    <mergeCell ref="A16:D16"/>
    <mergeCell ref="A17:D17"/>
    <mergeCell ref="A18:D18"/>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 Respondents</vt:lpstr>
      <vt:lpstr>#Responses</vt:lpstr>
      <vt:lpstr>Table 1 - Respondent Burden</vt:lpstr>
      <vt:lpstr>Table 2 - Agency Burden</vt:lpstr>
      <vt:lpstr>Capital-Start-up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SUPPORTING STATEMENT</dc:title>
  <dc:creator>Marvin Branscome</dc:creator>
  <cp:lastModifiedBy>wwrigley</cp:lastModifiedBy>
  <dcterms:created xsi:type="dcterms:W3CDTF">2018-05-18T14:40:24Z</dcterms:created>
  <dcterms:modified xsi:type="dcterms:W3CDTF">2019-03-12T18:00:39Z</dcterms:modified>
</cp:coreProperties>
</file>